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előterjesztések\2019\12.18\"/>
    </mc:Choice>
  </mc:AlternateContent>
  <xr:revisionPtr revIDLastSave="0" documentId="8_{215A9FDA-7C31-47B8-A39D-B7F3903589E7}" xr6:coauthVersionLast="45" xr6:coauthVersionMax="45" xr10:uidLastSave="{00000000-0000-0000-0000-000000000000}"/>
  <bookViews>
    <workbookView xWindow="-120" yWindow="-120" windowWidth="19440" windowHeight="15000" tabRatio="847" firstSheet="7" xr2:uid="{00000000-000D-0000-FFFF-FFFF00000000}"/>
  </bookViews>
  <sheets>
    <sheet name="Önk.bev." sheetId="34" r:id="rId1"/>
    <sheet name="Önk.kiad." sheetId="33" r:id="rId2"/>
    <sheet name="Hiv.bev." sheetId="32" r:id="rId3"/>
    <sheet name="Hiv.kiad." sheetId="31" r:id="rId4"/>
    <sheet name="Művh.bev." sheetId="36" r:id="rId5"/>
    <sheet name="Művh.kiad." sheetId="35" r:id="rId6"/>
    <sheet name="Ovibev." sheetId="30" r:id="rId7"/>
    <sheet name="Ovikiad." sheetId="29" r:id="rId8"/>
    <sheet name="1.sz.melléklet" sheetId="19" r:id="rId9"/>
    <sheet name="2. sz.melléklet" sheetId="3" r:id="rId10"/>
    <sheet name="3.sz. melléklet" sheetId="20" r:id="rId11"/>
    <sheet name="4. sz. melléklet" sheetId="2" r:id="rId12"/>
    <sheet name="5. sz. melléklet" sheetId="18" r:id="rId13"/>
    <sheet name="6. sz.melléklet" sheetId="5" r:id="rId14"/>
    <sheet name="7.sz. melléklet" sheetId="21" r:id="rId15"/>
    <sheet name="8.sz. melléklet" sheetId="22" r:id="rId16"/>
    <sheet name="9.sz.melléklet" sheetId="23" r:id="rId17"/>
    <sheet name="10.sz.melléklet" sheetId="24" r:id="rId18"/>
    <sheet name="11.sz.melléklet" sheetId="25" r:id="rId19"/>
    <sheet name="12.sz.melléklet" sheetId="28" r:id="rId20"/>
  </sheets>
  <externalReferences>
    <externalReference r:id="rId21"/>
    <externalReference r:id="rId22"/>
    <externalReference r:id="rId23"/>
  </externalReferences>
  <definedNames>
    <definedName name="_xlnm._FilterDatabase" localSheetId="10" hidden="1">'3.sz. melléklet'!$B$1:$B$160</definedName>
    <definedName name="_xlnm.Print_Area" localSheetId="8">'1.sz.melléklet'!$A$1:$E$92</definedName>
    <definedName name="_xlnm.Print_Area" localSheetId="12">'5. sz. melléklet'!$A$1:$B$16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3" i="24" l="1"/>
  <c r="B16" i="24" l="1"/>
  <c r="B15" i="24"/>
  <c r="C63" i="23"/>
  <c r="C55" i="23"/>
  <c r="C52" i="23"/>
  <c r="C10" i="23" l="1"/>
  <c r="C35" i="21"/>
  <c r="C31" i="21"/>
  <c r="C26" i="21"/>
  <c r="C20" i="21"/>
  <c r="C21" i="21"/>
  <c r="B16" i="18"/>
  <c r="B15" i="18"/>
  <c r="B14" i="18"/>
  <c r="B13" i="18"/>
  <c r="B12" i="18"/>
  <c r="B11" i="18"/>
  <c r="B10" i="18"/>
  <c r="B28" i="2"/>
  <c r="B9" i="2"/>
  <c r="D143" i="20"/>
  <c r="F156" i="20" l="1"/>
  <c r="E156" i="20"/>
  <c r="F155" i="20"/>
  <c r="E155" i="20"/>
  <c r="F154" i="20"/>
  <c r="E154" i="20"/>
  <c r="G152" i="20"/>
  <c r="F151" i="20"/>
  <c r="E151" i="20"/>
  <c r="L152" i="20"/>
  <c r="L149" i="20"/>
  <c r="G149" i="20"/>
  <c r="F149" i="20"/>
  <c r="E149" i="20"/>
  <c r="F148" i="20"/>
  <c r="E148" i="20"/>
  <c r="G146" i="20"/>
  <c r="G143" i="20"/>
  <c r="F143" i="20"/>
  <c r="E143" i="20"/>
  <c r="G138" i="20"/>
  <c r="F138" i="20"/>
  <c r="E138" i="20"/>
  <c r="E21" i="20"/>
  <c r="E10" i="20"/>
  <c r="I60" i="20"/>
  <c r="H60" i="20"/>
  <c r="F60" i="20"/>
  <c r="P60" i="20"/>
  <c r="D60" i="20"/>
  <c r="E47" i="20"/>
  <c r="P15" i="20"/>
  <c r="F14" i="20"/>
  <c r="E14" i="20"/>
  <c r="F13" i="20"/>
  <c r="H9" i="20"/>
  <c r="H7" i="20"/>
  <c r="C11" i="3"/>
  <c r="G18" i="3"/>
  <c r="G17" i="3"/>
  <c r="G10" i="3"/>
  <c r="G9" i="3"/>
  <c r="G8" i="3"/>
  <c r="C9" i="3"/>
  <c r="C8" i="3"/>
  <c r="C23" i="3"/>
  <c r="C22" i="3"/>
  <c r="C19" i="3"/>
  <c r="D85" i="29"/>
  <c r="G82" i="29"/>
  <c r="F82" i="29" s="1"/>
  <c r="C82" i="29"/>
  <c r="E81" i="29"/>
  <c r="F80" i="29"/>
  <c r="E80" i="29"/>
  <c r="E82" i="29" s="1"/>
  <c r="G79" i="29"/>
  <c r="G83" i="29" s="1"/>
  <c r="F83" i="29" s="1"/>
  <c r="F79" i="29"/>
  <c r="C79" i="29"/>
  <c r="C83" i="29" s="1"/>
  <c r="E78" i="29"/>
  <c r="F77" i="29"/>
  <c r="E77" i="29"/>
  <c r="F76" i="29"/>
  <c r="E76" i="29"/>
  <c r="F75" i="29"/>
  <c r="E75" i="29"/>
  <c r="F74" i="29"/>
  <c r="E74" i="29"/>
  <c r="E79" i="29" s="1"/>
  <c r="E83" i="29" s="1"/>
  <c r="D70" i="29"/>
  <c r="G69" i="29"/>
  <c r="F69" i="29"/>
  <c r="C69" i="29"/>
  <c r="F68" i="29"/>
  <c r="E68" i="29"/>
  <c r="F67" i="29"/>
  <c r="E67" i="29"/>
  <c r="E69" i="29" s="1"/>
  <c r="G66" i="29"/>
  <c r="G70" i="29" s="1"/>
  <c r="F70" i="29" s="1"/>
  <c r="F66" i="29"/>
  <c r="C66" i="29"/>
  <c r="C70" i="29" s="1"/>
  <c r="E65" i="29"/>
  <c r="F64" i="29"/>
  <c r="E64" i="29"/>
  <c r="F63" i="29"/>
  <c r="E63" i="29"/>
  <c r="F62" i="29"/>
  <c r="E62" i="29"/>
  <c r="F61" i="29"/>
  <c r="E61" i="29"/>
  <c r="E66" i="29" s="1"/>
  <c r="E70" i="29" s="1"/>
  <c r="D57" i="29"/>
  <c r="G56" i="29"/>
  <c r="F56" i="29"/>
  <c r="C56" i="29"/>
  <c r="F55" i="29"/>
  <c r="E55" i="29"/>
  <c r="F54" i="29"/>
  <c r="E54" i="29"/>
  <c r="E56" i="29" s="1"/>
  <c r="C53" i="29"/>
  <c r="C57" i="29" s="1"/>
  <c r="F52" i="29"/>
  <c r="E52" i="29"/>
  <c r="G51" i="29"/>
  <c r="G53" i="29" s="1"/>
  <c r="F51" i="29"/>
  <c r="E51" i="29"/>
  <c r="F50" i="29"/>
  <c r="E50" i="29"/>
  <c r="F49" i="29"/>
  <c r="E49" i="29"/>
  <c r="F48" i="29"/>
  <c r="E48" i="29"/>
  <c r="F47" i="29"/>
  <c r="E47" i="29"/>
  <c r="F46" i="29"/>
  <c r="E46" i="29"/>
  <c r="F45" i="29"/>
  <c r="E45" i="29"/>
  <c r="F44" i="29"/>
  <c r="E44" i="29"/>
  <c r="F43" i="29"/>
  <c r="E43" i="29"/>
  <c r="F42" i="29"/>
  <c r="E42" i="29"/>
  <c r="F41" i="29"/>
  <c r="E41" i="29"/>
  <c r="F40" i="29"/>
  <c r="E40" i="29"/>
  <c r="E53" i="29" s="1"/>
  <c r="E57" i="29" s="1"/>
  <c r="D36" i="29"/>
  <c r="C35" i="29"/>
  <c r="C36" i="29" s="1"/>
  <c r="G34" i="29"/>
  <c r="G35" i="29" s="1"/>
  <c r="F33" i="29"/>
  <c r="E33" i="29"/>
  <c r="G32" i="29"/>
  <c r="F32" i="29" s="1"/>
  <c r="C32" i="29"/>
  <c r="E31" i="29"/>
  <c r="E30" i="29"/>
  <c r="F29" i="29"/>
  <c r="E29" i="29"/>
  <c r="F28" i="29"/>
  <c r="E28" i="29"/>
  <c r="F27" i="29"/>
  <c r="E27" i="29"/>
  <c r="F26" i="29"/>
  <c r="E26" i="29"/>
  <c r="E25" i="29"/>
  <c r="E32" i="29" s="1"/>
  <c r="F24" i="29"/>
  <c r="E24" i="29"/>
  <c r="D20" i="29"/>
  <c r="C20" i="29"/>
  <c r="C85" i="29" s="1"/>
  <c r="G19" i="29"/>
  <c r="F19" i="29" s="1"/>
  <c r="F18" i="29"/>
  <c r="E18" i="29"/>
  <c r="F17" i="29"/>
  <c r="E17" i="29"/>
  <c r="E19" i="29" s="1"/>
  <c r="G16" i="29"/>
  <c r="G20" i="29" s="1"/>
  <c r="F16" i="29"/>
  <c r="E15" i="29"/>
  <c r="F14" i="29"/>
  <c r="E14" i="29"/>
  <c r="F13" i="29"/>
  <c r="E13" i="29"/>
  <c r="F12" i="29"/>
  <c r="E12" i="29"/>
  <c r="F11" i="29"/>
  <c r="E11" i="29"/>
  <c r="E10" i="29"/>
  <c r="F9" i="29"/>
  <c r="E9" i="29"/>
  <c r="E16" i="29" s="1"/>
  <c r="E20" i="29" s="1"/>
  <c r="D15" i="30"/>
  <c r="C15" i="30"/>
  <c r="G14" i="30"/>
  <c r="F14" i="30" s="1"/>
  <c r="G13" i="30"/>
  <c r="F13" i="30" s="1"/>
  <c r="G11" i="30"/>
  <c r="P68" i="20" s="1"/>
  <c r="G10" i="30"/>
  <c r="F10" i="30" s="1"/>
  <c r="E10" i="30"/>
  <c r="G9" i="30"/>
  <c r="E8" i="30"/>
  <c r="H69" i="20" l="1"/>
  <c r="B29" i="2"/>
  <c r="G12" i="30"/>
  <c r="D154" i="20" s="1"/>
  <c r="C20" i="3"/>
  <c r="E11" i="30"/>
  <c r="G15" i="30"/>
  <c r="F15" i="30" s="1"/>
  <c r="F11" i="30"/>
  <c r="E14" i="30"/>
  <c r="G85" i="29"/>
  <c r="F85" i="29" s="1"/>
  <c r="F20" i="29"/>
  <c r="F53" i="29"/>
  <c r="G57" i="29"/>
  <c r="F57" i="29" s="1"/>
  <c r="F35" i="29"/>
  <c r="G36" i="29"/>
  <c r="F36" i="29" s="1"/>
  <c r="E34" i="29"/>
  <c r="E35" i="29" s="1"/>
  <c r="E36" i="29" s="1"/>
  <c r="E85" i="29" s="1"/>
  <c r="F34" i="29"/>
  <c r="E9" i="30"/>
  <c r="E15" i="30" s="1"/>
  <c r="E13" i="30"/>
  <c r="F9" i="30"/>
  <c r="E12" i="30"/>
  <c r="F12" i="30" l="1"/>
  <c r="D68" i="20"/>
  <c r="D59" i="35"/>
  <c r="C59" i="35"/>
  <c r="G56" i="35"/>
  <c r="F56" i="35" s="1"/>
  <c r="F55" i="35"/>
  <c r="E55" i="35"/>
  <c r="F54" i="35"/>
  <c r="E54" i="35"/>
  <c r="E56" i="35" s="1"/>
  <c r="G53" i="35"/>
  <c r="F53" i="35" s="1"/>
  <c r="F52" i="35"/>
  <c r="E52" i="35"/>
  <c r="G51" i="35"/>
  <c r="F51" i="35" s="1"/>
  <c r="E51" i="35"/>
  <c r="F50" i="35"/>
  <c r="E50" i="35"/>
  <c r="F49" i="35"/>
  <c r="E49" i="35"/>
  <c r="F48" i="35"/>
  <c r="E48" i="35"/>
  <c r="F47" i="35"/>
  <c r="E47" i="35"/>
  <c r="F46" i="35"/>
  <c r="E46" i="35"/>
  <c r="F45" i="35"/>
  <c r="E45" i="35"/>
  <c r="F44" i="35"/>
  <c r="E44" i="35"/>
  <c r="F43" i="35"/>
  <c r="E43" i="35"/>
  <c r="F42" i="35"/>
  <c r="E42" i="35"/>
  <c r="F41" i="35"/>
  <c r="E41" i="35"/>
  <c r="G40" i="35"/>
  <c r="F40" i="35" s="1"/>
  <c r="F39" i="35"/>
  <c r="E39" i="35"/>
  <c r="F38" i="35"/>
  <c r="E38" i="35"/>
  <c r="E40" i="35" s="1"/>
  <c r="G37" i="35"/>
  <c r="G57" i="35" s="1"/>
  <c r="F57" i="35" s="1"/>
  <c r="F37" i="35"/>
  <c r="G36" i="35"/>
  <c r="F36" i="35"/>
  <c r="E36" i="35"/>
  <c r="E35" i="35"/>
  <c r="F34" i="35"/>
  <c r="E34" i="35"/>
  <c r="F33" i="35"/>
  <c r="E33" i="35"/>
  <c r="E32" i="35"/>
  <c r="F31" i="35"/>
  <c r="E31" i="35"/>
  <c r="F30" i="35"/>
  <c r="E30" i="35"/>
  <c r="E37" i="35" s="1"/>
  <c r="G25" i="35"/>
  <c r="E24" i="35"/>
  <c r="E23" i="35"/>
  <c r="E22" i="35"/>
  <c r="E21" i="35"/>
  <c r="E25" i="35" s="1"/>
  <c r="G20" i="35"/>
  <c r="F20" i="35" s="1"/>
  <c r="E19" i="35"/>
  <c r="F18" i="35"/>
  <c r="E18" i="35"/>
  <c r="E20" i="35" s="1"/>
  <c r="G17" i="35"/>
  <c r="G26" i="35" s="1"/>
  <c r="F26" i="35" s="1"/>
  <c r="F16" i="35"/>
  <c r="E16" i="35"/>
  <c r="E17" i="35" s="1"/>
  <c r="E26" i="35" s="1"/>
  <c r="G12" i="35"/>
  <c r="G59" i="35" s="1"/>
  <c r="F59" i="35" s="1"/>
  <c r="E12" i="35"/>
  <c r="F11" i="35"/>
  <c r="E11" i="35"/>
  <c r="E10" i="35"/>
  <c r="F9" i="35"/>
  <c r="E9" i="35"/>
  <c r="G13" i="36"/>
  <c r="F13" i="36" s="1"/>
  <c r="G12" i="36"/>
  <c r="E12" i="36" s="1"/>
  <c r="F12" i="36"/>
  <c r="G11" i="36"/>
  <c r="D149" i="20" s="1"/>
  <c r="D157" i="20" s="1"/>
  <c r="E159" i="20" s="1"/>
  <c r="G10" i="36"/>
  <c r="F10" i="36"/>
  <c r="G9" i="36"/>
  <c r="E9" i="36" s="1"/>
  <c r="F9" i="36"/>
  <c r="G8" i="36"/>
  <c r="B27" i="2" s="1"/>
  <c r="F8" i="36"/>
  <c r="E13" i="36" l="1"/>
  <c r="E8" i="36"/>
  <c r="F11" i="36"/>
  <c r="C13" i="3"/>
  <c r="C25" i="3" s="1"/>
  <c r="D66" i="20"/>
  <c r="H66" i="20"/>
  <c r="E10" i="36"/>
  <c r="C21" i="3"/>
  <c r="P66" i="20"/>
  <c r="F12" i="35"/>
  <c r="E53" i="35"/>
  <c r="E57" i="35" s="1"/>
  <c r="E59" i="35" s="1"/>
  <c r="E14" i="36"/>
  <c r="G14" i="36"/>
  <c r="F14" i="36" s="1"/>
  <c r="E11" i="36"/>
  <c r="G48" i="31" l="1"/>
  <c r="F48" i="31"/>
  <c r="F47" i="31"/>
  <c r="E47" i="31"/>
  <c r="F46" i="31"/>
  <c r="E46" i="31"/>
  <c r="E48" i="31" s="1"/>
  <c r="G45" i="31"/>
  <c r="F45" i="31" s="1"/>
  <c r="E45" i="31"/>
  <c r="E44" i="31"/>
  <c r="F43" i="31"/>
  <c r="E43" i="31"/>
  <c r="G42" i="31"/>
  <c r="F42" i="31" s="1"/>
  <c r="G41" i="31"/>
  <c r="E41" i="31" s="1"/>
  <c r="F41" i="31"/>
  <c r="E40" i="31"/>
  <c r="F39" i="31"/>
  <c r="E39" i="31"/>
  <c r="E42" i="31" s="1"/>
  <c r="E49" i="31" s="1"/>
  <c r="E34" i="31"/>
  <c r="G33" i="31"/>
  <c r="F33" i="31"/>
  <c r="F32" i="31"/>
  <c r="E32" i="31"/>
  <c r="F31" i="31"/>
  <c r="E31" i="31"/>
  <c r="F30" i="31"/>
  <c r="E30" i="31"/>
  <c r="F29" i="31"/>
  <c r="E29" i="31"/>
  <c r="F28" i="31"/>
  <c r="E28" i="31"/>
  <c r="F27" i="31"/>
  <c r="E27" i="31"/>
  <c r="F26" i="31"/>
  <c r="E26" i="31"/>
  <c r="F25" i="31"/>
  <c r="E25" i="31"/>
  <c r="F24" i="31"/>
  <c r="E24" i="31"/>
  <c r="E33" i="31" s="1"/>
  <c r="G23" i="31"/>
  <c r="F23" i="31" s="1"/>
  <c r="E23" i="31"/>
  <c r="G22" i="31"/>
  <c r="F22" i="31"/>
  <c r="E22" i="31"/>
  <c r="F21" i="31"/>
  <c r="E21" i="31"/>
  <c r="G20" i="31"/>
  <c r="G35" i="31" s="1"/>
  <c r="F19" i="31"/>
  <c r="E19" i="31"/>
  <c r="F18" i="31"/>
  <c r="E18" i="31"/>
  <c r="F17" i="31"/>
  <c r="E17" i="31"/>
  <c r="F16" i="31"/>
  <c r="E16" i="31"/>
  <c r="F15" i="31"/>
  <c r="E15" i="31"/>
  <c r="F14" i="31"/>
  <c r="E14" i="31"/>
  <c r="F13" i="31"/>
  <c r="E13" i="31"/>
  <c r="E12" i="31"/>
  <c r="F11" i="31"/>
  <c r="E11" i="31"/>
  <c r="E10" i="31"/>
  <c r="F9" i="31"/>
  <c r="E9" i="31"/>
  <c r="E20" i="31" s="1"/>
  <c r="E35" i="31" s="1"/>
  <c r="E51" i="31" s="1"/>
  <c r="D27" i="32"/>
  <c r="G25" i="32"/>
  <c r="F25" i="32" s="1"/>
  <c r="E25" i="32"/>
  <c r="F24" i="32"/>
  <c r="E24" i="32"/>
  <c r="E20" i="32"/>
  <c r="G19" i="32"/>
  <c r="G20" i="32" s="1"/>
  <c r="F20" i="32" s="1"/>
  <c r="E19" i="32"/>
  <c r="F18" i="32"/>
  <c r="E18" i="32"/>
  <c r="F17" i="32"/>
  <c r="E17" i="32"/>
  <c r="F12" i="32"/>
  <c r="E12" i="32"/>
  <c r="F11" i="32"/>
  <c r="E11" i="32"/>
  <c r="G10" i="32"/>
  <c r="E10" i="32" s="1"/>
  <c r="F10" i="32"/>
  <c r="F8" i="32"/>
  <c r="E8" i="32"/>
  <c r="F35" i="31" l="1"/>
  <c r="G49" i="31"/>
  <c r="F49" i="31" s="1"/>
  <c r="F20" i="31"/>
  <c r="G9" i="32"/>
  <c r="F19" i="32"/>
  <c r="G51" i="31" l="1"/>
  <c r="F51" i="31" s="1"/>
  <c r="F9" i="32"/>
  <c r="G13" i="32"/>
  <c r="E9" i="32"/>
  <c r="E13" i="32" s="1"/>
  <c r="E27" i="32" s="1"/>
  <c r="G27" i="32" l="1"/>
  <c r="F27" i="32" s="1"/>
  <c r="F13" i="32"/>
  <c r="G274" i="33" l="1"/>
  <c r="F274" i="33" s="1"/>
  <c r="G273" i="33"/>
  <c r="E273" i="33" s="1"/>
  <c r="F273" i="33"/>
  <c r="G272" i="33"/>
  <c r="G271" i="33"/>
  <c r="F271" i="33" s="1"/>
  <c r="G270" i="33"/>
  <c r="F270" i="33" s="1"/>
  <c r="E270" i="33"/>
  <c r="E269" i="33"/>
  <c r="G268" i="33"/>
  <c r="G263" i="33"/>
  <c r="F263" i="33" s="1"/>
  <c r="G262" i="33"/>
  <c r="G122" i="20" s="1"/>
  <c r="G261" i="33"/>
  <c r="G260" i="33"/>
  <c r="G255" i="33"/>
  <c r="G256" i="33" s="1"/>
  <c r="F256" i="33" s="1"/>
  <c r="G250" i="33"/>
  <c r="F250" i="33" s="1"/>
  <c r="G249" i="33"/>
  <c r="F249" i="33" s="1"/>
  <c r="E249" i="33"/>
  <c r="G244" i="33"/>
  <c r="G243" i="33"/>
  <c r="F243" i="33" s="1"/>
  <c r="G238" i="33"/>
  <c r="E238" i="33" s="1"/>
  <c r="E239" i="33" s="1"/>
  <c r="G233" i="33"/>
  <c r="E233" i="33" s="1"/>
  <c r="G232" i="33"/>
  <c r="E232" i="33" s="1"/>
  <c r="G231" i="33"/>
  <c r="E231" i="33" s="1"/>
  <c r="G230" i="33"/>
  <c r="E230" i="33" s="1"/>
  <c r="G229" i="33"/>
  <c r="F229" i="33" s="1"/>
  <c r="G228" i="33"/>
  <c r="F228" i="33" s="1"/>
  <c r="E228" i="33"/>
  <c r="G227" i="33"/>
  <c r="E227" i="33" s="1"/>
  <c r="F227" i="33"/>
  <c r="G226" i="33"/>
  <c r="F226" i="33" s="1"/>
  <c r="G225" i="33"/>
  <c r="G224" i="33"/>
  <c r="E224" i="33" s="1"/>
  <c r="G223" i="33"/>
  <c r="E223" i="33" s="1"/>
  <c r="G222" i="33"/>
  <c r="F222" i="33" s="1"/>
  <c r="G221" i="33"/>
  <c r="F221" i="33" s="1"/>
  <c r="G216" i="33"/>
  <c r="G217" i="33" s="1"/>
  <c r="F217" i="33" s="1"/>
  <c r="G211" i="33"/>
  <c r="E211" i="33" s="1"/>
  <c r="G210" i="33"/>
  <c r="G209" i="33"/>
  <c r="F209" i="33" s="1"/>
  <c r="G208" i="33"/>
  <c r="F208" i="33" s="1"/>
  <c r="G207" i="33"/>
  <c r="F207" i="33" s="1"/>
  <c r="E206" i="33"/>
  <c r="G205" i="33"/>
  <c r="F205" i="33"/>
  <c r="G204" i="33"/>
  <c r="E204" i="33"/>
  <c r="G199" i="33"/>
  <c r="E199" i="33" s="1"/>
  <c r="G198" i="33"/>
  <c r="G200" i="33" s="1"/>
  <c r="F200" i="33" s="1"/>
  <c r="G193" i="33"/>
  <c r="E193" i="33" s="1"/>
  <c r="G192" i="33"/>
  <c r="G191" i="33"/>
  <c r="E191" i="33" s="1"/>
  <c r="G190" i="33"/>
  <c r="G189" i="33"/>
  <c r="F189" i="33" s="1"/>
  <c r="G188" i="33"/>
  <c r="E188" i="33" s="1"/>
  <c r="G187" i="33"/>
  <c r="F187" i="33" s="1"/>
  <c r="G186" i="33"/>
  <c r="E186" i="33" s="1"/>
  <c r="G185" i="33"/>
  <c r="F185" i="33" s="1"/>
  <c r="G184" i="33"/>
  <c r="E184" i="33" s="1"/>
  <c r="F184" i="33"/>
  <c r="G183" i="33"/>
  <c r="F183" i="33" s="1"/>
  <c r="E183" i="33"/>
  <c r="G182" i="33"/>
  <c r="E182" i="33" s="1"/>
  <c r="F182" i="33"/>
  <c r="G181" i="33"/>
  <c r="G180" i="33"/>
  <c r="E180" i="33" s="1"/>
  <c r="G179" i="33"/>
  <c r="F103" i="20" s="1"/>
  <c r="E179" i="33"/>
  <c r="G178" i="33"/>
  <c r="F178" i="33" s="1"/>
  <c r="G177" i="33"/>
  <c r="E177" i="33" s="1"/>
  <c r="G176" i="33"/>
  <c r="F176" i="33" s="1"/>
  <c r="G175" i="33"/>
  <c r="E175" i="33" s="1"/>
  <c r="G174" i="33"/>
  <c r="F174" i="33" s="1"/>
  <c r="G173" i="33"/>
  <c r="E173" i="33" s="1"/>
  <c r="F173" i="33"/>
  <c r="G172" i="33"/>
  <c r="E172" i="33"/>
  <c r="G167" i="33"/>
  <c r="G166" i="33"/>
  <c r="G165" i="33"/>
  <c r="F165" i="33" s="1"/>
  <c r="G164" i="33"/>
  <c r="L93" i="20" s="1"/>
  <c r="G163" i="33"/>
  <c r="F163" i="33" s="1"/>
  <c r="G162" i="33"/>
  <c r="E162" i="33" s="1"/>
  <c r="G161" i="33"/>
  <c r="F161" i="33" s="1"/>
  <c r="E160" i="33"/>
  <c r="G159" i="33"/>
  <c r="F159" i="33" s="1"/>
  <c r="E159" i="33"/>
  <c r="E158" i="33"/>
  <c r="G157" i="33"/>
  <c r="F157" i="33" s="1"/>
  <c r="G156" i="33"/>
  <c r="E156" i="33" s="1"/>
  <c r="G155" i="33"/>
  <c r="E155" i="33" s="1"/>
  <c r="G154" i="33"/>
  <c r="E154" i="33" s="1"/>
  <c r="G153" i="33"/>
  <c r="E153" i="33" s="1"/>
  <c r="G152" i="33"/>
  <c r="F152" i="33" s="1"/>
  <c r="G151" i="33"/>
  <c r="F151" i="33" s="1"/>
  <c r="G150" i="33"/>
  <c r="E150" i="33" s="1"/>
  <c r="G149" i="33"/>
  <c r="E149" i="33" s="1"/>
  <c r="G148" i="33"/>
  <c r="E148" i="33"/>
  <c r="G143" i="33"/>
  <c r="F143" i="33" s="1"/>
  <c r="G142" i="33"/>
  <c r="E142" i="33" s="1"/>
  <c r="G141" i="33"/>
  <c r="F141" i="33" s="1"/>
  <c r="G140" i="33"/>
  <c r="G135" i="33"/>
  <c r="E135" i="33" s="1"/>
  <c r="F135" i="33"/>
  <c r="G134" i="33"/>
  <c r="F134" i="33" s="1"/>
  <c r="E133" i="33"/>
  <c r="E132" i="33"/>
  <c r="G127" i="33"/>
  <c r="F127" i="33" s="1"/>
  <c r="G126" i="33"/>
  <c r="G125" i="33"/>
  <c r="F125" i="33" s="1"/>
  <c r="E124" i="33"/>
  <c r="G123" i="33"/>
  <c r="F123" i="33" s="1"/>
  <c r="G122" i="33"/>
  <c r="E122" i="33" s="1"/>
  <c r="F122" i="33"/>
  <c r="G121" i="33"/>
  <c r="G116" i="33"/>
  <c r="F116" i="33" s="1"/>
  <c r="G115" i="33"/>
  <c r="E115" i="33" s="1"/>
  <c r="F115" i="33"/>
  <c r="G114" i="33"/>
  <c r="E114" i="33" s="1"/>
  <c r="G113" i="33"/>
  <c r="E113" i="33" s="1"/>
  <c r="G112" i="33"/>
  <c r="G107" i="33"/>
  <c r="F107" i="33" s="1"/>
  <c r="E107" i="33"/>
  <c r="G106" i="33"/>
  <c r="C18" i="21" s="1"/>
  <c r="F106" i="33"/>
  <c r="G105" i="33"/>
  <c r="F105" i="33" s="1"/>
  <c r="G104" i="33"/>
  <c r="G103" i="33"/>
  <c r="E103" i="33" s="1"/>
  <c r="G102" i="33"/>
  <c r="G97" i="33"/>
  <c r="F97" i="33" s="1"/>
  <c r="G96" i="33"/>
  <c r="G98" i="33" s="1"/>
  <c r="F98" i="33" s="1"/>
  <c r="G91" i="33"/>
  <c r="E91" i="33" s="1"/>
  <c r="G90" i="33"/>
  <c r="E90" i="33" s="1"/>
  <c r="G85" i="33"/>
  <c r="E85" i="33" s="1"/>
  <c r="G84" i="33"/>
  <c r="F84" i="33" s="1"/>
  <c r="G83" i="33"/>
  <c r="F83" i="33" s="1"/>
  <c r="E83" i="33"/>
  <c r="E82" i="33"/>
  <c r="G81" i="33"/>
  <c r="F81" i="33" s="1"/>
  <c r="G80" i="33"/>
  <c r="G75" i="33"/>
  <c r="F75" i="33" s="1"/>
  <c r="E75" i="33"/>
  <c r="G74" i="33"/>
  <c r="E74" i="33" s="1"/>
  <c r="G73" i="33"/>
  <c r="E73" i="33" s="1"/>
  <c r="G72" i="33"/>
  <c r="E72" i="33" s="1"/>
  <c r="G71" i="33"/>
  <c r="E71" i="33" s="1"/>
  <c r="G70" i="33"/>
  <c r="E70" i="33" s="1"/>
  <c r="G69" i="33"/>
  <c r="E69" i="33" s="1"/>
  <c r="G64" i="33"/>
  <c r="E64" i="33" s="1"/>
  <c r="G63" i="33"/>
  <c r="E63" i="33" s="1"/>
  <c r="E62" i="33"/>
  <c r="E61" i="33"/>
  <c r="G60" i="33"/>
  <c r="F60" i="33" s="1"/>
  <c r="E59" i="33"/>
  <c r="G58" i="33"/>
  <c r="F58" i="33" s="1"/>
  <c r="E58" i="33"/>
  <c r="G57" i="33"/>
  <c r="E57" i="33"/>
  <c r="G56" i="33"/>
  <c r="E56" i="33"/>
  <c r="E55" i="33"/>
  <c r="G54" i="33"/>
  <c r="D50" i="33"/>
  <c r="D279" i="33" s="1"/>
  <c r="C50" i="33"/>
  <c r="C279" i="33" s="1"/>
  <c r="E49" i="33"/>
  <c r="G48" i="33"/>
  <c r="E48" i="33" s="1"/>
  <c r="G47" i="33"/>
  <c r="E47" i="33" s="1"/>
  <c r="G46" i="33"/>
  <c r="G45" i="33"/>
  <c r="E45" i="33"/>
  <c r="G44" i="33"/>
  <c r="F44" i="33" s="1"/>
  <c r="G43" i="33"/>
  <c r="F43" i="33" s="1"/>
  <c r="G42" i="33"/>
  <c r="E42" i="33" s="1"/>
  <c r="G41" i="33"/>
  <c r="G40" i="33"/>
  <c r="E39" i="33"/>
  <c r="E38" i="33"/>
  <c r="E37" i="33"/>
  <c r="G36" i="33"/>
  <c r="E36" i="33"/>
  <c r="G35" i="33"/>
  <c r="E35" i="33" s="1"/>
  <c r="F35" i="33"/>
  <c r="G34" i="33"/>
  <c r="F34" i="33" s="1"/>
  <c r="E34" i="33"/>
  <c r="G33" i="33"/>
  <c r="E33" i="33" s="1"/>
  <c r="F33" i="33"/>
  <c r="G32" i="33"/>
  <c r="F32" i="33" s="1"/>
  <c r="G31" i="33"/>
  <c r="E31" i="33" s="1"/>
  <c r="G30" i="33"/>
  <c r="F30" i="33" s="1"/>
  <c r="G29" i="33"/>
  <c r="F29" i="33" s="1"/>
  <c r="G28" i="33"/>
  <c r="E28" i="33" s="1"/>
  <c r="G27" i="33"/>
  <c r="F27" i="33" s="1"/>
  <c r="G26" i="33"/>
  <c r="F26" i="33" s="1"/>
  <c r="G25" i="33"/>
  <c r="F25" i="33" s="1"/>
  <c r="G24" i="33"/>
  <c r="E24" i="33" s="1"/>
  <c r="G23" i="33"/>
  <c r="F23" i="33" s="1"/>
  <c r="G22" i="33"/>
  <c r="F22" i="33" s="1"/>
  <c r="G21" i="33"/>
  <c r="F21" i="33" s="1"/>
  <c r="G20" i="33"/>
  <c r="E20" i="33" s="1"/>
  <c r="G19" i="33"/>
  <c r="E19" i="33" s="1"/>
  <c r="G18" i="33"/>
  <c r="E18" i="33" s="1"/>
  <c r="G17" i="33"/>
  <c r="F17" i="33" s="1"/>
  <c r="G16" i="33"/>
  <c r="F16" i="33" s="1"/>
  <c r="G15" i="33"/>
  <c r="F15" i="33" s="1"/>
  <c r="E15" i="33"/>
  <c r="G14" i="33"/>
  <c r="F14" i="33" s="1"/>
  <c r="G13" i="33"/>
  <c r="E13" i="33" s="1"/>
  <c r="G12" i="33"/>
  <c r="E12" i="33" s="1"/>
  <c r="E11" i="33"/>
  <c r="G10" i="33"/>
  <c r="G150" i="34"/>
  <c r="F150" i="34"/>
  <c r="F149" i="34"/>
  <c r="E149" i="34"/>
  <c r="E150" i="34" s="1"/>
  <c r="G145" i="34"/>
  <c r="F145" i="34" s="1"/>
  <c r="E144" i="34"/>
  <c r="E143" i="34"/>
  <c r="E142" i="34"/>
  <c r="F141" i="34"/>
  <c r="E141" i="34"/>
  <c r="E140" i="34"/>
  <c r="E139" i="34"/>
  <c r="F138" i="34"/>
  <c r="E138" i="34"/>
  <c r="F137" i="34"/>
  <c r="E137" i="34"/>
  <c r="F136" i="34"/>
  <c r="E136" i="34"/>
  <c r="F135" i="34"/>
  <c r="E135" i="34"/>
  <c r="E145" i="34" s="1"/>
  <c r="G131" i="34"/>
  <c r="F131" i="34" s="1"/>
  <c r="E131" i="34"/>
  <c r="G130" i="34"/>
  <c r="F130" i="34"/>
  <c r="E130" i="34"/>
  <c r="F129" i="34"/>
  <c r="E129" i="34"/>
  <c r="G125" i="34"/>
  <c r="F125" i="34" s="1"/>
  <c r="E125" i="34"/>
  <c r="F124" i="34"/>
  <c r="E124" i="34"/>
  <c r="F123" i="34"/>
  <c r="E123" i="34"/>
  <c r="G119" i="34"/>
  <c r="F119" i="34"/>
  <c r="F118" i="34"/>
  <c r="E118" i="34"/>
  <c r="F117" i="34"/>
  <c r="E117" i="34"/>
  <c r="E119" i="34" s="1"/>
  <c r="G113" i="34"/>
  <c r="F113" i="34" s="1"/>
  <c r="F112" i="34"/>
  <c r="E112" i="34"/>
  <c r="E113" i="34" s="1"/>
  <c r="G108" i="34"/>
  <c r="D108" i="34"/>
  <c r="F107" i="34"/>
  <c r="F108" i="34" s="1"/>
  <c r="E107" i="34"/>
  <c r="E108" i="34" s="1"/>
  <c r="G103" i="34"/>
  <c r="F103" i="34"/>
  <c r="F102" i="34"/>
  <c r="E102" i="34"/>
  <c r="E103" i="34" s="1"/>
  <c r="G98" i="34"/>
  <c r="E97" i="34"/>
  <c r="E98" i="34" s="1"/>
  <c r="G93" i="34"/>
  <c r="F93" i="34"/>
  <c r="F92" i="34"/>
  <c r="E92" i="34"/>
  <c r="F91" i="34"/>
  <c r="E91" i="34"/>
  <c r="E93" i="34" s="1"/>
  <c r="G87" i="34"/>
  <c r="D87" i="34"/>
  <c r="C87" i="34"/>
  <c r="F86" i="34"/>
  <c r="F87" i="34" s="1"/>
  <c r="E86" i="34"/>
  <c r="E87" i="34" s="1"/>
  <c r="D82" i="34"/>
  <c r="C82" i="34"/>
  <c r="G81" i="34"/>
  <c r="G82" i="34" s="1"/>
  <c r="E81" i="34"/>
  <c r="E82" i="34" s="1"/>
  <c r="G77" i="34"/>
  <c r="D77" i="34"/>
  <c r="D152" i="34" s="1"/>
  <c r="C77" i="34"/>
  <c r="F76" i="34"/>
  <c r="F77" i="34" s="1"/>
  <c r="E76" i="34"/>
  <c r="E77" i="34" s="1"/>
  <c r="F70" i="34"/>
  <c r="E70" i="34"/>
  <c r="E69" i="34"/>
  <c r="F68" i="34"/>
  <c r="E68" i="34"/>
  <c r="F67" i="34"/>
  <c r="E67" i="34"/>
  <c r="E66" i="34"/>
  <c r="E65" i="34"/>
  <c r="F64" i="34"/>
  <c r="E64" i="34"/>
  <c r="E63" i="34"/>
  <c r="G62" i="34"/>
  <c r="F62" i="34"/>
  <c r="E62" i="34"/>
  <c r="F60" i="34"/>
  <c r="E60" i="34"/>
  <c r="E59" i="34"/>
  <c r="F58" i="34"/>
  <c r="E58" i="34"/>
  <c r="G57" i="34"/>
  <c r="F57" i="34"/>
  <c r="E57" i="34"/>
  <c r="F56" i="34"/>
  <c r="E56" i="34"/>
  <c r="G55" i="34"/>
  <c r="F55" i="34" s="1"/>
  <c r="F54" i="34"/>
  <c r="E54" i="34"/>
  <c r="G53" i="34"/>
  <c r="F53" i="34"/>
  <c r="E53" i="34"/>
  <c r="F52" i="34"/>
  <c r="E52" i="34"/>
  <c r="F51" i="34"/>
  <c r="E51" i="34"/>
  <c r="F50" i="34"/>
  <c r="E50" i="34"/>
  <c r="F49" i="34"/>
  <c r="E49" i="34"/>
  <c r="F48" i="34"/>
  <c r="E48" i="34"/>
  <c r="F47" i="34"/>
  <c r="E47" i="34"/>
  <c r="F46" i="34"/>
  <c r="E46" i="34"/>
  <c r="G45" i="34"/>
  <c r="G44" i="34" s="1"/>
  <c r="E45" i="34"/>
  <c r="G40" i="34"/>
  <c r="E40" i="34"/>
  <c r="C40" i="34"/>
  <c r="F39" i="34"/>
  <c r="E39" i="34"/>
  <c r="F38" i="34"/>
  <c r="F40" i="34" s="1"/>
  <c r="E38" i="34"/>
  <c r="G34" i="34"/>
  <c r="F34" i="34" s="1"/>
  <c r="C34" i="34"/>
  <c r="C152" i="34" s="1"/>
  <c r="F33" i="34"/>
  <c r="E33" i="34"/>
  <c r="E32" i="34"/>
  <c r="F31" i="34"/>
  <c r="E31" i="34"/>
  <c r="F29" i="34"/>
  <c r="F28" i="34"/>
  <c r="F27" i="34"/>
  <c r="F26" i="34"/>
  <c r="F25" i="34"/>
  <c r="G24" i="34"/>
  <c r="F24" i="34" s="1"/>
  <c r="E24" i="34"/>
  <c r="E23" i="34"/>
  <c r="F22" i="34"/>
  <c r="E22" i="34"/>
  <c r="F21" i="34"/>
  <c r="E21" i="34"/>
  <c r="F20" i="34"/>
  <c r="E20" i="34"/>
  <c r="E19" i="34"/>
  <c r="E18" i="34"/>
  <c r="F17" i="34"/>
  <c r="E17" i="34"/>
  <c r="F16" i="34"/>
  <c r="E16" i="34"/>
  <c r="F15" i="34"/>
  <c r="E15" i="34"/>
  <c r="E14" i="34"/>
  <c r="E13" i="34"/>
  <c r="E12" i="34"/>
  <c r="F11" i="34"/>
  <c r="E11" i="34"/>
  <c r="E10" i="34"/>
  <c r="E34" i="34" s="1"/>
  <c r="F41" i="33" l="1"/>
  <c r="C75" i="23"/>
  <c r="C17" i="22"/>
  <c r="E23" i="33"/>
  <c r="E27" i="33"/>
  <c r="F45" i="33"/>
  <c r="C17" i="21"/>
  <c r="C23" i="21" s="1"/>
  <c r="C38" i="21" s="1"/>
  <c r="G92" i="33"/>
  <c r="F175" i="33"/>
  <c r="F177" i="33"/>
  <c r="F179" i="33"/>
  <c r="F186" i="33"/>
  <c r="F188" i="33"/>
  <c r="E209" i="33"/>
  <c r="F216" i="33"/>
  <c r="G239" i="33"/>
  <c r="F239" i="33" s="1"/>
  <c r="F255" i="33"/>
  <c r="E22" i="33"/>
  <c r="F46" i="33"/>
  <c r="C22" i="21"/>
  <c r="G144" i="33"/>
  <c r="G92" i="20" s="1"/>
  <c r="E243" i="33"/>
  <c r="E262" i="33"/>
  <c r="E271" i="33"/>
  <c r="E26" i="33"/>
  <c r="E30" i="33"/>
  <c r="E16" i="33"/>
  <c r="F20" i="33"/>
  <c r="F24" i="33"/>
  <c r="F28" i="33"/>
  <c r="F40" i="33"/>
  <c r="C32" i="23"/>
  <c r="C14" i="22"/>
  <c r="E81" i="33"/>
  <c r="F91" i="33"/>
  <c r="E176" i="33"/>
  <c r="E187" i="33"/>
  <c r="F238" i="33"/>
  <c r="F262" i="33"/>
  <c r="E76" i="33"/>
  <c r="F144" i="33"/>
  <c r="E166" i="33"/>
  <c r="K93" i="20"/>
  <c r="E225" i="33"/>
  <c r="G99" i="20"/>
  <c r="G275" i="33"/>
  <c r="F275" i="33" s="1"/>
  <c r="G115" i="20"/>
  <c r="F85" i="33"/>
  <c r="E97" i="33"/>
  <c r="G15" i="3"/>
  <c r="G131" i="20"/>
  <c r="E127" i="33"/>
  <c r="E134" i="33"/>
  <c r="E141" i="33"/>
  <c r="F150" i="33"/>
  <c r="E161" i="33"/>
  <c r="E165" i="33"/>
  <c r="F167" i="33"/>
  <c r="M93" i="20"/>
  <c r="E190" i="33"/>
  <c r="L103" i="20"/>
  <c r="E198" i="33"/>
  <c r="E200" i="33" s="1"/>
  <c r="F204" i="33"/>
  <c r="E96" i="20"/>
  <c r="F211" i="33"/>
  <c r="E221" i="33"/>
  <c r="E99" i="20"/>
  <c r="G251" i="33"/>
  <c r="G264" i="33"/>
  <c r="F264" i="33" s="1"/>
  <c r="E122" i="20"/>
  <c r="G128" i="33"/>
  <c r="F128" i="33" s="1"/>
  <c r="G88" i="20"/>
  <c r="F181" i="33"/>
  <c r="G103" i="20"/>
  <c r="F10" i="33"/>
  <c r="E90" i="20"/>
  <c r="E40" i="33"/>
  <c r="P90" i="20"/>
  <c r="G20" i="3"/>
  <c r="G76" i="33"/>
  <c r="G91" i="20"/>
  <c r="F92" i="33"/>
  <c r="G14" i="3"/>
  <c r="F103" i="33"/>
  <c r="F130" i="20"/>
  <c r="G117" i="33"/>
  <c r="F117" i="33" s="1"/>
  <c r="E131" i="20"/>
  <c r="F114" i="33"/>
  <c r="F131" i="20"/>
  <c r="G136" i="33"/>
  <c r="E152" i="33"/>
  <c r="F93" i="20"/>
  <c r="F154" i="33"/>
  <c r="G93" i="20"/>
  <c r="E164" i="33"/>
  <c r="E207" i="33"/>
  <c r="G96" i="20"/>
  <c r="F224" i="33"/>
  <c r="F99" i="20"/>
  <c r="E229" i="33"/>
  <c r="E250" i="33"/>
  <c r="E251" i="33" s="1"/>
  <c r="E261" i="33"/>
  <c r="F122" i="20"/>
  <c r="E274" i="33"/>
  <c r="G108" i="33"/>
  <c r="F108" i="33" s="1"/>
  <c r="E130" i="20"/>
  <c r="E104" i="33"/>
  <c r="G130" i="20"/>
  <c r="E126" i="33"/>
  <c r="K88" i="20"/>
  <c r="F210" i="33"/>
  <c r="L96" i="20"/>
  <c r="E43" i="33"/>
  <c r="L90" i="20"/>
  <c r="G65" i="33"/>
  <c r="E17" i="33"/>
  <c r="F90" i="20"/>
  <c r="F19" i="33"/>
  <c r="G90" i="20"/>
  <c r="E46" i="33"/>
  <c r="E60" i="33"/>
  <c r="E80" i="33"/>
  <c r="E91" i="20"/>
  <c r="E84" i="33"/>
  <c r="E96" i="33"/>
  <c r="I95" i="20"/>
  <c r="F102" i="33"/>
  <c r="F104" i="33"/>
  <c r="E106" i="33"/>
  <c r="L130" i="20"/>
  <c r="F113" i="33"/>
  <c r="E121" i="33"/>
  <c r="F126" i="33"/>
  <c r="E136" i="33"/>
  <c r="F140" i="33"/>
  <c r="F142" i="33"/>
  <c r="G168" i="33"/>
  <c r="F168" i="33" s="1"/>
  <c r="E93" i="20"/>
  <c r="E151" i="33"/>
  <c r="F155" i="33"/>
  <c r="E157" i="33"/>
  <c r="F162" i="33"/>
  <c r="F164" i="33"/>
  <c r="F166" i="33"/>
  <c r="G194" i="33"/>
  <c r="F194" i="33" s="1"/>
  <c r="E103" i="20"/>
  <c r="E192" i="33"/>
  <c r="K103" i="20"/>
  <c r="E205" i="33"/>
  <c r="F96" i="20"/>
  <c r="E210" i="33"/>
  <c r="E216" i="33"/>
  <c r="E217" i="33" s="1"/>
  <c r="F223" i="33"/>
  <c r="F225" i="33"/>
  <c r="G245" i="33"/>
  <c r="E255" i="33"/>
  <c r="E256" i="33" s="1"/>
  <c r="G11" i="3"/>
  <c r="E268" i="33"/>
  <c r="F272" i="33"/>
  <c r="J115" i="20"/>
  <c r="H11" i="3"/>
  <c r="E92" i="33"/>
  <c r="G50" i="33"/>
  <c r="G86" i="33"/>
  <c r="F86" i="33" s="1"/>
  <c r="G234" i="33"/>
  <c r="F234" i="33" s="1"/>
  <c r="E54" i="33"/>
  <c r="E65" i="33" s="1"/>
  <c r="F73" i="33"/>
  <c r="E102" i="33"/>
  <c r="F121" i="33"/>
  <c r="E140" i="33"/>
  <c r="F148" i="33"/>
  <c r="F172" i="33"/>
  <c r="F198" i="33"/>
  <c r="F268" i="33"/>
  <c r="E10" i="33"/>
  <c r="E14" i="33"/>
  <c r="E21" i="33"/>
  <c r="E25" i="33"/>
  <c r="E29" i="33"/>
  <c r="E32" i="33"/>
  <c r="E41" i="33"/>
  <c r="E44" i="33"/>
  <c r="E105" i="33"/>
  <c r="E112" i="33"/>
  <c r="E116" i="33"/>
  <c r="E123" i="33"/>
  <c r="E125" i="33"/>
  <c r="E143" i="33"/>
  <c r="E163" i="33"/>
  <c r="E167" i="33"/>
  <c r="E174" i="33"/>
  <c r="E178" i="33"/>
  <c r="E181" i="33"/>
  <c r="E185" i="33"/>
  <c r="E189" i="33"/>
  <c r="E208" i="33"/>
  <c r="E222" i="33"/>
  <c r="E234" i="33" s="1"/>
  <c r="E226" i="33"/>
  <c r="E244" i="33"/>
  <c r="E245" i="33" s="1"/>
  <c r="E263" i="33"/>
  <c r="E272" i="33"/>
  <c r="E275" i="33" s="1"/>
  <c r="G212" i="33"/>
  <c r="F212" i="33" s="1"/>
  <c r="F112" i="33"/>
  <c r="F244" i="33"/>
  <c r="E260" i="33"/>
  <c r="F44" i="34"/>
  <c r="G71" i="34"/>
  <c r="F71" i="34" s="1"/>
  <c r="E44" i="34"/>
  <c r="F45" i="34"/>
  <c r="F81" i="34"/>
  <c r="F82" i="34" s="1"/>
  <c r="E55" i="34"/>
  <c r="G152" i="34"/>
  <c r="E98" i="33" l="1"/>
  <c r="E86" i="33"/>
  <c r="E157" i="20"/>
  <c r="E168" i="33"/>
  <c r="F76" i="33"/>
  <c r="G89" i="20"/>
  <c r="F251" i="33"/>
  <c r="G101" i="20"/>
  <c r="E212" i="33"/>
  <c r="E194" i="33"/>
  <c r="E117" i="33"/>
  <c r="E108" i="33"/>
  <c r="F245" i="33"/>
  <c r="G100" i="20"/>
  <c r="F65" i="33"/>
  <c r="G136" i="20"/>
  <c r="F136" i="33"/>
  <c r="K87" i="20"/>
  <c r="K157" i="20" s="1"/>
  <c r="E128" i="33"/>
  <c r="E50" i="33"/>
  <c r="E144" i="33"/>
  <c r="F50" i="33"/>
  <c r="G279" i="33"/>
  <c r="E264" i="33"/>
  <c r="G155" i="34"/>
  <c r="F152" i="34"/>
  <c r="E71" i="34"/>
  <c r="E152" i="34" s="1"/>
  <c r="G281" i="33" l="1"/>
  <c r="F279" i="33"/>
  <c r="E279" i="33"/>
  <c r="D20" i="24" l="1"/>
  <c r="E20" i="24"/>
  <c r="F20" i="24"/>
  <c r="G20" i="24"/>
  <c r="H20" i="24"/>
  <c r="I20" i="24"/>
  <c r="J20" i="24"/>
  <c r="K20" i="24"/>
  <c r="L20" i="24"/>
  <c r="M20" i="24"/>
  <c r="C20" i="24"/>
  <c r="D21" i="24"/>
  <c r="E21" i="24"/>
  <c r="F21" i="24"/>
  <c r="G21" i="24"/>
  <c r="H21" i="24"/>
  <c r="I21" i="24"/>
  <c r="J21" i="24"/>
  <c r="K21" i="24"/>
  <c r="L21" i="24"/>
  <c r="M21" i="24"/>
  <c r="N21" i="24"/>
  <c r="C21" i="24"/>
  <c r="D42" i="24"/>
  <c r="E42" i="24"/>
  <c r="F42" i="24"/>
  <c r="G42" i="24"/>
  <c r="H42" i="24"/>
  <c r="I42" i="24"/>
  <c r="J42" i="24"/>
  <c r="K42" i="24"/>
  <c r="L42" i="24"/>
  <c r="M42" i="24"/>
  <c r="N42" i="24"/>
  <c r="C42" i="24"/>
  <c r="D20" i="23"/>
  <c r="E20" i="23"/>
  <c r="B10" i="2" l="1"/>
  <c r="N157" i="20"/>
  <c r="O157" i="20"/>
  <c r="J10" i="20"/>
  <c r="H18" i="20" l="1"/>
  <c r="E74" i="20"/>
  <c r="F74" i="20"/>
  <c r="G74" i="20"/>
  <c r="I74" i="20"/>
  <c r="J74" i="20"/>
  <c r="K74" i="20"/>
  <c r="L74" i="20"/>
  <c r="M74" i="20"/>
  <c r="N74" i="20"/>
  <c r="O74" i="20"/>
  <c r="P74" i="20"/>
  <c r="B23" i="3"/>
  <c r="C60" i="23" s="1"/>
  <c r="C14" i="3"/>
  <c r="B14" i="3" s="1"/>
  <c r="B22" i="3"/>
  <c r="B21" i="3"/>
  <c r="B20" i="3"/>
  <c r="F20" i="3"/>
  <c r="B40" i="24" s="1"/>
  <c r="G19" i="3"/>
  <c r="F19" i="3" s="1"/>
  <c r="F18" i="3"/>
  <c r="H13" i="3"/>
  <c r="F13" i="3" s="1"/>
  <c r="G12" i="3"/>
  <c r="F12" i="3" s="1"/>
  <c r="F11" i="3"/>
  <c r="B32" i="24" l="1"/>
  <c r="C27" i="23"/>
  <c r="C24" i="23"/>
  <c r="B33" i="24"/>
  <c r="B38" i="24"/>
  <c r="C66" i="23"/>
  <c r="B17" i="24"/>
  <c r="C54" i="23"/>
  <c r="C71" i="23"/>
  <c r="B39" i="24"/>
  <c r="B34" i="24"/>
  <c r="C25" i="23"/>
  <c r="H10" i="3"/>
  <c r="H16" i="3" s="1"/>
  <c r="H24" i="3" s="1"/>
  <c r="H26" i="3" s="1"/>
  <c r="B11" i="3"/>
  <c r="C12" i="3"/>
  <c r="B12" i="3" s="1"/>
  <c r="C10" i="3"/>
  <c r="B8" i="3"/>
  <c r="B10" i="3" l="1"/>
  <c r="C16" i="3"/>
  <c r="D16" i="3"/>
  <c r="D24" i="3" s="1"/>
  <c r="D26" i="3" s="1"/>
  <c r="C16" i="23"/>
  <c r="B12" i="24"/>
  <c r="B10" i="24"/>
  <c r="C12" i="23"/>
  <c r="C11" i="23"/>
  <c r="B13" i="24"/>
  <c r="B14" i="24"/>
  <c r="B9" i="3"/>
  <c r="B11" i="24" l="1"/>
  <c r="C13" i="23"/>
  <c r="C64" i="23"/>
  <c r="H74" i="20" l="1"/>
  <c r="B30" i="2"/>
  <c r="B34" i="2" s="1"/>
  <c r="F17" i="3"/>
  <c r="C65" i="23" l="1"/>
  <c r="C76" i="23" s="1"/>
  <c r="B37" i="24"/>
  <c r="F10" i="3" l="1"/>
  <c r="F8" i="3"/>
  <c r="F9" i="3"/>
  <c r="B30" i="24" l="1"/>
  <c r="C22" i="23"/>
  <c r="D74" i="20"/>
  <c r="D76" i="20" s="1"/>
  <c r="C21" i="23"/>
  <c r="B29" i="24"/>
  <c r="C23" i="23"/>
  <c r="B31" i="24"/>
  <c r="B25" i="3" l="1"/>
  <c r="C24" i="3"/>
  <c r="B13" i="3"/>
  <c r="Q159" i="20"/>
  <c r="B19" i="3"/>
  <c r="B19" i="24" s="1"/>
  <c r="N19" i="24" s="1"/>
  <c r="N20" i="24" s="1"/>
  <c r="B16" i="3" l="1"/>
  <c r="B24" i="3" s="1"/>
  <c r="B26" i="3" s="1"/>
  <c r="B21" i="24"/>
  <c r="C79" i="23"/>
  <c r="C14" i="23"/>
  <c r="B18" i="24"/>
  <c r="B20" i="24" s="1"/>
  <c r="C26" i="3"/>
  <c r="J157" i="20"/>
  <c r="I157" i="20"/>
  <c r="M157" i="20"/>
  <c r="P157" i="20"/>
  <c r="C20" i="23" l="1"/>
  <c r="C77" i="23" s="1"/>
  <c r="F157" i="20"/>
  <c r="L157" i="20"/>
  <c r="E158" i="20" l="1"/>
  <c r="G157" i="20"/>
  <c r="F14" i="3"/>
  <c r="G16" i="3"/>
  <c r="G24" i="3" s="1"/>
  <c r="G25" i="3"/>
  <c r="F25" i="3" s="1"/>
  <c r="B42" i="24" s="1"/>
  <c r="F15" i="3"/>
  <c r="H157" i="20"/>
  <c r="F16" i="3" l="1"/>
  <c r="F24" i="3" s="1"/>
  <c r="F26" i="3" s="1"/>
  <c r="B35" i="24"/>
  <c r="C26" i="23"/>
  <c r="B36" i="24"/>
  <c r="C29" i="23"/>
  <c r="G26" i="3"/>
  <c r="C33" i="23" l="1"/>
  <c r="B33" i="2"/>
  <c r="B17" i="2"/>
  <c r="B12" i="5" l="1"/>
  <c r="C157" i="20" l="1"/>
  <c r="D75" i="20"/>
  <c r="Q158" i="20" s="1"/>
  <c r="C74" i="20"/>
  <c r="C18" i="22"/>
  <c r="C20" i="22" s="1"/>
  <c r="D14" i="28" l="1"/>
  <c r="E14" i="28"/>
  <c r="C14" i="28"/>
  <c r="D6" i="28"/>
  <c r="E6" i="28"/>
  <c r="N22" i="24" l="1"/>
  <c r="B41" i="24"/>
  <c r="C41" i="24" l="1"/>
  <c r="D22" i="24"/>
  <c r="E22" i="24"/>
  <c r="F22" i="24"/>
  <c r="G22" i="24"/>
  <c r="I22" i="24"/>
  <c r="J22" i="24"/>
  <c r="K22" i="24"/>
  <c r="M22" i="24"/>
  <c r="C22" i="24" l="1"/>
  <c r="C43" i="24"/>
  <c r="L22" i="24"/>
  <c r="H22" i="24"/>
  <c r="B43" i="24"/>
  <c r="B22" i="24"/>
  <c r="D41" i="24"/>
  <c r="D43" i="24" s="1"/>
  <c r="E41" i="24"/>
  <c r="E43" i="24" s="1"/>
  <c r="F41" i="24"/>
  <c r="F43" i="24" s="1"/>
  <c r="G41" i="24"/>
  <c r="G43" i="24" s="1"/>
  <c r="H41" i="24"/>
  <c r="H43" i="24" s="1"/>
  <c r="I41" i="24"/>
  <c r="J41" i="24"/>
  <c r="J43" i="24" s="1"/>
  <c r="K41" i="24"/>
  <c r="K43" i="24" s="1"/>
  <c r="L41" i="24"/>
  <c r="L43" i="24" s="1"/>
  <c r="M41" i="24"/>
  <c r="N41" i="24"/>
  <c r="C16" i="25"/>
  <c r="E33" i="23"/>
  <c r="E76" i="23"/>
  <c r="D33" i="23"/>
  <c r="D76" i="23"/>
  <c r="E64" i="23"/>
  <c r="D64" i="23"/>
  <c r="M43" i="24" l="1"/>
  <c r="E77" i="23"/>
  <c r="I43" i="24"/>
  <c r="D78" i="23"/>
  <c r="D80" i="23" s="1"/>
  <c r="C78" i="23"/>
  <c r="C80" i="23" s="1"/>
  <c r="D77" i="23"/>
  <c r="D77" i="20"/>
  <c r="E160" i="20"/>
  <c r="E78" i="23"/>
  <c r="E80" i="23" s="1"/>
  <c r="Q16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3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<sst xmlns="http://schemas.openxmlformats.org/spreadsheetml/2006/main" count="2117" uniqueCount="784">
  <si>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</si>
  <si>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</si>
  <si>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</si>
  <si>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</si>
  <si>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</si>
  <si>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</si>
  <si>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</si>
  <si>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</si>
  <si>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</si>
  <si>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</si>
  <si>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</si>
  <si>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</si>
  <si>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</si>
  <si>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</si>
  <si>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</si>
  <si>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</si>
  <si>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</si>
  <si>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</si>
  <si>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</si>
  <si>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</si>
  <si>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</si>
  <si>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</si>
  <si>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</si>
  <si>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</si>
  <si>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</si>
  <si>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</si>
  <si>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</si>
  <si>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</si>
  <si>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</si>
  <si>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</si>
  <si>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</si>
  <si>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</si>
  <si>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</si>
  <si>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</si>
  <si>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</si>
  <si>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</si>
  <si>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</si>
  <si>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</si>
  <si>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</si>
  <si>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</si>
  <si>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</si>
  <si>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</si>
  <si>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</si>
  <si>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</si>
  <si>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</si>
  <si>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</si>
  <si>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</si>
  <si>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</si>
  <si>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</si>
  <si>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</si>
  <si>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</si>
  <si>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</si>
  <si>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</si>
  <si>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</si>
  <si>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</si>
  <si>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</si>
  <si>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</si>
  <si>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</si>
  <si>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</si>
  <si>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</si>
  <si>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</si>
  <si>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</si>
  <si>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</si>
  <si>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</si>
  <si>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</si>
  <si>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</si>
  <si>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</si>
  <si>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</si>
  <si>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</si>
  <si>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</si>
  <si>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</si>
  <si>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</si>
  <si>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</si>
  <si>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</si>
  <si>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</si>
  <si>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</si>
  <si>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</si>
  <si>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</si>
  <si>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</si>
  <si>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</si>
  <si>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</si>
  <si>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</si>
  <si>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</si>
  <si>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</si>
  <si>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</si>
  <si>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</si>
  <si>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</si>
  <si>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</si>
  <si>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</si>
  <si>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</si>
  <si>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</si>
  <si>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</si>
  <si>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</si>
  <si>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</si>
  <si>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</si>
  <si>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</si>
  <si>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</si>
  <si>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</si>
  <si>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</si>
  <si>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</si>
  <si>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</si>
  <si>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</si>
  <si>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</si>
  <si>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</si>
  <si>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</si>
  <si>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</si>
  <si>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</si>
  <si>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</si>
  <si>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</si>
  <si>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</si>
  <si>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</si>
  <si>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</si>
  <si>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</si>
  <si>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</si>
  <si>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</si>
  <si>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</si>
  <si>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</si>
  <si>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</si>
  <si>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</si>
  <si>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</si>
  <si>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</si>
  <si>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</si>
  <si>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</si>
  <si>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</si>
  <si>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</si>
  <si>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</si>
  <si>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</si>
  <si>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</si>
  <si>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</si>
  <si>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</si>
  <si>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</si>
  <si>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</si>
  <si>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</si>
  <si>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</si>
  <si>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</si>
  <si>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</si>
  <si>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</si>
  <si>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</si>
  <si>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</si>
  <si>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</si>
  <si>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</si>
  <si>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</si>
  <si>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</si>
  <si>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</si>
  <si>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</si>
  <si>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</si>
  <si>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</si>
  <si>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</si>
  <si>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</si>
  <si>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</si>
  <si>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</si>
  <si>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</si>
  <si>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</si>
  <si>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</si>
  <si>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</si>
  <si>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</si>
  <si>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</si>
  <si>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</si>
  <si>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</si>
  <si>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</si>
  <si>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</si>
  <si>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</si>
  <si>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</si>
  <si>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</si>
  <si>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</si>
  <si>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</si>
  <si>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</si>
  <si>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</si>
  <si>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</si>
  <si>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</si>
  <si>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</si>
  <si>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</si>
  <si>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</si>
  <si>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</si>
  <si>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</si>
  <si>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</si>
  <si>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</si>
  <si>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</si>
  <si>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</si>
  <si>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</si>
  <si>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</si>
  <si>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</si>
  <si>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</si>
  <si>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</si>
  <si>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</si>
  <si>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</si>
  <si>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</si>
  <si>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</si>
  <si>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</si>
  <si>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</si>
  <si>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</si>
  <si>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</si>
  <si>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</si>
  <si>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</si>
  <si>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</si>
  <si>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</si>
  <si>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</si>
  <si>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</si>
  <si>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</si>
  <si>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</si>
  <si>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</si>
  <si>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</si>
  <si>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</si>
  <si>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</si>
  <si>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</si>
  <si>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</si>
  <si>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</si>
  <si>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</si>
  <si>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</si>
  <si>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</si>
  <si>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</si>
  <si>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</si>
  <si>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</si>
  <si>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</si>
  <si>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</si>
  <si>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</si>
  <si>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</si>
  <si>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</si>
  <si>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</si>
  <si>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</si>
  <si>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</si>
  <si>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</si>
  <si>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</si>
  <si>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</si>
  <si>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</si>
  <si>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</si>
  <si>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</si>
  <si>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</si>
  <si>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</si>
  <si>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</si>
  <si>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</si>
  <si>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</si>
  <si>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</si>
  <si>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</si>
  <si>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</si>
  <si>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</si>
  <si>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</si>
  <si>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</si>
  <si>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</si>
  <si>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</si>
  <si>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</si>
  <si>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</si>
  <si>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</si>
  <si>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</si>
  <si>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</si>
  <si>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</si>
  <si>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</si>
  <si>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</si>
  <si>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</si>
  <si>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</si>
  <si>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</si>
  <si>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</si>
  <si>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</si>
  <si>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</si>
  <si>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</si>
  <si>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</si>
  <si>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</si>
  <si>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</si>
  <si>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</si>
  <si>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</si>
  <si>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</si>
  <si>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</si>
  <si>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</si>
  <si>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</si>
  <si>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</si>
  <si>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</si>
  <si>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</si>
  <si>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</si>
  <si>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</si>
  <si>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</si>
  <si>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</si>
  <si>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</si>
  <si>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</si>
  <si>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</si>
  <si>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</si>
  <si>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</si>
  <si>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</si>
  <si>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</si>
  <si>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</si>
  <si>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</si>
  <si>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</si>
  <si>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</si>
  <si>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</si>
  <si>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</si>
  <si>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</si>
  <si>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</si>
  <si>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</si>
  <si>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</si>
  <si>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</si>
  <si>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</si>
  <si>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</si>
  <si>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</si>
  <si>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</si>
  <si>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</si>
  <si>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</si>
  <si>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</si>
  <si>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</si>
  <si>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</si>
  <si>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</si>
  <si>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</si>
  <si>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</si>
  <si>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</si>
  <si>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</si>
  <si>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</si>
  <si>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</si>
  <si>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</si>
  <si>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</si>
  <si>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</si>
  <si>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</si>
  <si>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</si>
  <si>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</si>
  <si>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</si>
  <si>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</si>
  <si>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</si>
  <si>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</si>
  <si>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</si>
  <si>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</si>
  <si>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</si>
  <si>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</si>
  <si>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</si>
  <si>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</si>
  <si>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</si>
  <si>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</si>
  <si>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</si>
  <si>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</si>
  <si>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</si>
  <si>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</si>
  <si>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</si>
  <si>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</si>
  <si>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</si>
  <si>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</si>
  <si>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</si>
  <si>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</si>
  <si>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</si>
  <si>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</si>
  <si>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</si>
  <si>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</si>
  <si>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</si>
  <si>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</si>
  <si>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</si>
  <si>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</si>
  <si>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</si>
  <si>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</si>
  <si>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</si>
  <si>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</si>
  <si>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</si>
  <si>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</si>
  <si>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</si>
  <si>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</si>
  <si>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</si>
  <si>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</si>
  <si>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</si>
  <si>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</si>
  <si>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</si>
  <si>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</si>
  <si>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</si>
  <si>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</si>
  <si>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</si>
  <si>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</si>
  <si>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</si>
  <si>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</si>
  <si>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</si>
  <si>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</si>
  <si>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</si>
  <si>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Bölcsődei nevelés</t>
  </si>
  <si>
    <t>2018. évi várható bevételek havi forgalma</t>
  </si>
  <si>
    <t>2018. évi várható kiadások havi forgalma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</si>
  <si>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</si>
  <si>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</si>
  <si>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</si>
  <si>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</si>
  <si>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2019. évi mérleg</t>
  </si>
  <si>
    <t>2019. évi bevételek</t>
  </si>
  <si>
    <t>2019. évi költségvetés</t>
  </si>
  <si>
    <t>Eszközbeszerzés (Művelődési Ház)</t>
  </si>
  <si>
    <t>Pályázat „külterületi helyi utak fejlesztése” (önerő)</t>
  </si>
  <si>
    <t>Tisztítómű felújítása</t>
  </si>
  <si>
    <t>2. melléklet az 1/2019. (I.30.) önkormányzati rendelethez</t>
  </si>
  <si>
    <t>11. melléklet az 1/2019. (I.30.) önkormányzati rendelethez</t>
  </si>
  <si>
    <t>Gyermekétkeztetés bölcsödében, fogyatékosok nappali intézményében</t>
  </si>
  <si>
    <t>Közművelődés - közösségi és társadalmi részvétel fejlesztése</t>
  </si>
  <si>
    <t>Helyi, térségi közösségi tér biztosítása, működtetése</t>
  </si>
  <si>
    <t>1. melléklet az 1/2019.(I.30.) önkormányzati rendelethez</t>
  </si>
  <si>
    <t>4. melléklet az 1/2019.(I.30.) önkormányzati rendelethez</t>
  </si>
  <si>
    <t>5. melléklet az 1/2019.(I.30.) önkormányzati rendelethez</t>
  </si>
  <si>
    <t>6. melléklet az 1/2019.(I.30.) önkormányzati rendelethez</t>
  </si>
  <si>
    <t>7. melléklet az 1/2019.(I.30.) önkormányzati rendelethez</t>
  </si>
  <si>
    <t>8. melléklet az 1/2019.(I.30.) önkormányzati rendelethez</t>
  </si>
  <si>
    <t>12. melléklet az 1/2019.(I.30.) önkormányzati rendelethez</t>
  </si>
  <si>
    <t>3. melléklet az 1/2019.(I.30.) önkormányzati rendelethez</t>
  </si>
  <si>
    <t>Bölcsödei ellátás</t>
  </si>
  <si>
    <t>Intézményen kívüli gyermekétkeztetés</t>
  </si>
  <si>
    <t>10. melléklet az 1/2019.(I.30.) önkormányzati rendelethez</t>
  </si>
  <si>
    <t>9. melléklet az 1/2019.(I.30.) önkormányzati rendelethez</t>
  </si>
  <si>
    <t>I/2.a) számú melléklet</t>
  </si>
  <si>
    <t>adatok: Ft-ban</t>
  </si>
  <si>
    <t>Bevételek kormányati funkciók (COFOG) szerinti bontásban</t>
  </si>
  <si>
    <t>011130 - Önkormányzatok és önkormányzati hivatalok jogalkotó és általános igazgatási tevékenysége</t>
  </si>
  <si>
    <t>Főkönyvi szám</t>
  </si>
  <si>
    <t>Főkönyvi szám neve</t>
  </si>
  <si>
    <t>2019.I.sz. EI mód.</t>
  </si>
  <si>
    <t>Eredeti előirányzat</t>
  </si>
  <si>
    <t>Módosítás</t>
  </si>
  <si>
    <t>%</t>
  </si>
  <si>
    <t>09361</t>
  </si>
  <si>
    <t>Egyéb bírság bevételei (Vízmű)</t>
  </si>
  <si>
    <t>0916071</t>
  </si>
  <si>
    <t>Egyéb működési célú támogatások bevételei államháztartáson belülről-helyi önkormányzatok és költségvetési szerveik</t>
  </si>
  <si>
    <t>Köztisztviselők napja - hozzájárulás</t>
  </si>
  <si>
    <t>09161</t>
  </si>
  <si>
    <t>0925031</t>
  </si>
  <si>
    <t>Egyéb felhalmozási célú támogatások bevételei államháztartáson belülről-fejezeti kezelésű előirányzatok EU-s programok és azok hazai társfinanszírozása</t>
  </si>
  <si>
    <t>09363</t>
  </si>
  <si>
    <t>Egyéb közhatalmi bevételek</t>
  </si>
  <si>
    <t>094022</t>
  </si>
  <si>
    <t>094031</t>
  </si>
  <si>
    <t>Közüzemi díj (faház)</t>
  </si>
  <si>
    <t>094041</t>
  </si>
  <si>
    <t>Előleg megjött, várunk. Támogatói okirat módosítása beadva, felemelkedtek az árak.</t>
  </si>
  <si>
    <t>Külterületi utas pályázat megküldött előlege.</t>
  </si>
  <si>
    <t>094062</t>
  </si>
  <si>
    <t>094071</t>
  </si>
  <si>
    <t>094082</t>
  </si>
  <si>
    <t>094111</t>
  </si>
  <si>
    <t>Egyéb működési bevételek</t>
  </si>
  <si>
    <t>Kiadások visszatérítései</t>
  </si>
  <si>
    <t>095211</t>
  </si>
  <si>
    <t>Ingatlan értékesítés</t>
  </si>
  <si>
    <t xml:space="preserve">ebből: telekeladás </t>
  </si>
  <si>
    <t>DIMA ingatlan ért.</t>
  </si>
  <si>
    <t>ebből: ingatlan értékesítés Kristóf Sándor</t>
  </si>
  <si>
    <t>Kristóf Sándor ingatlanért.</t>
  </si>
  <si>
    <t>ebből: orvosi lakás eladása előszerződés alapján</t>
  </si>
  <si>
    <t>ebből: homoki dűlő ingatlan I. eladva</t>
  </si>
  <si>
    <t>ebből: homoki dűlő ingatlan II. eladva</t>
  </si>
  <si>
    <t>09641</t>
  </si>
  <si>
    <t>Működési célú visszatérítendő támogatások, kölcsönök visszatérülése államháztartáson kívülről</t>
  </si>
  <si>
    <t>Köztemetés visszafizetés</t>
  </si>
  <si>
    <t>0965091</t>
  </si>
  <si>
    <t>Egyéb működési célú átvett pénzeszközök-Európai Unió</t>
  </si>
  <si>
    <t>09741</t>
  </si>
  <si>
    <t>Háztartásoktól felhalmozási célú visszatérítendő támogatások, kölcsönök visszatérülése</t>
  </si>
  <si>
    <t>Személyi kölcsönök visszafizetése</t>
  </si>
  <si>
    <t>Bevétel összesen:</t>
  </si>
  <si>
    <t>013350 - Az önkormányzati vagyonnal való gazdálkodással kapcsolatos feladatok</t>
  </si>
  <si>
    <t>018010 - Önkormányzatok elszámolásai a központi költségvetéssel</t>
  </si>
  <si>
    <t>091111</t>
  </si>
  <si>
    <t>ebből: önkormányzati hivatal működésének támogatása</t>
  </si>
  <si>
    <t>ebből: zöldterület-gazdálkodással kapcsolatos feladatok ellátásának támogatása</t>
  </si>
  <si>
    <t>ebből: közvilágítás fenntartásának támogatása</t>
  </si>
  <si>
    <t>ebből: köztemető fenntartással kapcs. feladatok támog.</t>
  </si>
  <si>
    <t>ebből: közutak fenntartásának támogatása</t>
  </si>
  <si>
    <t>ebből: üdülőhelyi feladatok támogatása</t>
  </si>
  <si>
    <t>ebből: polgármesteri illetmény támogatása</t>
  </si>
  <si>
    <t>ebből: 2019. évi bérkompenzáció támogatása</t>
  </si>
  <si>
    <t>091121</t>
  </si>
  <si>
    <t>Települési önkormányzatok egyes köznevelési feladatainak támogatása (óvoda fenntartás)</t>
  </si>
  <si>
    <t>Nemzetiségi pótlék</t>
  </si>
  <si>
    <t>091131</t>
  </si>
  <si>
    <t>ebből: szociális feladatok egyéb támogatása</t>
  </si>
  <si>
    <t>ebből: finanszírozás szempontjából elismert dolgozók bértámogatása</t>
  </si>
  <si>
    <t>ebből: gyermekétkeztetés üzemeltetési támogatása</t>
  </si>
  <si>
    <t>ebből: rászoruló gyermekek szünidei étekztetésének tám.</t>
  </si>
  <si>
    <t>ebből: a finanszírozás szempontjából elismert szakmai dolgozók bértámotatása - bölcsőde</t>
  </si>
  <si>
    <t>ebből: szociális ágazati összevont pótlék</t>
  </si>
  <si>
    <t>091141</t>
  </si>
  <si>
    <t>Települési önkormányzatok kulturális feladatainak támogatása (kulturális illetménypótlék)</t>
  </si>
  <si>
    <t>091151</t>
  </si>
  <si>
    <t>Működési célú költségvetési támogatások és kiegészítő támogatások (bérkiegészítő alap pályázat 2019)</t>
  </si>
  <si>
    <t>Működési célú költségvetési támogatások és kiegészítő támogatások (Szoc.tüzifa kieg.támogatás)</t>
  </si>
  <si>
    <t>Működési célú költségvetési támogatások és kiegészítő támogatások (Rezsicsökkentés támog.)</t>
  </si>
  <si>
    <t>091161</t>
  </si>
  <si>
    <t>Elszámolásból származó bevételek - 2018. évi pótigénylés</t>
  </si>
  <si>
    <t>Elkülönített állami pénzalaptól működési célú támogatások bevételei (nyári diákmunka támogatása)</t>
  </si>
  <si>
    <t>09213</t>
  </si>
  <si>
    <t>Felhalmozási célú önkormányzati támogatások teljesítése (Közművelődési pályázaton elnyert összeg)</t>
  </si>
  <si>
    <t>098141</t>
  </si>
  <si>
    <t>Államháztartáson belüli megelőlegezések teljesítése (közfoglalkoztatottakra 2019.01-02. hó)</t>
  </si>
  <si>
    <t>018030 - Támogatási célú finanszírozási műveletek</t>
  </si>
  <si>
    <t>Működési célú költségvetési támogatások és kiegészítő támogatások</t>
  </si>
  <si>
    <t>0981311</t>
  </si>
  <si>
    <t>Előző év költségvetési maradványának igénybevétele</t>
  </si>
  <si>
    <t>041233 Hosszú távú közfoglalkoztatás</t>
  </si>
  <si>
    <t>041236 Országos közfoglalkoztatási program</t>
  </si>
  <si>
    <t>052020 - Szennyvíz gyűjtése, tisztítása, elhelyezése</t>
  </si>
  <si>
    <t>094061</t>
  </si>
  <si>
    <t>066020 - Város-, és községgazdálkodási egyéb szolgáltatások</t>
  </si>
  <si>
    <t>Elkülönített állami pénzalaptól működési célú támogatások bevételei (falugondnok bértámogatása)</t>
  </si>
  <si>
    <t>074031 - Család és nővédelmi egészségügyi gondozás</t>
  </si>
  <si>
    <t>Egyéb működési célú támogatások bevételei államháztartáson belülről (OEP védőnő)</t>
  </si>
  <si>
    <t>082091 - Közművelődés – közösségi és társadalmi részvétel fejlesztése</t>
  </si>
  <si>
    <t>09251</t>
  </si>
  <si>
    <t>Fejezeti kezelésű EI-tól EU-s programok és azok hazai társfinanszírozása miatt felhalmozási célú támogatások bevételei (Identitás pályázat)</t>
  </si>
  <si>
    <t>096015 - Gyermekétkeztetés köznevelési intézményben</t>
  </si>
  <si>
    <t>094051</t>
  </si>
  <si>
    <t>104031 - Gyermekek bölcsődében és mini bölcsődében történő ellátása</t>
  </si>
  <si>
    <t>104035 - Gyermekétkeztetés bölcsődében, fogyatékosok nappali intézményében</t>
  </si>
  <si>
    <t>900020 - Önkormányzatok funkcióira nem sorolható bevételei államháztartáson kívülről</t>
  </si>
  <si>
    <t>093432</t>
  </si>
  <si>
    <t>09351071</t>
  </si>
  <si>
    <t>0935411</t>
  </si>
  <si>
    <t>093351</t>
  </si>
  <si>
    <t>Tartózkodás után fizetett idegenforgalmi adó bevételei</t>
  </si>
  <si>
    <t>0936112</t>
  </si>
  <si>
    <t>0936121</t>
  </si>
  <si>
    <t>Egyéb bírság</t>
  </si>
  <si>
    <t>0936162</t>
  </si>
  <si>
    <t>Egyéb közhatalmi bevétel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</si>
  <si>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</si>
  <si>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</si>
  <si>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</si>
  <si>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</si>
  <si>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104051 - Gyermekvédelmi pénzbeli és természetbeni ellátások</t>
  </si>
  <si>
    <t>Egyéb fejezeti kezelésű előirányzattól működési célú támogatások bevételei (gyermekvédelmi tám.)</t>
  </si>
  <si>
    <t>Összes COFOG szerinti bevétel:</t>
  </si>
  <si>
    <t>I/3.a) számú melléklet</t>
  </si>
  <si>
    <t>Kiadások kormányati funkciók (COFOG) szerinti bontásban</t>
  </si>
  <si>
    <t>I.sz. EI módosítás</t>
  </si>
  <si>
    <t>05110111</t>
  </si>
  <si>
    <t>Törvény szerinti illetmények</t>
  </si>
  <si>
    <t>0511021</t>
  </si>
  <si>
    <t>Normatív jutalmak</t>
  </si>
  <si>
    <t>0511091</t>
  </si>
  <si>
    <t>Közlekedési költségtérítés</t>
  </si>
  <si>
    <t>051112</t>
  </si>
  <si>
    <t>Szociális támogatások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</si>
  <si>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</si>
  <si>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</si>
  <si>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</si>
  <si>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</si>
  <si>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051231</t>
  </si>
  <si>
    <t>Egyéb külső személyi juttatások</t>
  </si>
  <si>
    <t>05211</t>
  </si>
  <si>
    <t>Szociális hozzájárulási adó</t>
  </si>
  <si>
    <t>05261</t>
  </si>
  <si>
    <t>Más járulék fizetési kötelezettség</t>
  </si>
  <si>
    <t>053111</t>
  </si>
  <si>
    <t>Szakmai anyagok, gyógyszer, könyv beszerzése</t>
  </si>
  <si>
    <t>053121</t>
  </si>
  <si>
    <t>Üzemeltetési anyagok beszerzése</t>
  </si>
  <si>
    <t>0532111</t>
  </si>
  <si>
    <t>Informatikai szolgáltatások, internet díj</t>
  </si>
  <si>
    <t>0532211</t>
  </si>
  <si>
    <t>Telefon, telefax, telex, mobíl díj</t>
  </si>
  <si>
    <t>0533111</t>
  </si>
  <si>
    <t>Villamos energia</t>
  </si>
  <si>
    <t>0533121</t>
  </si>
  <si>
    <t>Gázdíj</t>
  </si>
  <si>
    <t>053311</t>
  </si>
  <si>
    <t>Víz- és csatornadíj  (technikai)</t>
  </si>
  <si>
    <t>053331</t>
  </si>
  <si>
    <t>Bérleti és lízing díjak</t>
  </si>
  <si>
    <t>053341</t>
  </si>
  <si>
    <t>Karbantartási, kisjavítási szolgáltatások</t>
  </si>
  <si>
    <t>0533521</t>
  </si>
  <si>
    <t>Közvetítet szolgáltatások ÁHT-on kívül</t>
  </si>
  <si>
    <t>053361</t>
  </si>
  <si>
    <t>Szakmai tevékenységet segítő szolgáltatások</t>
  </si>
  <si>
    <t>053371</t>
  </si>
  <si>
    <t>Egyéb szolgáltatások</t>
  </si>
  <si>
    <t>05341</t>
  </si>
  <si>
    <t>Belföldi kiküldetések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</si>
  <si>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</si>
  <si>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</si>
  <si>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</si>
  <si>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</si>
  <si>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</si>
  <si>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</si>
  <si>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</si>
  <si>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</si>
  <si>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</si>
  <si>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</si>
  <si>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</si>
  <si>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</si>
  <si>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</si>
  <si>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</si>
  <si>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055121</t>
  </si>
  <si>
    <t>Működési célú vissza nem térítendő támogatások, kölcsönök nyújtása államháztartáson kívülre</t>
  </si>
  <si>
    <t>055131</t>
  </si>
  <si>
    <t>Tartalékok (elköt. pénzmaradv. terhére)</t>
  </si>
  <si>
    <t>Likvidtartalék</t>
  </si>
  <si>
    <t>05612</t>
  </si>
  <si>
    <t>Immateriális javak beszerzése, létesítése</t>
  </si>
  <si>
    <t>05631</t>
  </si>
  <si>
    <t>Informatikai eszközök beszerzése, létesítése</t>
  </si>
  <si>
    <t>05641</t>
  </si>
  <si>
    <t>Egyéb tárgyi eszközök beszerzése, létesítése</t>
  </si>
  <si>
    <t>05671</t>
  </si>
  <si>
    <t>Beruházási célú előzetesen felszámított általános forgalmi adó</t>
  </si>
  <si>
    <t>05711</t>
  </si>
  <si>
    <t>Ingatlanok felújítása</t>
  </si>
  <si>
    <t>05741</t>
  </si>
  <si>
    <t>Felújítási célú előzetesen felszámított általános forgalmi adó</t>
  </si>
  <si>
    <t>05841</t>
  </si>
  <si>
    <t xml:space="preserve">Fejezeti kezelésű EI-nak EU-s programokra nyújtott felhalmozási célú támogatás </t>
  </si>
  <si>
    <t>Kiadás összesen:</t>
  </si>
  <si>
    <t>013320 - Köztemető-fenntartás és -működtetés</t>
  </si>
  <si>
    <t>0533131</t>
  </si>
  <si>
    <t>Víz- és csatornadíj</t>
  </si>
  <si>
    <t>0533791</t>
  </si>
  <si>
    <t>Más egyéb szolgáltatások</t>
  </si>
  <si>
    <t>Beruházás</t>
  </si>
  <si>
    <t xml:space="preserve">Ingatlanok felújítása </t>
  </si>
  <si>
    <t xml:space="preserve">Villamos energia </t>
  </si>
  <si>
    <t xml:space="preserve">Gázdíj  </t>
  </si>
  <si>
    <t xml:space="preserve">Víz- és csatornadíj </t>
  </si>
  <si>
    <t>Karbantartás, kisjaítási szolgáltatások telj.</t>
  </si>
  <si>
    <t>Egyéb szolgáltatások teljesítése</t>
  </si>
  <si>
    <t>016080 - Kiemelt állami és önkormányzati rendezvények</t>
  </si>
  <si>
    <t>0512361</t>
  </si>
  <si>
    <t>Reprezentáció, üzleti ajándék</t>
  </si>
  <si>
    <t>053321</t>
  </si>
  <si>
    <t>Vásárolt élelmezés</t>
  </si>
  <si>
    <t>053411</t>
  </si>
  <si>
    <t>Kiküldetések kiadásai</t>
  </si>
  <si>
    <t>Helyi önkormányzatok előző évi elszámolásából származó kiadások</t>
  </si>
  <si>
    <t>059141</t>
  </si>
  <si>
    <t>Államháztartáson belüli megelőlegezések visszafizetése</t>
  </si>
  <si>
    <t>059151</t>
  </si>
  <si>
    <t>Központi, irányító szervi támogatás folyósítása</t>
  </si>
  <si>
    <t>041233 Hosszabb időtartamú közfoglalkoztatás</t>
  </si>
  <si>
    <t>05110131</t>
  </si>
  <si>
    <t>Törvény szerinti illetmények, munkabérek telj.</t>
  </si>
  <si>
    <t>0511131</t>
  </si>
  <si>
    <t>Foglalkoztatottak egyéb személyi juttatásai</t>
  </si>
  <si>
    <t>045160 - Közutak, hidak, alagutak üzemeltetése, fenntartása</t>
  </si>
  <si>
    <t>05731</t>
  </si>
  <si>
    <t>Egyéb tárgyi eszközök felújítása</t>
  </si>
  <si>
    <t>064010 - Közvilágítás</t>
  </si>
  <si>
    <t>066020 - Város-, községgazdálkodási egyéb szolgáltatások</t>
  </si>
  <si>
    <t>MT alapján teljes, részmunkaidős bére</t>
  </si>
  <si>
    <t>0511101</t>
  </si>
  <si>
    <t>Egyéb költségtérítések</t>
  </si>
  <si>
    <t>0531111</t>
  </si>
  <si>
    <t>Szakmai anyagok beszerzése</t>
  </si>
  <si>
    <t>Közüzemi díjak</t>
  </si>
  <si>
    <t>0533621</t>
  </si>
  <si>
    <t>Más szakmai tevékenység</t>
  </si>
  <si>
    <t>0534111</t>
  </si>
  <si>
    <t>Foglalkoztatottak kiküldetései</t>
  </si>
  <si>
    <t>Ingatlanok felújítása teljesítése</t>
  </si>
  <si>
    <t>05831</t>
  </si>
  <si>
    <t>Központi költségvetési szervnek felhalmozási célú visszatérítendő támogatás, kölcsön törlesztés kiadásai</t>
  </si>
  <si>
    <t>Köztisztviselők,közalkalmazottak bére</t>
  </si>
  <si>
    <t>0511041</t>
  </si>
  <si>
    <t>Készenléti, ügyeleti, helyettesítési díj, túlóra</t>
  </si>
  <si>
    <t>0511071</t>
  </si>
  <si>
    <t>Béren kívüli juttatások teljesítése</t>
  </si>
  <si>
    <t>051113</t>
  </si>
  <si>
    <t>053211</t>
  </si>
  <si>
    <t>Egyéb kommunikációs szolgáltatások telj.</t>
  </si>
  <si>
    <t>074032 - Ifjúság-egyészségügyi gondozás</t>
  </si>
  <si>
    <t>Egyéb működési célú támogatások államháztartáson kívülre</t>
  </si>
  <si>
    <t>Egyéb tárgyi eszköz beszerzése, létesítése</t>
  </si>
  <si>
    <t>084031 - Civil szervezetek működési támogatása</t>
  </si>
  <si>
    <t>Egyéb civil, vagy más nonprofit szervezetek egyéb működési célú támogatások kiadásai</t>
  </si>
  <si>
    <t xml:space="preserve">Egyéb tárgyi eszköz beszerzés </t>
  </si>
  <si>
    <t>05713</t>
  </si>
  <si>
    <t>05743</t>
  </si>
  <si>
    <t>102031 - Idősek nappali ellátása</t>
  </si>
  <si>
    <t>055061</t>
  </si>
  <si>
    <t>Egyéb működési célú támogatások államháztartáson belülre (Szoc.Alap)</t>
  </si>
  <si>
    <t>Vásárolt élelmezés teljesítése</t>
  </si>
  <si>
    <t>104037 - Intézményen kívüli gyermekétkeztetés</t>
  </si>
  <si>
    <t>05421</t>
  </si>
  <si>
    <t>Egyéb pénzbeni és természetbeni gyermekvédelmi támogatások kiadásai</t>
  </si>
  <si>
    <t>104042 - Család-, és gyermekjóléti szolgáltatások</t>
  </si>
  <si>
    <t>Egyéb működési célú támogatások államháztartáson belülre</t>
  </si>
  <si>
    <t>107060 - Egyéb szociális pénzbeli és természetbeni ellátások, támogatások</t>
  </si>
  <si>
    <t>Egyéb üzemeltetési anyagok - szoc.tüzifa</t>
  </si>
  <si>
    <t>Egyéb szolgáltatások - szoc. tüzifa szállítási díj</t>
  </si>
  <si>
    <t>Működési célú, előzetesen felszámított áfa</t>
  </si>
  <si>
    <t>05481</t>
  </si>
  <si>
    <t>Köztemetés (Szoc.tv.48.§)</t>
  </si>
  <si>
    <t>Egyéb, nem intézményi ellátások [Szoctv. 45. § alapján]</t>
  </si>
  <si>
    <t>Egyéb, az Önkormányzat rendeletében megállapított juttatás</t>
  </si>
  <si>
    <t>Bevételek - COFOG: 018030</t>
  </si>
  <si>
    <t>Eredeti EI</t>
  </si>
  <si>
    <t>I. sz. EI mód.</t>
  </si>
  <si>
    <t>098161</t>
  </si>
  <si>
    <t>Központi, irányító szervi támogatás</t>
  </si>
  <si>
    <t>-ebből állami normatív támogatás</t>
  </si>
  <si>
    <t>-ebből bérrendezési alap pályázat</t>
  </si>
  <si>
    <t>-ebből fenntartói támogatás (Piliscsév)</t>
  </si>
  <si>
    <t>Bevételek - COFOG: 011130</t>
  </si>
  <si>
    <t>Egyéb működési célú támogatások bevételei államháztartáson belülről (Leányvár)</t>
  </si>
  <si>
    <t>0940821</t>
  </si>
  <si>
    <t>Egyéb kapott (járó) kamatok és kamatjellegű bevételek</t>
  </si>
  <si>
    <t>09411</t>
  </si>
  <si>
    <t xml:space="preserve">Egyéb működési bevételek </t>
  </si>
  <si>
    <t>Bevételek - COFOG: 016010</t>
  </si>
  <si>
    <t>Központi kezelésű előirányzattól működési célú támogatások bevételei</t>
  </si>
  <si>
    <t>Bevételek összesen:</t>
  </si>
  <si>
    <t>Főkönyvi szám név</t>
  </si>
  <si>
    <t>0511031</t>
  </si>
  <si>
    <t>Céljuttatás, projektprémium</t>
  </si>
  <si>
    <t>Készenléti, ügyeleti, helyettesítési díj, túlóra, túlszolgálat</t>
  </si>
  <si>
    <t>0511061</t>
  </si>
  <si>
    <t>Jubileumi jutalom</t>
  </si>
  <si>
    <t>Béren kívüli juttatások</t>
  </si>
  <si>
    <t>0511121</t>
  </si>
  <si>
    <t>Munkaadót terhelő járulékok:</t>
  </si>
  <si>
    <t>Informatikai szolgáltatások igénybevétele</t>
  </si>
  <si>
    <t xml:space="preserve">Egyéb kommunikációs szolgáltatások </t>
  </si>
  <si>
    <t>Belső ellenőr</t>
  </si>
  <si>
    <t>71000 Ft/hó</t>
  </si>
  <si>
    <t>Probono normatíva: 250000 Ft/év, bankköltség, továbbképzés</t>
  </si>
  <si>
    <t>Egyéb dologi kiadások - kerekítési különbözet</t>
  </si>
  <si>
    <t>Tartalékok előirányzata</t>
  </si>
  <si>
    <t>016010 - Országgyűlési, önkormányzati és eu parlamenti képviselőválasztásokhoz kapcsolódó tevékenységek</t>
  </si>
  <si>
    <t xml:space="preserve">Egyéb külső személyi juttatások </t>
  </si>
  <si>
    <t>05231</t>
  </si>
  <si>
    <t>05237</t>
  </si>
  <si>
    <t>Munkáltatót terhelő személyi jövedelemadó kiadásai</t>
  </si>
  <si>
    <t>Munkaadót terhelő járulékok</t>
  </si>
  <si>
    <t xml:space="preserve">Összes intézményi kiadás: </t>
  </si>
  <si>
    <t>Kálmánfy Béla Művelődési Ház és Könyvtár</t>
  </si>
  <si>
    <t>-ebből fenntartói támogatás (Piliscsév Község Önk.)</t>
  </si>
  <si>
    <t>082042 - Könyvtári állomány gyarapítása, nyilvántartása</t>
  </si>
  <si>
    <t>082044 - Könyvtári szolgáltatások</t>
  </si>
  <si>
    <t>Könyvtáros megbízási díja</t>
  </si>
  <si>
    <t>Karbantartás, kisjavítási szolgáltatások</t>
  </si>
  <si>
    <t>082092 - Közművelődés, hagyományos közösségi kulturális értékek gondozása</t>
  </si>
  <si>
    <t>Önkéntes EP</t>
  </si>
  <si>
    <t>Víz-, és csatornadíj</t>
  </si>
  <si>
    <t>Egyéb tárgyi eszközök beszerzése</t>
  </si>
  <si>
    <t>Led fal pályázatból</t>
  </si>
  <si>
    <t>Beruházási célú, előzetesen felszámított általános forgalmi adó</t>
  </si>
  <si>
    <t xml:space="preserve">Beruházási kiadások </t>
  </si>
  <si>
    <t>Piliscsévi "Aranykapu" Egységes Óvoda-Bölcsőde</t>
  </si>
  <si>
    <t>091140 - Óvodai nevelés, ellátás működtetési feladatai</t>
  </si>
  <si>
    <t xml:space="preserve">Egyéb működési célú támogatások bevételei államháztartáson belülről </t>
  </si>
  <si>
    <t>091110 - Óvodai nevelés, ellátás szakmai feladatai</t>
  </si>
  <si>
    <t>Önkéntes EP 7 fő</t>
  </si>
  <si>
    <t>Szlavezetési díj 7 fő</t>
  </si>
  <si>
    <t>091130 - Nemzetiségi óvodai nevelés, ellátás szakmai feladatai</t>
  </si>
  <si>
    <t xml:space="preserve">Egyéb szakmai szolgáltatások </t>
  </si>
  <si>
    <t>Szennyvíz gyűjtése, tisztítása, elhelyezése</t>
  </si>
  <si>
    <t>Felhalmozási c. visszatérítendő tám. (K8)</t>
  </si>
  <si>
    <t>EU-s programok és hazai társfin. (Identitás pály.)</t>
  </si>
  <si>
    <t>Áht-on belüli megelőlegezés (B814)</t>
  </si>
  <si>
    <t>Piliscsév Község Önkormányzata költségvetése kormányzati funkciónként</t>
  </si>
  <si>
    <t>I. Bevételek feladatonként:</t>
  </si>
  <si>
    <t>Közművelődés- közösségi és társadalmi részvétel fejlesztése</t>
  </si>
  <si>
    <t>Óvodai, bölcsődei intézményi étkeztetés</t>
  </si>
  <si>
    <t>adatok: forintban</t>
  </si>
  <si>
    <t>Költségek visszatérítései</t>
  </si>
  <si>
    <t>Közös Hivatal működési bevételei</t>
  </si>
  <si>
    <t>Óvoda és Bölcsőde működési bevételei</t>
  </si>
  <si>
    <t>Működési célú átvett pénzeszközök</t>
  </si>
  <si>
    <t>Közös Hivatal működési célú támogatás bevételei Áht-on belülről</t>
  </si>
  <si>
    <t>Ingatlan értékesítés bevételei</t>
  </si>
  <si>
    <t>Felhalm.c. kölcsön visszatérülése, visszatérítendő támogatások</t>
  </si>
  <si>
    <t>Tér-Háló településrendezési terv</t>
  </si>
  <si>
    <t>Informatikai eszközök beszerzése</t>
  </si>
  <si>
    <t>Beruházási célú előzetesen felszámított áfa:</t>
  </si>
  <si>
    <t>Eszközbeszerzés (Óvoda)</t>
  </si>
  <si>
    <t>Tárgyi eszköz beszerzés közfoglalkoztatottaknak</t>
  </si>
  <si>
    <t>Tárgyi eszköz beszerzés (Identitás pályázathoz)</t>
  </si>
  <si>
    <t>Felújítási célú előzetesen felszámított áfa</t>
  </si>
  <si>
    <t>Béke utcai járdafelújítás</t>
  </si>
  <si>
    <t>Gyógyszertári parkoló és buszmegálló felújítása</t>
  </si>
  <si>
    <t>TOP Szoc. Alapellátó és Művelődési Ház felújítása</t>
  </si>
  <si>
    <t>Felhalmozási célú visszatérítendő támogatás</t>
  </si>
  <si>
    <t>EU-s támog. Identitás pály.</t>
  </si>
  <si>
    <t>Felhalm-i c. visszatérítendő támog.</t>
  </si>
  <si>
    <t>2019. évi költségvetés II. számú előirányzat módosítása</t>
  </si>
  <si>
    <t>2019.II.sz. EI mód.</t>
  </si>
  <si>
    <t>Utas pályázat bérleti díj</t>
  </si>
  <si>
    <t>062020 - Településfejlesztési projektek és támogatásuk</t>
  </si>
  <si>
    <t>II.sz. EI módosítás</t>
  </si>
  <si>
    <t>Működési célú végleges támogatás kiadásai</t>
  </si>
  <si>
    <t>Ingatlanok felújítása előirányzata</t>
  </si>
  <si>
    <t>0511011</t>
  </si>
  <si>
    <t>0521</t>
  </si>
  <si>
    <t>2019. évi költségvetés II. sz. EI módosítása</t>
  </si>
  <si>
    <t>II. sz. EI mód.</t>
  </si>
  <si>
    <t>Bevételek összesen</t>
  </si>
  <si>
    <t>051103</t>
  </si>
  <si>
    <t>szabadság-megváltás</t>
  </si>
  <si>
    <t>Működési célú költségvetési támogatások és kiegészítő támogatások                  (Szoc.tüzifa kieg.támogatás)</t>
  </si>
  <si>
    <t>Működési célú költségvetési támogatások és kiegészítő támogatások               (bérkiegészítő alap pályázat 2019)</t>
  </si>
  <si>
    <t>Óvoda fejlesztés - Magyar Falu Program keretében</t>
  </si>
  <si>
    <t>Orvosi rendelőnél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</si>
</sst>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#,##0_ ;\-#,##0\ "/>
    <numFmt numFmtId="168" formatCode="_-* #,##0.00,_F_t_-;\-* #,##0.00,_F_t_-;_-* \-??\ _F_t_-;_-@_-"/>
    <numFmt numFmtId="169" formatCode="_-* #,##0,&quot;Ft&quot;_-;\-* #,##0,&quot;Ft&quot;_-;_-* \-??&quot; Ft&quot;_-;_-@_-"/>
    <numFmt numFmtId="170" formatCode="#,##0,&quot;Ft&quot;"/>
    <numFmt numFmtId="171" formatCode="#,##0&quot; Ft&quot;;[Red]\-#,##0&quot; Ft&quot;"/>
    <numFmt numFmtId="172" formatCode="[$-1040E]#,##0\ &quot;Ft&quot;"/>
  </numFmts>
  <fonts count="95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name val="Arial CE"/>
      <family val="2"/>
      <charset val="238"/>
    </font>
    <font>
      <i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7"/>
      <color rgb="FF333333"/>
      <name val="Verdana"/>
      <family val="2"/>
      <charset val="238"/>
    </font>
    <font>
      <sz val="7"/>
      <name val="Verdana"/>
      <family val="2"/>
      <charset val="238"/>
    </font>
    <font>
      <sz val="7"/>
      <color rgb="FF333333"/>
      <name val="Verdana"/>
      <family val="2"/>
      <charset val="238"/>
    </font>
    <font>
      <sz val="10"/>
      <color rgb="FFFFFFFF"/>
      <name val="Arial"/>
      <family val="2"/>
      <charset val="1"/>
    </font>
    <font>
      <i/>
      <sz val="7"/>
      <color rgb="FF333333"/>
      <name val="Verdana"/>
      <family val="2"/>
      <charset val="238"/>
    </font>
    <font>
      <sz val="10"/>
      <color rgb="FFFF0000"/>
      <name val="Arial"/>
      <family val="2"/>
      <charset val="1"/>
    </font>
    <font>
      <b/>
      <sz val="7"/>
      <name val="Verdana"/>
      <family val="2"/>
      <charset val="238"/>
    </font>
    <font>
      <i/>
      <sz val="7"/>
      <name val="Verdana"/>
      <family val="2"/>
      <charset val="238"/>
    </font>
    <font>
      <i/>
      <sz val="7"/>
      <name val="Arial"/>
      <family val="2"/>
      <charset val="238"/>
    </font>
    <font>
      <i/>
      <sz val="10"/>
      <color rgb="FFC00000"/>
      <name val="Arial"/>
      <family val="2"/>
      <charset val="238"/>
    </font>
    <font>
      <i/>
      <sz val="9"/>
      <name val="Times New Roman"/>
      <family val="1"/>
      <charset val="238"/>
    </font>
    <font>
      <b/>
      <sz val="7"/>
      <color indexed="8"/>
      <name val="Verdana"/>
      <family val="2"/>
      <charset val="238"/>
    </font>
    <font>
      <sz val="7"/>
      <color indexed="8"/>
      <name val="Verdana"/>
      <family val="2"/>
      <charset val="238"/>
    </font>
    <font>
      <i/>
      <sz val="7"/>
      <color indexed="8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i/>
      <sz val="7"/>
      <color indexed="8"/>
      <name val="Verdana"/>
      <family val="2"/>
      <charset val="238"/>
    </font>
    <font>
      <i/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Bookman Old Style"/>
      <family val="1"/>
      <charset val="238"/>
    </font>
    <font>
      <sz val="12"/>
      <color rgb="FF333333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99"/>
      </patternFill>
    </fill>
    <fill>
      <patternFill patternType="solid">
        <fgColor rgb="FFFFCC99"/>
        <bgColor rgb="FFF8CBAD"/>
      </patternFill>
    </fill>
    <fill>
      <patternFill patternType="solid">
        <fgColor theme="5" tint="0.59999389629810485"/>
        <bgColor rgb="FFF8CBAD"/>
      </patternFill>
    </fill>
    <fill>
      <patternFill patternType="solid">
        <fgColor theme="5" tint="0.59999389629810485"/>
        <bgColor rgb="FFFFCC99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63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8" fontId="2" fillId="0" borderId="0"/>
    <xf numFmtId="0" fontId="58" fillId="0" borderId="0"/>
    <xf numFmtId="164" fontId="1" fillId="0" borderId="0" applyFont="0" applyFill="0" applyBorder="0" applyAlignment="0" applyProtection="0"/>
  </cellStyleXfs>
  <cellXfs count="118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3" fontId="7" fillId="0" borderId="0" xfId="0" applyNumberFormat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vertical="top" wrapText="1"/>
    </xf>
    <xf numFmtId="0" fontId="31" fillId="0" borderId="15" xfId="0" applyFont="1" applyBorder="1"/>
    <xf numFmtId="0" fontId="34" fillId="0" borderId="10" xfId="0" applyFont="1" applyBorder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/>
    <xf numFmtId="0" fontId="18" fillId="0" borderId="0" xfId="0" applyFont="1"/>
    <xf numFmtId="3" fontId="31" fillId="0" borderId="9" xfId="0" applyNumberFormat="1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1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7" xfId="0" applyFont="1" applyBorder="1"/>
    <xf numFmtId="3" fontId="31" fillId="0" borderId="11" xfId="0" applyNumberFormat="1" applyFont="1" applyBorder="1"/>
    <xf numFmtId="0" fontId="32" fillId="0" borderId="17" xfId="0" applyFont="1" applyBorder="1"/>
    <xf numFmtId="0" fontId="32" fillId="0" borderId="18" xfId="0" applyFont="1" applyBorder="1"/>
    <xf numFmtId="3" fontId="31" fillId="0" borderId="19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justify" wrapText="1"/>
    </xf>
    <xf numFmtId="3" fontId="35" fillId="0" borderId="4" xfId="0" applyNumberFormat="1" applyFont="1" applyBorder="1" applyAlignment="1">
      <alignment horizontal="right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justify" wrapText="1"/>
    </xf>
    <xf numFmtId="3" fontId="35" fillId="0" borderId="0" xfId="0" applyNumberFormat="1" applyFont="1" applyAlignment="1">
      <alignment horizontal="right" wrapText="1"/>
    </xf>
    <xf numFmtId="0" fontId="38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justify" wrapText="1"/>
    </xf>
    <xf numFmtId="0" fontId="35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justify" wrapText="1"/>
    </xf>
    <xf numFmtId="3" fontId="35" fillId="0" borderId="20" xfId="0" applyNumberFormat="1" applyFont="1" applyBorder="1" applyAlignment="1">
      <alignment horizontal="right" wrapText="1"/>
    </xf>
    <xf numFmtId="3" fontId="35" fillId="0" borderId="4" xfId="0" applyNumberFormat="1" applyFont="1" applyBorder="1" applyAlignment="1">
      <alignment horizontal="justify" wrapText="1"/>
    </xf>
    <xf numFmtId="0" fontId="35" fillId="0" borderId="0" xfId="0" applyFont="1"/>
    <xf numFmtId="0" fontId="42" fillId="2" borderId="0" xfId="0" applyFont="1" applyFill="1" applyAlignment="1">
      <alignment wrapText="1"/>
    </xf>
    <xf numFmtId="0" fontId="24" fillId="0" borderId="0" xfId="0" applyFont="1"/>
    <xf numFmtId="0" fontId="24" fillId="0" borderId="15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/>
    <xf numFmtId="0" fontId="24" fillId="0" borderId="26" xfId="0" applyFont="1" applyBorder="1" applyAlignment="1">
      <alignment horizontal="right"/>
    </xf>
    <xf numFmtId="0" fontId="24" fillId="0" borderId="10" xfId="0" applyFont="1" applyBorder="1"/>
    <xf numFmtId="0" fontId="24" fillId="0" borderId="11" xfId="0" applyFont="1" applyBorder="1" applyAlignment="1">
      <alignment horizontal="right"/>
    </xf>
    <xf numFmtId="0" fontId="44" fillId="0" borderId="10" xfId="0" applyFont="1" applyBorder="1"/>
    <xf numFmtId="0" fontId="44" fillId="0" borderId="11" xfId="0" applyFont="1" applyBorder="1"/>
    <xf numFmtId="0" fontId="24" fillId="0" borderId="16" xfId="0" applyFont="1" applyBorder="1"/>
    <xf numFmtId="0" fontId="24" fillId="0" borderId="12" xfId="0" applyFont="1" applyBorder="1"/>
    <xf numFmtId="0" fontId="4" fillId="0" borderId="0" xfId="0" applyFont="1"/>
    <xf numFmtId="0" fontId="43" fillId="2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7" fillId="0" borderId="14" xfId="0" applyFont="1" applyBorder="1" applyAlignment="1">
      <alignment wrapText="1"/>
    </xf>
    <xf numFmtId="3" fontId="36" fillId="0" borderId="14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3" fontId="36" fillId="0" borderId="0" xfId="0" applyNumberFormat="1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48" fillId="0" borderId="0" xfId="0" applyFont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30" fillId="0" borderId="37" xfId="0" applyFont="1" applyBorder="1" applyAlignment="1">
      <alignment horizontal="center"/>
    </xf>
    <xf numFmtId="0" fontId="12" fillId="0" borderId="28" xfId="0" applyFont="1" applyBorder="1"/>
    <xf numFmtId="0" fontId="49" fillId="0" borderId="0" xfId="0" applyFont="1"/>
    <xf numFmtId="0" fontId="43" fillId="2" borderId="34" xfId="0" applyFont="1" applyFill="1" applyBorder="1" applyAlignment="1">
      <alignment wrapText="1"/>
    </xf>
    <xf numFmtId="0" fontId="50" fillId="0" borderId="13" xfId="0" applyFont="1" applyBorder="1"/>
    <xf numFmtId="3" fontId="36" fillId="0" borderId="20" xfId="0" applyNumberFormat="1" applyFont="1" applyBorder="1" applyAlignment="1">
      <alignment horizontal="right" wrapText="1"/>
    </xf>
    <xf numFmtId="0" fontId="36" fillId="0" borderId="20" xfId="0" applyFont="1" applyBorder="1" applyAlignment="1">
      <alignment horizontal="center" wrapText="1"/>
    </xf>
    <xf numFmtId="0" fontId="36" fillId="0" borderId="28" xfId="0" applyFont="1" applyBorder="1" applyAlignment="1">
      <alignment horizontal="center" wrapText="1"/>
    </xf>
    <xf numFmtId="0" fontId="54" fillId="0" borderId="22" xfId="0" applyFont="1" applyBorder="1"/>
    <xf numFmtId="0" fontId="11" fillId="0" borderId="0" xfId="0" applyFont="1" applyAlignment="1">
      <alignment horizontal="center"/>
    </xf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/>
    <xf numFmtId="3" fontId="50" fillId="0" borderId="28" xfId="0" applyNumberFormat="1" applyFont="1" applyBorder="1"/>
    <xf numFmtId="0" fontId="57" fillId="0" borderId="29" xfId="0" applyFont="1" applyBorder="1"/>
    <xf numFmtId="0" fontId="40" fillId="2" borderId="45" xfId="0" applyFont="1" applyFill="1" applyBorder="1" applyAlignment="1">
      <alignment horizontal="center" wrapText="1"/>
    </xf>
    <xf numFmtId="0" fontId="40" fillId="2" borderId="46" xfId="0" applyFont="1" applyFill="1" applyBorder="1" applyAlignment="1">
      <alignment horizontal="center" wrapText="1"/>
    </xf>
    <xf numFmtId="0" fontId="57" fillId="0" borderId="2" xfId="0" applyFont="1" applyBorder="1"/>
    <xf numFmtId="0" fontId="57" fillId="0" borderId="30" xfId="0" applyFont="1" applyBorder="1"/>
    <xf numFmtId="0" fontId="25" fillId="0" borderId="0" xfId="0" applyFont="1" applyAlignment="1">
      <alignment horizontal="center" vertical="top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7" fillId="0" borderId="10" xfId="0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2" fillId="0" borderId="0" xfId="2" applyFont="1"/>
    <xf numFmtId="3" fontId="32" fillId="0" borderId="0" xfId="2" applyNumberFormat="1" applyFo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59" fillId="0" borderId="15" xfId="0" applyFont="1" applyBorder="1"/>
    <xf numFmtId="0" fontId="59" fillId="0" borderId="24" xfId="2" applyFont="1" applyBorder="1" applyAlignment="1">
      <alignment horizontal="center" wrapText="1"/>
    </xf>
    <xf numFmtId="3" fontId="59" fillId="0" borderId="24" xfId="2" applyNumberFormat="1" applyFont="1" applyBorder="1" applyAlignment="1">
      <alignment horizontal="center" wrapText="1"/>
    </xf>
    <xf numFmtId="3" fontId="59" fillId="0" borderId="19" xfId="2" applyNumberFormat="1" applyFont="1" applyBorder="1" applyAlignment="1">
      <alignment horizontal="center" wrapText="1"/>
    </xf>
    <xf numFmtId="0" fontId="59" fillId="0" borderId="23" xfId="2" applyFont="1" applyBorder="1" applyAlignment="1">
      <alignment horizontal="left" wrapText="1"/>
    </xf>
    <xf numFmtId="49" fontId="19" fillId="0" borderId="6" xfId="2" applyNumberFormat="1" applyFont="1" applyBorder="1" applyAlignment="1">
      <alignment horizontal="justify" wrapText="1"/>
    </xf>
    <xf numFmtId="3" fontId="19" fillId="0" borderId="6" xfId="2" applyNumberFormat="1" applyFont="1" applyBorder="1" applyAlignment="1">
      <alignment horizontal="right" wrapText="1"/>
    </xf>
    <xf numFmtId="49" fontId="59" fillId="0" borderId="6" xfId="2" applyNumberFormat="1" applyFont="1" applyBorder="1" applyAlignment="1">
      <alignment horizontal="justify" wrapText="1"/>
    </xf>
    <xf numFmtId="49" fontId="59" fillId="0" borderId="6" xfId="2" applyNumberFormat="1" applyFont="1" applyBorder="1"/>
    <xf numFmtId="0" fontId="19" fillId="0" borderId="6" xfId="2" applyFont="1" applyBorder="1"/>
    <xf numFmtId="49" fontId="19" fillId="0" borderId="6" xfId="2" applyNumberFormat="1" applyFont="1" applyBorder="1"/>
    <xf numFmtId="0" fontId="19" fillId="0" borderId="6" xfId="0" applyFont="1" applyBorder="1"/>
    <xf numFmtId="0" fontId="59" fillId="0" borderId="25" xfId="0" applyFont="1" applyBorder="1"/>
    <xf numFmtId="49" fontId="19" fillId="0" borderId="10" xfId="0" applyNumberFormat="1" applyFont="1" applyBorder="1" applyAlignment="1">
      <alignment horizontal="right"/>
    </xf>
    <xf numFmtId="3" fontId="19" fillId="0" borderId="11" xfId="2" applyNumberFormat="1" applyFont="1" applyBorder="1" applyAlignment="1">
      <alignment horizontal="right" wrapText="1"/>
    </xf>
    <xf numFmtId="49" fontId="59" fillId="0" borderId="10" xfId="0" applyNumberFormat="1" applyFont="1" applyBorder="1"/>
    <xf numFmtId="0" fontId="19" fillId="0" borderId="11" xfId="2" applyFont="1" applyBorder="1"/>
    <xf numFmtId="0" fontId="19" fillId="0" borderId="11" xfId="0" applyFont="1" applyBorder="1"/>
    <xf numFmtId="49" fontId="19" fillId="0" borderId="16" xfId="0" applyNumberFormat="1" applyFont="1" applyBorder="1" applyAlignment="1">
      <alignment horizontal="right"/>
    </xf>
    <xf numFmtId="0" fontId="19" fillId="0" borderId="27" xfId="0" applyFont="1" applyBorder="1"/>
    <xf numFmtId="0" fontId="19" fillId="0" borderId="12" xfId="0" applyFont="1" applyBorder="1"/>
    <xf numFmtId="3" fontId="59" fillId="0" borderId="23" xfId="2" applyNumberFormat="1" applyFont="1" applyBorder="1" applyAlignment="1">
      <alignment horizontal="center" wrapText="1"/>
    </xf>
    <xf numFmtId="0" fontId="59" fillId="0" borderId="6" xfId="2" applyFont="1" applyBorder="1"/>
    <xf numFmtId="3" fontId="59" fillId="0" borderId="26" xfId="2" applyNumberFormat="1" applyFont="1" applyBorder="1" applyAlignment="1">
      <alignment horizontal="center" wrapText="1"/>
    </xf>
    <xf numFmtId="0" fontId="59" fillId="0" borderId="11" xfId="2" applyFont="1" applyBorder="1"/>
    <xf numFmtId="3" fontId="6" fillId="0" borderId="0" xfId="0" applyNumberFormat="1" applyFont="1" applyAlignment="1">
      <alignment horizontal="center" vertical="center"/>
    </xf>
    <xf numFmtId="0" fontId="62" fillId="0" borderId="3" xfId="0" applyFont="1" applyBorder="1"/>
    <xf numFmtId="3" fontId="63" fillId="0" borderId="4" xfId="0" applyNumberFormat="1" applyFont="1" applyBorder="1"/>
    <xf numFmtId="3" fontId="61" fillId="0" borderId="5" xfId="0" applyNumberFormat="1" applyFont="1" applyBorder="1" applyAlignment="1">
      <alignment horizontal="right"/>
    </xf>
    <xf numFmtId="0" fontId="62" fillId="0" borderId="32" xfId="0" applyFont="1" applyBorder="1"/>
    <xf numFmtId="3" fontId="62" fillId="0" borderId="20" xfId="0" applyNumberFormat="1" applyFont="1" applyBorder="1"/>
    <xf numFmtId="3" fontId="63" fillId="0" borderId="20" xfId="0" applyNumberFormat="1" applyFont="1" applyBorder="1"/>
    <xf numFmtId="3" fontId="61" fillId="0" borderId="5" xfId="0" applyNumberFormat="1" applyFont="1" applyBorder="1"/>
    <xf numFmtId="0" fontId="30" fillId="3" borderId="11" xfId="0" applyFont="1" applyFill="1" applyBorder="1"/>
    <xf numFmtId="0" fontId="30" fillId="0" borderId="27" xfId="0" applyFont="1" applyBorder="1" applyAlignment="1">
      <alignment horizontal="center"/>
    </xf>
    <xf numFmtId="0" fontId="30" fillId="3" borderId="11" xfId="0" applyFont="1" applyFill="1" applyBorder="1" applyAlignment="1">
      <alignment wrapText="1"/>
    </xf>
    <xf numFmtId="0" fontId="30" fillId="3" borderId="44" xfId="0" applyFont="1" applyFill="1" applyBorder="1"/>
    <xf numFmtId="0" fontId="30" fillId="3" borderId="12" xfId="0" applyFont="1" applyFill="1" applyBorder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/>
    <xf numFmtId="0" fontId="30" fillId="0" borderId="10" xfId="0" applyFont="1" applyBorder="1" applyAlignment="1">
      <alignment horizontal="center"/>
    </xf>
    <xf numFmtId="3" fontId="34" fillId="3" borderId="11" xfId="0" applyNumberFormat="1" applyFont="1" applyFill="1" applyBorder="1"/>
    <xf numFmtId="0" fontId="26" fillId="0" borderId="3" xfId="0" applyFont="1" applyBorder="1"/>
    <xf numFmtId="3" fontId="19" fillId="3" borderId="6" xfId="2" applyNumberFormat="1" applyFont="1" applyFill="1" applyBorder="1" applyAlignment="1">
      <alignment horizontal="right" wrapText="1"/>
    </xf>
    <xf numFmtId="3" fontId="19" fillId="3" borderId="11" xfId="2" applyNumberFormat="1" applyFont="1" applyFill="1" applyBorder="1" applyAlignment="1">
      <alignment horizontal="right" wrapText="1"/>
    </xf>
    <xf numFmtId="0" fontId="24" fillId="3" borderId="1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3" borderId="0" xfId="0" applyFill="1"/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0" fontId="40" fillId="2" borderId="51" xfId="0" applyFont="1" applyFill="1" applyBorder="1" applyAlignment="1">
      <alignment horizontal="center" wrapText="1"/>
    </xf>
    <xf numFmtId="0" fontId="53" fillId="0" borderId="22" xfId="0" applyFont="1" applyBorder="1" applyAlignment="1">
      <alignment vertical="top" wrapText="1"/>
    </xf>
    <xf numFmtId="3" fontId="62" fillId="0" borderId="52" xfId="0" applyNumberFormat="1" applyFont="1" applyBorder="1"/>
    <xf numFmtId="0" fontId="44" fillId="0" borderId="0" xfId="0" applyFont="1" applyAlignment="1">
      <alignment horizontal="center"/>
    </xf>
    <xf numFmtId="1" fontId="0" fillId="0" borderId="0" xfId="0" applyNumberFormat="1"/>
    <xf numFmtId="0" fontId="30" fillId="3" borderId="18" xfId="0" applyFont="1" applyFill="1" applyBorder="1"/>
    <xf numFmtId="0" fontId="0" fillId="0" borderId="0" xfId="0" applyAlignment="1"/>
    <xf numFmtId="0" fontId="71" fillId="0" borderId="0" xfId="0" applyFont="1"/>
    <xf numFmtId="0" fontId="44" fillId="5" borderId="0" xfId="0" applyFont="1" applyFill="1" applyAlignment="1">
      <alignment horizontal="center"/>
    </xf>
    <xf numFmtId="0" fontId="0" fillId="5" borderId="0" xfId="0" applyFill="1"/>
    <xf numFmtId="0" fontId="71" fillId="5" borderId="0" xfId="0" applyFont="1" applyFill="1"/>
    <xf numFmtId="0" fontId="53" fillId="8" borderId="58" xfId="0" applyFont="1" applyFill="1" applyBorder="1" applyAlignment="1">
      <alignment horizontal="center" vertical="center" wrapText="1" shrinkToFit="1"/>
    </xf>
    <xf numFmtId="49" fontId="75" fillId="0" borderId="25" xfId="0" applyNumberFormat="1" applyFont="1" applyBorder="1" applyAlignment="1">
      <alignment horizontal="left" vertical="center" wrapText="1" shrinkToFit="1"/>
    </xf>
    <xf numFmtId="0" fontId="75" fillId="0" borderId="23" xfId="0" applyFont="1" applyBorder="1" applyAlignment="1">
      <alignment horizontal="left" vertical="center" wrapText="1" shrinkToFit="1"/>
    </xf>
    <xf numFmtId="0" fontId="75" fillId="0" borderId="23" xfId="0" applyFont="1" applyBorder="1" applyAlignment="1">
      <alignment horizontal="right" wrapText="1" shrinkToFit="1"/>
    </xf>
    <xf numFmtId="3" fontId="75" fillId="0" borderId="23" xfId="0" applyNumberFormat="1" applyFont="1" applyBorder="1" applyAlignment="1">
      <alignment horizontal="right" wrapText="1" shrinkToFit="1"/>
    </xf>
    <xf numFmtId="3" fontId="76" fillId="0" borderId="23" xfId="0" applyNumberFormat="1" applyFont="1" applyBorder="1" applyAlignment="1" applyProtection="1">
      <alignment horizontal="center" wrapText="1"/>
      <protection locked="0"/>
    </xf>
    <xf numFmtId="3" fontId="75" fillId="0" borderId="4" xfId="0" applyNumberFormat="1" applyFont="1" applyBorder="1" applyAlignment="1">
      <alignment horizontal="right" wrapText="1" shrinkToFit="1"/>
    </xf>
    <xf numFmtId="0" fontId="76" fillId="0" borderId="60" xfId="0" applyFont="1" applyBorder="1" applyAlignment="1" applyProtection="1">
      <alignment vertical="center" wrapText="1"/>
      <protection locked="0"/>
    </xf>
    <xf numFmtId="3" fontId="76" fillId="0" borderId="60" xfId="0" applyNumberFormat="1" applyFont="1" applyBorder="1" applyAlignment="1" applyProtection="1">
      <alignment wrapText="1"/>
      <protection locked="0"/>
    </xf>
    <xf numFmtId="3" fontId="76" fillId="0" borderId="61" xfId="0" applyNumberFormat="1" applyFont="1" applyBorder="1" applyAlignment="1" applyProtection="1">
      <alignment wrapText="1"/>
      <protection locked="0"/>
    </xf>
    <xf numFmtId="0" fontId="77" fillId="5" borderId="0" xfId="0" applyFont="1" applyFill="1"/>
    <xf numFmtId="49" fontId="76" fillId="0" borderId="59" xfId="0" applyNumberFormat="1" applyFont="1" applyBorder="1" applyAlignment="1" applyProtection="1">
      <alignment vertical="center" wrapText="1"/>
      <protection locked="0"/>
    </xf>
    <xf numFmtId="0" fontId="76" fillId="0" borderId="59" xfId="0" applyFont="1" applyBorder="1" applyAlignment="1" applyProtection="1">
      <alignment vertical="center" wrapText="1"/>
      <protection locked="0"/>
    </xf>
    <xf numFmtId="0" fontId="78" fillId="0" borderId="60" xfId="0" applyFont="1" applyBorder="1" applyAlignment="1" applyProtection="1">
      <alignment vertical="center" wrapText="1"/>
      <protection locked="0"/>
    </xf>
    <xf numFmtId="49" fontId="76" fillId="0" borderId="62" xfId="0" applyNumberFormat="1" applyFont="1" applyBorder="1" applyAlignment="1" applyProtection="1">
      <alignment vertical="center" wrapText="1"/>
      <protection locked="0"/>
    </xf>
    <xf numFmtId="0" fontId="76" fillId="0" borderId="62" xfId="0" applyFont="1" applyBorder="1" applyAlignment="1" applyProtection="1">
      <alignment vertical="center" wrapText="1"/>
      <protection locked="0"/>
    </xf>
    <xf numFmtId="0" fontId="76" fillId="0" borderId="63" xfId="0" applyFont="1" applyBorder="1" applyAlignment="1" applyProtection="1">
      <alignment vertical="center" wrapText="1"/>
      <protection locked="0"/>
    </xf>
    <xf numFmtId="3" fontId="74" fillId="0" borderId="60" xfId="0" applyNumberFormat="1" applyFont="1" applyBorder="1" applyAlignment="1" applyProtection="1">
      <alignment wrapText="1"/>
      <protection locked="0"/>
    </xf>
    <xf numFmtId="3" fontId="74" fillId="0" borderId="61" xfId="0" applyNumberFormat="1" applyFont="1" applyBorder="1" applyAlignment="1" applyProtection="1">
      <alignment wrapText="1"/>
      <protection locked="0"/>
    </xf>
    <xf numFmtId="0" fontId="79" fillId="0" borderId="0" xfId="0" applyFont="1"/>
    <xf numFmtId="0" fontId="76" fillId="0" borderId="49" xfId="0" applyFont="1" applyBorder="1" applyAlignment="1" applyProtection="1">
      <alignment vertical="center" wrapText="1"/>
      <protection locked="0"/>
    </xf>
    <xf numFmtId="0" fontId="78" fillId="0" borderId="63" xfId="0" applyFont="1" applyBorder="1" applyAlignment="1" applyProtection="1">
      <alignment vertical="center" wrapText="1"/>
      <protection locked="0"/>
    </xf>
    <xf numFmtId="3" fontId="78" fillId="0" borderId="61" xfId="0" applyNumberFormat="1" applyFont="1" applyBorder="1" applyAlignment="1" applyProtection="1">
      <alignment wrapText="1"/>
      <protection locked="0"/>
    </xf>
    <xf numFmtId="0" fontId="76" fillId="0" borderId="25" xfId="0" applyFont="1" applyBorder="1" applyAlignment="1" applyProtection="1">
      <alignment vertical="center" wrapText="1"/>
      <protection locked="0"/>
    </xf>
    <xf numFmtId="0" fontId="76" fillId="0" borderId="64" xfId="0" applyFont="1" applyBorder="1" applyAlignment="1" applyProtection="1">
      <alignment vertical="center" wrapText="1"/>
      <protection locked="0"/>
    </xf>
    <xf numFmtId="3" fontId="76" fillId="0" borderId="64" xfId="0" applyNumberFormat="1" applyFont="1" applyBorder="1" applyAlignment="1" applyProtection="1">
      <alignment wrapText="1"/>
      <protection locked="0"/>
    </xf>
    <xf numFmtId="3" fontId="76" fillId="0" borderId="65" xfId="0" applyNumberFormat="1" applyFont="1" applyBorder="1" applyAlignment="1" applyProtection="1">
      <alignment wrapText="1"/>
      <protection locked="0"/>
    </xf>
    <xf numFmtId="3" fontId="74" fillId="0" borderId="56" xfId="0" applyNumberFormat="1" applyFont="1" applyBorder="1" applyAlignment="1" applyProtection="1">
      <alignment vertical="center" wrapText="1"/>
      <protection locked="0"/>
    </xf>
    <xf numFmtId="3" fontId="74" fillId="0" borderId="56" xfId="0" applyNumberFormat="1" applyFont="1" applyBorder="1" applyAlignment="1" applyProtection="1">
      <alignment horizontal="center" vertical="center" wrapText="1"/>
      <protection locked="0"/>
    </xf>
    <xf numFmtId="49" fontId="76" fillId="0" borderId="66" xfId="0" applyNumberFormat="1" applyFont="1" applyBorder="1" applyAlignment="1" applyProtection="1">
      <alignment vertical="center" wrapText="1"/>
      <protection locked="0"/>
    </xf>
    <xf numFmtId="3" fontId="76" fillId="0" borderId="67" xfId="0" applyNumberFormat="1" applyFont="1" applyBorder="1" applyAlignment="1" applyProtection="1">
      <alignment vertical="center" wrapText="1"/>
      <protection locked="0"/>
    </xf>
    <xf numFmtId="3" fontId="76" fillId="0" borderId="68" xfId="0" applyNumberFormat="1" applyFont="1" applyBorder="1" applyAlignment="1" applyProtection="1">
      <alignment vertical="center" wrapText="1"/>
      <protection locked="0"/>
    </xf>
    <xf numFmtId="49" fontId="76" fillId="0" borderId="49" xfId="0" applyNumberFormat="1" applyFont="1" applyBorder="1" applyAlignment="1" applyProtection="1">
      <alignment vertical="center" wrapText="1"/>
      <protection locked="0"/>
    </xf>
    <xf numFmtId="3" fontId="76" fillId="0" borderId="42" xfId="0" applyNumberFormat="1" applyFont="1" applyBorder="1" applyAlignment="1" applyProtection="1">
      <alignment vertical="center" wrapText="1"/>
      <protection locked="0"/>
    </xf>
    <xf numFmtId="3" fontId="76" fillId="0" borderId="48" xfId="0" applyNumberFormat="1" applyFont="1" applyBorder="1" applyAlignment="1" applyProtection="1">
      <alignment vertical="center" wrapText="1"/>
      <protection locked="0"/>
    </xf>
    <xf numFmtId="3" fontId="76" fillId="0" borderId="48" xfId="0" applyNumberFormat="1" applyFont="1" applyBorder="1" applyAlignment="1" applyProtection="1">
      <alignment horizontal="center" vertical="center" wrapText="1"/>
      <protection locked="0"/>
    </xf>
    <xf numFmtId="3" fontId="76" fillId="0" borderId="20" xfId="0" applyNumberFormat="1" applyFont="1" applyBorder="1" applyAlignment="1" applyProtection="1">
      <alignment vertical="center" wrapText="1"/>
      <protection locked="0"/>
    </xf>
    <xf numFmtId="49" fontId="74" fillId="0" borderId="25" xfId="0" applyNumberFormat="1" applyFont="1" applyBorder="1" applyAlignment="1" applyProtection="1">
      <alignment vertical="center" wrapText="1"/>
      <protection locked="0"/>
    </xf>
    <xf numFmtId="0" fontId="74" fillId="0" borderId="23" xfId="0" applyFont="1" applyBorder="1" applyAlignment="1" applyProtection="1">
      <alignment vertical="center" wrapText="1"/>
      <protection locked="0"/>
    </xf>
    <xf numFmtId="3" fontId="80" fillId="0" borderId="23" xfId="1" applyNumberFormat="1" applyFont="1" applyBorder="1" applyProtection="1">
      <protection locked="0"/>
    </xf>
    <xf numFmtId="3" fontId="80" fillId="0" borderId="23" xfId="1" applyNumberFormat="1" applyFont="1" applyBorder="1" applyAlignment="1" applyProtection="1">
      <alignment horizontal="center"/>
      <protection locked="0"/>
    </xf>
    <xf numFmtId="3" fontId="80" fillId="0" borderId="4" xfId="1" applyNumberFormat="1" applyFont="1" applyBorder="1" applyProtection="1">
      <protection locked="0"/>
    </xf>
    <xf numFmtId="49" fontId="78" fillId="0" borderId="25" xfId="0" applyNumberFormat="1" applyFont="1" applyBorder="1" applyAlignment="1" applyProtection="1">
      <alignment vertical="center" wrapText="1"/>
      <protection locked="0"/>
    </xf>
    <xf numFmtId="3" fontId="81" fillId="0" borderId="23" xfId="1" applyNumberFormat="1" applyFont="1" applyBorder="1" applyProtection="1">
      <protection locked="0"/>
    </xf>
    <xf numFmtId="3" fontId="81" fillId="0" borderId="60" xfId="1" applyNumberFormat="1" applyFont="1" applyBorder="1" applyAlignment="1" applyProtection="1">
      <alignment horizontal="right" vertical="center"/>
      <protection locked="0"/>
    </xf>
    <xf numFmtId="3" fontId="81" fillId="0" borderId="4" xfId="1" applyNumberFormat="1" applyFont="1" applyBorder="1" applyProtection="1">
      <protection locked="0"/>
    </xf>
    <xf numFmtId="49" fontId="78" fillId="0" borderId="59" xfId="0" applyNumberFormat="1" applyFont="1" applyBorder="1" applyAlignment="1" applyProtection="1">
      <alignment vertical="center" wrapText="1"/>
      <protection locked="0"/>
    </xf>
    <xf numFmtId="3" fontId="81" fillId="0" borderId="23" xfId="1" applyNumberFormat="1" applyFont="1" applyBorder="1" applyAlignment="1" applyProtection="1">
      <alignment horizontal="center"/>
      <protection locked="0"/>
    </xf>
    <xf numFmtId="3" fontId="81" fillId="0" borderId="61" xfId="1" applyNumberFormat="1" applyFont="1" applyBorder="1" applyProtection="1">
      <protection locked="0"/>
    </xf>
    <xf numFmtId="3" fontId="81" fillId="0" borderId="60" xfId="0" applyNumberFormat="1" applyFont="1" applyBorder="1" applyAlignment="1">
      <alignment horizontal="right" vertical="center"/>
    </xf>
    <xf numFmtId="3" fontId="82" fillId="0" borderId="60" xfId="0" applyNumberFormat="1" applyFont="1" applyBorder="1" applyAlignment="1">
      <alignment horizontal="right" vertical="center"/>
    </xf>
    <xf numFmtId="3" fontId="81" fillId="0" borderId="60" xfId="1" applyNumberFormat="1" applyFont="1" applyBorder="1" applyProtection="1">
      <protection locked="0"/>
    </xf>
    <xf numFmtId="3" fontId="75" fillId="0" borderId="23" xfId="1" applyNumberFormat="1" applyFont="1" applyBorder="1" applyAlignment="1" applyProtection="1">
      <alignment horizontal="center"/>
      <protection locked="0"/>
    </xf>
    <xf numFmtId="49" fontId="74" fillId="0" borderId="49" xfId="0" applyNumberFormat="1" applyFont="1" applyBorder="1" applyAlignment="1" applyProtection="1">
      <alignment vertical="center" wrapText="1"/>
      <protection locked="0"/>
    </xf>
    <xf numFmtId="0" fontId="74" fillId="0" borderId="48" xfId="0" applyFont="1" applyBorder="1" applyAlignment="1" applyProtection="1">
      <alignment vertical="center" wrapText="1"/>
      <protection locked="0"/>
    </xf>
    <xf numFmtId="3" fontId="80" fillId="0" borderId="48" xfId="1" applyNumberFormat="1" applyFont="1" applyBorder="1" applyProtection="1">
      <protection locked="0"/>
    </xf>
    <xf numFmtId="3" fontId="80" fillId="0" borderId="60" xfId="1" applyNumberFormat="1" applyFont="1" applyBorder="1" applyProtection="1">
      <protection locked="0"/>
    </xf>
    <xf numFmtId="3" fontId="80" fillId="0" borderId="69" xfId="1" applyNumberFormat="1" applyFont="1" applyBorder="1" applyAlignment="1" applyProtection="1">
      <alignment horizontal="center"/>
      <protection locked="0"/>
    </xf>
    <xf numFmtId="3" fontId="80" fillId="0" borderId="20" xfId="1" applyNumberFormat="1" applyFont="1" applyBorder="1" applyProtection="1">
      <protection locked="0"/>
    </xf>
    <xf numFmtId="49" fontId="74" fillId="0" borderId="59" xfId="0" applyNumberFormat="1" applyFont="1" applyBorder="1" applyAlignment="1" applyProtection="1">
      <alignment vertical="center" wrapText="1"/>
      <protection locked="0"/>
    </xf>
    <xf numFmtId="0" fontId="74" fillId="0" borderId="60" xfId="0" applyFont="1" applyBorder="1" applyAlignment="1" applyProtection="1">
      <alignment vertical="center" wrapText="1"/>
      <protection locked="0"/>
    </xf>
    <xf numFmtId="3" fontId="80" fillId="0" borderId="61" xfId="1" applyNumberFormat="1" applyFont="1" applyBorder="1" applyProtection="1">
      <protection locked="0"/>
    </xf>
    <xf numFmtId="0" fontId="74" fillId="0" borderId="59" xfId="0" applyFont="1" applyBorder="1" applyAlignment="1" applyProtection="1">
      <alignment vertical="center" wrapText="1"/>
      <protection locked="0"/>
    </xf>
    <xf numFmtId="0" fontId="78" fillId="0" borderId="59" xfId="0" applyFont="1" applyBorder="1" applyAlignment="1" applyProtection="1">
      <alignment vertical="center" wrapText="1"/>
      <protection locked="0"/>
    </xf>
    <xf numFmtId="0" fontId="78" fillId="0" borderId="23" xfId="0" applyFont="1" applyBorder="1" applyAlignment="1" applyProtection="1">
      <alignment vertical="center" wrapText="1"/>
      <protection locked="0"/>
    </xf>
    <xf numFmtId="3" fontId="81" fillId="0" borderId="23" xfId="0" applyNumberFormat="1" applyFont="1" applyBorder="1" applyAlignment="1">
      <alignment horizontal="right" vertical="center"/>
    </xf>
    <xf numFmtId="0" fontId="74" fillId="0" borderId="25" xfId="0" applyFont="1" applyBorder="1" applyAlignment="1" applyProtection="1">
      <alignment vertical="center" wrapText="1"/>
      <protection locked="0"/>
    </xf>
    <xf numFmtId="3" fontId="75" fillId="0" borderId="60" xfId="1" applyNumberFormat="1" applyFont="1" applyBorder="1" applyProtection="1">
      <protection locked="0"/>
    </xf>
    <xf numFmtId="3" fontId="75" fillId="0" borderId="61" xfId="1" applyNumberFormat="1" applyFont="1" applyBorder="1" applyProtection="1">
      <protection locked="0"/>
    </xf>
    <xf numFmtId="0" fontId="76" fillId="0" borderId="48" xfId="0" applyFont="1" applyBorder="1" applyAlignment="1" applyProtection="1">
      <alignment vertical="center" wrapText="1"/>
      <protection locked="0"/>
    </xf>
    <xf numFmtId="3" fontId="75" fillId="0" borderId="48" xfId="1" applyNumberFormat="1" applyFont="1" applyBorder="1" applyProtection="1">
      <protection locked="0"/>
    </xf>
    <xf numFmtId="3" fontId="75" fillId="0" borderId="64" xfId="1" applyNumberFormat="1" applyFont="1" applyBorder="1" applyProtection="1">
      <protection locked="0"/>
    </xf>
    <xf numFmtId="3" fontId="75" fillId="0" borderId="65" xfId="1" applyNumberFormat="1" applyFont="1" applyBorder="1" applyProtection="1">
      <protection locked="0"/>
    </xf>
    <xf numFmtId="0" fontId="71" fillId="0" borderId="0" xfId="0" applyFont="1" applyAlignment="1">
      <alignment horizontal="left"/>
    </xf>
    <xf numFmtId="0" fontId="76" fillId="0" borderId="71" xfId="0" applyFont="1" applyBorder="1" applyAlignment="1" applyProtection="1">
      <alignment vertical="center" wrapText="1"/>
      <protection locked="0"/>
    </xf>
    <xf numFmtId="3" fontId="80" fillId="0" borderId="56" xfId="1" applyNumberFormat="1" applyFont="1" applyBorder="1" applyProtection="1">
      <protection locked="0"/>
    </xf>
    <xf numFmtId="3" fontId="80" fillId="0" borderId="56" xfId="1" applyNumberFormat="1" applyFont="1" applyBorder="1" applyAlignment="1" applyProtection="1">
      <alignment horizontal="center"/>
      <protection locked="0"/>
    </xf>
    <xf numFmtId="3" fontId="76" fillId="0" borderId="60" xfId="0" applyNumberFormat="1" applyFont="1" applyBorder="1" applyAlignment="1" applyProtection="1">
      <alignment vertical="center" wrapText="1"/>
      <protection locked="0"/>
    </xf>
    <xf numFmtId="3" fontId="76" fillId="0" borderId="61" xfId="0" applyNumberFormat="1" applyFont="1" applyBorder="1" applyAlignment="1" applyProtection="1">
      <alignment vertical="center" wrapText="1"/>
      <protection locked="0"/>
    </xf>
    <xf numFmtId="3" fontId="75" fillId="5" borderId="64" xfId="0" applyNumberFormat="1" applyFont="1" applyFill="1" applyBorder="1" applyAlignment="1" applyProtection="1">
      <alignment vertical="center" wrapText="1"/>
      <protection locked="0"/>
    </xf>
    <xf numFmtId="3" fontId="75" fillId="5" borderId="64" xfId="0" applyNumberFormat="1" applyFont="1" applyFill="1" applyBorder="1" applyAlignment="1" applyProtection="1">
      <alignment horizontal="center" vertical="center" wrapText="1"/>
      <protection locked="0"/>
    </xf>
    <xf numFmtId="3" fontId="75" fillId="5" borderId="65" xfId="0" applyNumberFormat="1" applyFont="1" applyFill="1" applyBorder="1" applyAlignment="1" applyProtection="1">
      <alignment vertical="center" wrapText="1"/>
      <protection locked="0"/>
    </xf>
    <xf numFmtId="3" fontId="71" fillId="0" borderId="0" xfId="0" applyNumberFormat="1" applyFont="1"/>
    <xf numFmtId="3" fontId="76" fillId="0" borderId="64" xfId="0" applyNumberFormat="1" applyFont="1" applyBorder="1" applyAlignment="1" applyProtection="1">
      <alignment vertical="center" wrapText="1"/>
      <protection locked="0"/>
    </xf>
    <xf numFmtId="3" fontId="76" fillId="0" borderId="64" xfId="0" applyNumberFormat="1" applyFont="1" applyBorder="1" applyAlignment="1" applyProtection="1">
      <alignment horizontal="center" vertical="center" wrapText="1"/>
      <protection locked="0"/>
    </xf>
    <xf numFmtId="3" fontId="74" fillId="0" borderId="74" xfId="0" applyNumberFormat="1" applyFont="1" applyBorder="1" applyAlignment="1" applyProtection="1">
      <alignment vertical="center" wrapText="1"/>
      <protection locked="0"/>
    </xf>
    <xf numFmtId="3" fontId="74" fillId="0" borderId="74" xfId="0" applyNumberFormat="1" applyFont="1" applyBorder="1" applyAlignment="1" applyProtection="1">
      <alignment horizontal="center" vertical="center" wrapText="1"/>
      <protection locked="0"/>
    </xf>
    <xf numFmtId="3" fontId="76" fillId="0" borderId="60" xfId="0" applyNumberFormat="1" applyFont="1" applyBorder="1" applyAlignment="1" applyProtection="1">
      <alignment horizontal="center" vertical="center" wrapText="1"/>
      <protection locked="0"/>
    </xf>
    <xf numFmtId="3" fontId="76" fillId="0" borderId="65" xfId="0" applyNumberFormat="1" applyFont="1" applyBorder="1" applyAlignment="1" applyProtection="1">
      <alignment vertical="center" wrapText="1"/>
      <protection locked="0"/>
    </xf>
    <xf numFmtId="3" fontId="74" fillId="0" borderId="54" xfId="0" applyNumberFormat="1" applyFont="1" applyBorder="1" applyAlignment="1" applyProtection="1">
      <alignment vertical="center" wrapText="1"/>
      <protection locked="0"/>
    </xf>
    <xf numFmtId="3" fontId="76" fillId="5" borderId="60" xfId="0" applyNumberFormat="1" applyFont="1" applyFill="1" applyBorder="1" applyAlignment="1" applyProtection="1">
      <alignment vertical="center" wrapText="1"/>
      <protection locked="0"/>
    </xf>
    <xf numFmtId="3" fontId="76" fillId="5" borderId="61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/>
    <xf numFmtId="3" fontId="44" fillId="0" borderId="0" xfId="0" applyNumberFormat="1" applyFont="1"/>
    <xf numFmtId="0" fontId="73" fillId="0" borderId="0" xfId="0" applyFont="1"/>
    <xf numFmtId="0" fontId="7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3" fillId="0" borderId="0" xfId="0" applyFont="1" applyAlignment="1">
      <alignment horizontal="right"/>
    </xf>
    <xf numFmtId="3" fontId="44" fillId="5" borderId="0" xfId="0" applyNumberFormat="1" applyFont="1" applyFill="1"/>
    <xf numFmtId="0" fontId="80" fillId="7" borderId="58" xfId="0" applyFont="1" applyFill="1" applyBorder="1" applyAlignment="1">
      <alignment horizontal="center" vertical="center" wrapText="1" shrinkToFit="1"/>
    </xf>
    <xf numFmtId="0" fontId="80" fillId="7" borderId="81" xfId="0" applyFont="1" applyFill="1" applyBorder="1" applyAlignment="1">
      <alignment horizontal="center" vertical="center" wrapText="1" shrinkToFit="1"/>
    </xf>
    <xf numFmtId="0" fontId="76" fillId="0" borderId="23" xfId="0" applyFont="1" applyBorder="1" applyAlignment="1" applyProtection="1">
      <alignment vertical="center" wrapText="1"/>
      <protection locked="0"/>
    </xf>
    <xf numFmtId="3" fontId="76" fillId="0" borderId="23" xfId="0" applyNumberFormat="1" applyFont="1" applyBorder="1" applyAlignment="1" applyProtection="1">
      <alignment vertical="center" wrapText="1"/>
      <protection locked="0"/>
    </xf>
    <xf numFmtId="3" fontId="76" fillId="0" borderId="23" xfId="0" applyNumberFormat="1" applyFont="1" applyBorder="1" applyAlignment="1" applyProtection="1">
      <alignment horizontal="center" vertical="center" wrapText="1"/>
      <protection locked="0"/>
    </xf>
    <xf numFmtId="3" fontId="76" fillId="0" borderId="4" xfId="0" applyNumberFormat="1" applyFont="1" applyBorder="1" applyAlignment="1" applyProtection="1">
      <alignment vertical="center" wrapText="1"/>
      <protection locked="0"/>
    </xf>
    <xf numFmtId="49" fontId="76" fillId="0" borderId="25" xfId="0" applyNumberFormat="1" applyFont="1" applyBorder="1" applyAlignment="1" applyProtection="1">
      <alignment vertical="center" wrapText="1"/>
      <protection locked="0"/>
    </xf>
    <xf numFmtId="170" fontId="0" fillId="0" borderId="0" xfId="0" applyNumberFormat="1"/>
    <xf numFmtId="49" fontId="76" fillId="0" borderId="59" xfId="0" applyNumberFormat="1" applyFont="1" applyBorder="1" applyAlignment="1" applyProtection="1">
      <alignment horizontal="left" vertical="center" wrapText="1"/>
      <protection locked="0"/>
    </xf>
    <xf numFmtId="171" fontId="0" fillId="0" borderId="0" xfId="0" applyNumberFormat="1"/>
    <xf numFmtId="3" fontId="0" fillId="5" borderId="0" xfId="0" applyNumberFormat="1" applyFill="1"/>
    <xf numFmtId="0" fontId="76" fillId="0" borderId="82" xfId="0" applyFont="1" applyBorder="1" applyAlignment="1" applyProtection="1">
      <alignment vertical="center" wrapText="1"/>
      <protection locked="0"/>
    </xf>
    <xf numFmtId="49" fontId="75" fillId="0" borderId="62" xfId="0" applyNumberFormat="1" applyFont="1" applyBorder="1" applyAlignment="1">
      <alignment horizontal="left" vertical="center" wrapText="1" shrinkToFit="1"/>
    </xf>
    <xf numFmtId="0" fontId="75" fillId="0" borderId="64" xfId="0" applyFont="1" applyBorder="1" applyAlignment="1">
      <alignment horizontal="left" vertical="center" wrapText="1" shrinkToFit="1"/>
    </xf>
    <xf numFmtId="3" fontId="75" fillId="0" borderId="64" xfId="0" applyNumberFormat="1" applyFont="1" applyBorder="1" applyAlignment="1">
      <alignment horizontal="right" vertical="center" wrapText="1" shrinkToFit="1"/>
    </xf>
    <xf numFmtId="3" fontId="75" fillId="0" borderId="64" xfId="0" applyNumberFormat="1" applyFont="1" applyBorder="1" applyAlignment="1">
      <alignment horizontal="center" vertical="center" wrapText="1" shrinkToFit="1"/>
    </xf>
    <xf numFmtId="3" fontId="75" fillId="0" borderId="65" xfId="0" applyNumberFormat="1" applyFont="1" applyBorder="1" applyAlignment="1">
      <alignment horizontal="right" vertical="center" wrapText="1" shrinkToFit="1"/>
    </xf>
    <xf numFmtId="0" fontId="24" fillId="5" borderId="0" xfId="0" applyFont="1" applyFill="1"/>
    <xf numFmtId="3" fontId="74" fillId="11" borderId="56" xfId="0" applyNumberFormat="1" applyFont="1" applyFill="1" applyBorder="1" applyAlignment="1" applyProtection="1">
      <alignment vertical="center" wrapText="1"/>
      <protection locked="0"/>
    </xf>
    <xf numFmtId="3" fontId="75" fillId="0" borderId="48" xfId="0" applyNumberFormat="1" applyFont="1" applyBorder="1" applyAlignment="1">
      <alignment horizontal="right" vertical="center" wrapText="1" shrinkToFit="1"/>
    </xf>
    <xf numFmtId="3" fontId="76" fillId="0" borderId="84" xfId="0" applyNumberFormat="1" applyFont="1" applyBorder="1" applyAlignment="1" applyProtection="1">
      <alignment horizontal="center" vertical="center" wrapText="1"/>
      <protection locked="0"/>
    </xf>
    <xf numFmtId="3" fontId="75" fillId="0" borderId="54" xfId="0" applyNumberFormat="1" applyFont="1" applyBorder="1" applyAlignment="1">
      <alignment horizontal="right" vertical="center" wrapText="1" shrinkToFit="1"/>
    </xf>
    <xf numFmtId="3" fontId="83" fillId="0" borderId="0" xfId="0" applyNumberFormat="1" applyFont="1"/>
    <xf numFmtId="0" fontId="83" fillId="0" borderId="0" xfId="0" applyFont="1"/>
    <xf numFmtId="3" fontId="74" fillId="0" borderId="78" xfId="0" applyNumberFormat="1" applyFont="1" applyBorder="1" applyAlignment="1" applyProtection="1">
      <alignment horizontal="center" vertical="center" wrapText="1"/>
      <protection locked="0"/>
    </xf>
    <xf numFmtId="3" fontId="76" fillId="0" borderId="58" xfId="0" applyNumberFormat="1" applyFont="1" applyBorder="1" applyAlignment="1" applyProtection="1">
      <alignment vertical="center" wrapText="1"/>
      <protection locked="0"/>
    </xf>
    <xf numFmtId="3" fontId="76" fillId="0" borderId="58" xfId="0" applyNumberFormat="1" applyFont="1" applyBorder="1" applyAlignment="1" applyProtection="1">
      <alignment horizontal="center" vertical="center" wrapText="1"/>
      <protection locked="0"/>
    </xf>
    <xf numFmtId="3" fontId="76" fillId="5" borderId="23" xfId="0" applyNumberFormat="1" applyFont="1" applyFill="1" applyBorder="1" applyAlignment="1" applyProtection="1">
      <alignment vertical="center" wrapText="1"/>
      <protection locked="0"/>
    </xf>
    <xf numFmtId="3" fontId="76" fillId="5" borderId="4" xfId="0" applyNumberFormat="1" applyFont="1" applyFill="1" applyBorder="1" applyAlignment="1" applyProtection="1">
      <alignment vertical="center" wrapText="1"/>
      <protection locked="0"/>
    </xf>
    <xf numFmtId="49" fontId="76" fillId="0" borderId="60" xfId="0" applyNumberFormat="1" applyFont="1" applyBorder="1" applyAlignment="1" applyProtection="1">
      <alignment vertical="center" wrapText="1"/>
      <protection locked="0"/>
    </xf>
    <xf numFmtId="3" fontId="76" fillId="0" borderId="60" xfId="0" applyNumberFormat="1" applyFont="1" applyBorder="1" applyAlignment="1" applyProtection="1">
      <alignment horizontal="right" vertical="center" wrapText="1"/>
      <protection locked="0"/>
    </xf>
    <xf numFmtId="3" fontId="76" fillId="0" borderId="69" xfId="0" applyNumberFormat="1" applyFont="1" applyBorder="1" applyAlignment="1" applyProtection="1">
      <alignment horizontal="center" vertical="center" wrapText="1"/>
      <protection locked="0"/>
    </xf>
    <xf numFmtId="0" fontId="76" fillId="0" borderId="58" xfId="0" applyFont="1" applyBorder="1" applyAlignment="1" applyProtection="1">
      <alignment vertical="center" wrapText="1"/>
      <protection locked="0"/>
    </xf>
    <xf numFmtId="3" fontId="74" fillId="0" borderId="58" xfId="0" applyNumberFormat="1" applyFont="1" applyBorder="1" applyAlignment="1" applyProtection="1">
      <alignment horizontal="center" vertical="center" wrapText="1"/>
      <protection locked="0"/>
    </xf>
    <xf numFmtId="0" fontId="44" fillId="5" borderId="0" xfId="0" applyFont="1" applyFill="1"/>
    <xf numFmtId="3" fontId="76" fillId="5" borderId="64" xfId="0" applyNumberFormat="1" applyFont="1" applyFill="1" applyBorder="1" applyAlignment="1" applyProtection="1">
      <alignment vertical="center" wrapText="1"/>
      <protection locked="0"/>
    </xf>
    <xf numFmtId="3" fontId="76" fillId="5" borderId="65" xfId="0" applyNumberFormat="1" applyFont="1" applyFill="1" applyBorder="1" applyAlignment="1" applyProtection="1">
      <alignment vertical="center" wrapText="1"/>
      <protection locked="0"/>
    </xf>
    <xf numFmtId="3" fontId="74" fillId="5" borderId="83" xfId="0" applyNumberFormat="1" applyFont="1" applyFill="1" applyBorder="1" applyAlignment="1" applyProtection="1">
      <alignment vertical="center" wrapText="1"/>
      <protection locked="0"/>
    </xf>
    <xf numFmtId="3" fontId="74" fillId="5" borderId="83" xfId="0" applyNumberFormat="1" applyFont="1" applyFill="1" applyBorder="1" applyAlignment="1" applyProtection="1">
      <alignment horizontal="center" vertical="center" wrapText="1"/>
      <protection locked="0"/>
    </xf>
    <xf numFmtId="3" fontId="76" fillId="5" borderId="58" xfId="0" applyNumberFormat="1" applyFont="1" applyFill="1" applyBorder="1" applyAlignment="1" applyProtection="1">
      <alignment vertical="center" wrapText="1"/>
      <protection locked="0"/>
    </xf>
    <xf numFmtId="3" fontId="74" fillId="5" borderId="56" xfId="0" applyNumberFormat="1" applyFont="1" applyFill="1" applyBorder="1" applyAlignment="1" applyProtection="1">
      <alignment vertical="center" wrapText="1"/>
      <protection locked="0"/>
    </xf>
    <xf numFmtId="0" fontId="76" fillId="0" borderId="60" xfId="0" applyFont="1" applyBorder="1" applyAlignment="1" applyProtection="1">
      <alignment horizontal="left" vertical="center" wrapText="1"/>
      <protection locked="0"/>
    </xf>
    <xf numFmtId="0" fontId="75" fillId="0" borderId="64" xfId="0" applyFont="1" applyBorder="1" applyAlignment="1">
      <alignment horizontal="right" vertical="center" wrapText="1" shrinkToFit="1"/>
    </xf>
    <xf numFmtId="3" fontId="75" fillId="0" borderId="85" xfId="0" applyNumberFormat="1" applyFont="1" applyBorder="1" applyAlignment="1">
      <alignment horizontal="right" vertical="center" wrapText="1" shrinkToFit="1"/>
    </xf>
    <xf numFmtId="170" fontId="76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44" fillId="10" borderId="75" xfId="0" applyFont="1" applyFill="1" applyBorder="1" applyAlignment="1">
      <alignment horizontal="left"/>
    </xf>
    <xf numFmtId="0" fontId="44" fillId="10" borderId="55" xfId="0" applyFont="1" applyFill="1" applyBorder="1" applyAlignment="1">
      <alignment horizontal="left"/>
    </xf>
    <xf numFmtId="0" fontId="50" fillId="15" borderId="69" xfId="0" applyFont="1" applyFill="1" applyBorder="1" applyAlignment="1">
      <alignment horizontal="center" vertical="center"/>
    </xf>
    <xf numFmtId="0" fontId="53" fillId="13" borderId="58" xfId="0" applyFont="1" applyFill="1" applyBorder="1" applyAlignment="1">
      <alignment horizontal="center" vertical="center" wrapText="1" shrinkToFit="1"/>
    </xf>
    <xf numFmtId="0" fontId="53" fillId="13" borderId="81" xfId="0" applyFont="1" applyFill="1" applyBorder="1" applyAlignment="1">
      <alignment horizontal="center" vertical="center" wrapText="1" shrinkToFit="1"/>
    </xf>
    <xf numFmtId="3" fontId="44" fillId="14" borderId="83" xfId="0" applyNumberFormat="1" applyFont="1" applyFill="1" applyBorder="1"/>
    <xf numFmtId="3" fontId="44" fillId="14" borderId="56" xfId="0" applyNumberFormat="1" applyFont="1" applyFill="1" applyBorder="1"/>
    <xf numFmtId="3" fontId="44" fillId="14" borderId="56" xfId="0" applyNumberFormat="1" applyFont="1" applyFill="1" applyBorder="1" applyAlignment="1">
      <alignment horizontal="center"/>
    </xf>
    <xf numFmtId="49" fontId="45" fillId="0" borderId="66" xfId="0" applyNumberFormat="1" applyFont="1" applyBorder="1" applyAlignment="1">
      <alignment horizontal="left" vertical="center" wrapText="1" shrinkToFit="1"/>
    </xf>
    <xf numFmtId="0" fontId="45" fillId="0" borderId="67" xfId="0" applyFont="1" applyBorder="1" applyAlignment="1">
      <alignment horizontal="left" vertical="center" wrapText="1" shrinkToFit="1"/>
    </xf>
    <xf numFmtId="3" fontId="45" fillId="0" borderId="67" xfId="0" applyNumberFormat="1" applyFont="1" applyBorder="1" applyAlignment="1">
      <alignment horizontal="right" vertical="center" wrapText="1" shrinkToFit="1"/>
    </xf>
    <xf numFmtId="3" fontId="45" fillId="0" borderId="86" xfId="0" applyNumberFormat="1" applyFont="1" applyBorder="1" applyAlignment="1">
      <alignment horizontal="right" vertical="center" wrapText="1" shrinkToFit="1"/>
    </xf>
    <xf numFmtId="3" fontId="44" fillId="14" borderId="87" xfId="0" applyNumberFormat="1" applyFont="1" applyFill="1" applyBorder="1"/>
    <xf numFmtId="3" fontId="44" fillId="14" borderId="74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3" fontId="44" fillId="0" borderId="0" xfId="0" applyNumberFormat="1" applyFont="1" applyAlignment="1">
      <alignment horizontal="center"/>
    </xf>
    <xf numFmtId="3" fontId="44" fillId="14" borderId="83" xfId="0" applyNumberFormat="1" applyFont="1" applyFill="1" applyBorder="1" applyAlignment="1">
      <alignment horizontal="center"/>
    </xf>
    <xf numFmtId="49" fontId="45" fillId="0" borderId="25" xfId="0" applyNumberFormat="1" applyFont="1" applyFill="1" applyBorder="1" applyAlignment="1">
      <alignment horizontal="left" vertical="center" wrapText="1" shrinkToFit="1"/>
    </xf>
    <xf numFmtId="49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center" vertical="center" wrapText="1" shrinkToFit="1"/>
    </xf>
    <xf numFmtId="3" fontId="45" fillId="0" borderId="26" xfId="0" applyNumberFormat="1" applyFont="1" applyFill="1" applyBorder="1" applyAlignment="1">
      <alignment vertical="center" wrapText="1" shrinkToFit="1"/>
    </xf>
    <xf numFmtId="49" fontId="45" fillId="0" borderId="64" xfId="0" applyNumberFormat="1" applyFont="1" applyFill="1" applyBorder="1" applyAlignment="1">
      <alignment vertical="center" wrapText="1" shrinkToFit="1"/>
    </xf>
    <xf numFmtId="3" fontId="45" fillId="0" borderId="48" xfId="0" applyNumberFormat="1" applyFont="1" applyFill="1" applyBorder="1" applyAlignment="1">
      <alignment vertical="center" wrapText="1" shrinkToFit="1"/>
    </xf>
    <xf numFmtId="3" fontId="45" fillId="0" borderId="47" xfId="0" applyNumberFormat="1" applyFont="1" applyFill="1" applyBorder="1" applyAlignment="1">
      <alignment vertical="center" wrapText="1" shrinkToFit="1"/>
    </xf>
    <xf numFmtId="49" fontId="84" fillId="0" borderId="60" xfId="0" applyNumberFormat="1" applyFont="1" applyFill="1" applyBorder="1" applyAlignment="1">
      <alignment vertical="center" wrapText="1" shrinkToFit="1"/>
    </xf>
    <xf numFmtId="3" fontId="84" fillId="0" borderId="60" xfId="0" applyNumberFormat="1" applyFont="1" applyFill="1" applyBorder="1" applyAlignment="1">
      <alignment vertical="center" wrapText="1" shrinkToFit="1"/>
    </xf>
    <xf numFmtId="3" fontId="84" fillId="0" borderId="23" xfId="0" applyNumberFormat="1" applyFont="1" applyFill="1" applyBorder="1" applyAlignment="1">
      <alignment vertical="center" wrapText="1" shrinkToFit="1"/>
    </xf>
    <xf numFmtId="3" fontId="84" fillId="0" borderId="23" xfId="0" applyNumberFormat="1" applyFont="1" applyFill="1" applyBorder="1" applyAlignment="1">
      <alignment horizontal="center" vertical="center" wrapText="1" shrinkToFit="1"/>
    </xf>
    <xf numFmtId="3" fontId="84" fillId="0" borderId="69" xfId="0" applyNumberFormat="1" applyFont="1" applyFill="1" applyBorder="1" applyAlignment="1">
      <alignment vertical="center" wrapText="1" shrinkToFit="1"/>
    </xf>
    <xf numFmtId="3" fontId="84" fillId="0" borderId="64" xfId="0" applyNumberFormat="1" applyFont="1" applyFill="1" applyBorder="1" applyAlignment="1">
      <alignment vertical="center" wrapText="1" shrinkToFit="1"/>
    </xf>
    <xf numFmtId="3" fontId="84" fillId="0" borderId="85" xfId="0" applyNumberFormat="1" applyFont="1" applyFill="1" applyBorder="1" applyAlignment="1">
      <alignment vertical="center" wrapText="1" shrinkToFit="1"/>
    </xf>
    <xf numFmtId="49" fontId="84" fillId="0" borderId="64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right" vertical="center" wrapText="1" shrinkToFit="1"/>
    </xf>
    <xf numFmtId="3" fontId="45" fillId="0" borderId="26" xfId="0" applyNumberFormat="1" applyFont="1" applyFill="1" applyBorder="1" applyAlignment="1">
      <alignment horizontal="right" vertical="center" wrapText="1" shrinkToFit="1"/>
    </xf>
    <xf numFmtId="0" fontId="85" fillId="0" borderId="0" xfId="0" applyFont="1" applyAlignment="1" applyProtection="1">
      <alignment horizontal="center" vertical="center" wrapText="1" readingOrder="1"/>
      <protection locked="0"/>
    </xf>
    <xf numFmtId="0" fontId="85" fillId="18" borderId="69" xfId="0" applyFont="1" applyFill="1" applyBorder="1" applyAlignment="1" applyProtection="1">
      <alignment horizontal="center" vertical="center" wrapText="1" readingOrder="1"/>
      <protection locked="0"/>
    </xf>
    <xf numFmtId="0" fontId="85" fillId="18" borderId="58" xfId="0" applyFont="1" applyFill="1" applyBorder="1" applyAlignment="1" applyProtection="1">
      <alignment horizontal="center" vertical="center" wrapText="1" readingOrder="1"/>
      <protection locked="0"/>
    </xf>
    <xf numFmtId="0" fontId="85" fillId="18" borderId="81" xfId="0" applyFont="1" applyFill="1" applyBorder="1" applyAlignment="1" applyProtection="1">
      <alignment horizontal="center" vertical="center" wrapText="1" readingOrder="1"/>
      <protection locked="0"/>
    </xf>
    <xf numFmtId="0" fontId="86" fillId="0" borderId="25" xfId="0" applyFont="1" applyBorder="1" applyAlignment="1" applyProtection="1">
      <alignment vertical="center" wrapText="1" readingOrder="1"/>
      <protection locked="0"/>
    </xf>
    <xf numFmtId="0" fontId="86" fillId="0" borderId="36" xfId="0" applyFont="1" applyBorder="1" applyAlignment="1" applyProtection="1">
      <alignment vertical="center" wrapText="1" readingOrder="1"/>
      <protection locked="0"/>
    </xf>
    <xf numFmtId="3" fontId="86" fillId="0" borderId="66" xfId="0" applyNumberFormat="1" applyFont="1" applyBorder="1" applyAlignment="1" applyProtection="1">
      <alignment vertical="center" wrapText="1" readingOrder="1"/>
      <protection locked="0"/>
    </xf>
    <xf numFmtId="3" fontId="86" fillId="0" borderId="35" xfId="0" applyNumberFormat="1" applyFont="1" applyBorder="1" applyAlignment="1" applyProtection="1">
      <alignment vertical="center" wrapText="1" readingOrder="1"/>
      <protection locked="0"/>
    </xf>
    <xf numFmtId="3" fontId="86" fillId="0" borderId="23" xfId="0" applyNumberFormat="1" applyFont="1" applyBorder="1" applyAlignment="1" applyProtection="1">
      <alignment horizontal="center" vertical="center" wrapText="1" readingOrder="1"/>
      <protection locked="0"/>
    </xf>
    <xf numFmtId="3" fontId="86" fillId="0" borderId="26" xfId="0" applyNumberFormat="1" applyFont="1" applyBorder="1" applyAlignment="1" applyProtection="1">
      <alignment vertical="center" wrapText="1" readingOrder="1"/>
      <protection locked="0"/>
    </xf>
    <xf numFmtId="0" fontId="86" fillId="0" borderId="59" xfId="0" applyFont="1" applyBorder="1" applyAlignment="1" applyProtection="1">
      <alignment vertical="center" wrapText="1" readingOrder="1"/>
      <protection locked="0"/>
    </xf>
    <xf numFmtId="0" fontId="86" fillId="0" borderId="84" xfId="0" applyFont="1" applyBorder="1" applyAlignment="1" applyProtection="1">
      <alignment vertical="center" wrapText="1" readingOrder="1"/>
      <protection locked="0"/>
    </xf>
    <xf numFmtId="3" fontId="86" fillId="0" borderId="59" xfId="0" applyNumberFormat="1" applyFont="1" applyBorder="1" applyAlignment="1" applyProtection="1">
      <alignment vertical="center" wrapText="1" readingOrder="1"/>
      <protection locked="0"/>
    </xf>
    <xf numFmtId="3" fontId="86" fillId="0" borderId="69" xfId="0" applyNumberFormat="1" applyFont="1" applyBorder="1" applyAlignment="1" applyProtection="1">
      <alignment vertical="center" wrapText="1" readingOrder="1"/>
      <protection locked="0"/>
    </xf>
    <xf numFmtId="49" fontId="86" fillId="0" borderId="59" xfId="0" applyNumberFormat="1" applyFont="1" applyBorder="1" applyAlignment="1" applyProtection="1">
      <alignment vertical="center" wrapText="1" readingOrder="1"/>
      <protection locked="0"/>
    </xf>
    <xf numFmtId="49" fontId="86" fillId="0" borderId="84" xfId="0" applyNumberFormat="1" applyFont="1" applyBorder="1" applyAlignment="1" applyProtection="1">
      <alignment vertical="center" wrapText="1" readingOrder="1"/>
      <protection locked="0"/>
    </xf>
    <xf numFmtId="3" fontId="86" fillId="0" borderId="59" xfId="0" applyNumberFormat="1" applyFont="1" applyBorder="1" applyAlignment="1" applyProtection="1">
      <alignment horizontal="right" vertical="center" wrapText="1" readingOrder="1"/>
      <protection locked="0"/>
    </xf>
    <xf numFmtId="49" fontId="86" fillId="0" borderId="62" xfId="0" applyNumberFormat="1" applyFont="1" applyBorder="1" applyAlignment="1" applyProtection="1">
      <alignment vertical="center" wrapText="1" readingOrder="1"/>
      <protection locked="0"/>
    </xf>
    <xf numFmtId="49" fontId="86" fillId="0" borderId="88" xfId="0" applyNumberFormat="1" applyFont="1" applyBorder="1" applyAlignment="1" applyProtection="1">
      <alignment vertical="center" wrapText="1" readingOrder="1"/>
      <protection locked="0"/>
    </xf>
    <xf numFmtId="3" fontId="86" fillId="0" borderId="62" xfId="0" applyNumberFormat="1" applyFont="1" applyBorder="1" applyAlignment="1" applyProtection="1">
      <alignment vertical="center" wrapText="1" readingOrder="1"/>
      <protection locked="0"/>
    </xf>
    <xf numFmtId="3" fontId="86" fillId="0" borderId="42" xfId="0" applyNumberFormat="1" applyFont="1" applyBorder="1" applyAlignment="1" applyProtection="1">
      <alignment vertical="center" wrapText="1" readingOrder="1"/>
      <protection locked="0"/>
    </xf>
    <xf numFmtId="3" fontId="86" fillId="0" borderId="48" xfId="0" applyNumberFormat="1" applyFont="1" applyBorder="1" applyAlignment="1" applyProtection="1">
      <alignment horizontal="center" vertical="center" wrapText="1" readingOrder="1"/>
      <protection locked="0"/>
    </xf>
    <xf numFmtId="3" fontId="86" fillId="0" borderId="85" xfId="0" applyNumberFormat="1" applyFont="1" applyBorder="1" applyAlignment="1" applyProtection="1">
      <alignment vertical="center" wrapText="1" readingOrder="1"/>
      <protection locked="0"/>
    </xf>
    <xf numFmtId="3" fontId="85" fillId="19" borderId="55" xfId="0" applyNumberFormat="1" applyFont="1" applyFill="1" applyBorder="1" applyAlignment="1" applyProtection="1">
      <alignment vertical="center" wrapText="1" readingOrder="1"/>
      <protection locked="0"/>
    </xf>
    <xf numFmtId="3" fontId="85" fillId="19" borderId="56" xfId="0" applyNumberFormat="1" applyFont="1" applyFill="1" applyBorder="1" applyAlignment="1" applyProtection="1">
      <alignment horizontal="center" vertical="center" wrapText="1" readingOrder="1"/>
      <protection locked="0"/>
    </xf>
    <xf numFmtId="3" fontId="85" fillId="19" borderId="83" xfId="0" applyNumberFormat="1" applyFont="1" applyFill="1" applyBorder="1" applyAlignment="1" applyProtection="1">
      <alignment vertical="center" wrapText="1" readingOrder="1"/>
      <protection locked="0"/>
    </xf>
    <xf numFmtId="3" fontId="86" fillId="0" borderId="25" xfId="0" applyNumberFormat="1" applyFont="1" applyBorder="1" applyAlignment="1" applyProtection="1">
      <alignment vertical="center" wrapText="1" readingOrder="1"/>
      <protection locked="0"/>
    </xf>
    <xf numFmtId="0" fontId="86" fillId="0" borderId="62" xfId="0" applyFont="1" applyBorder="1" applyAlignment="1" applyProtection="1">
      <alignment vertical="center" wrapText="1" readingOrder="1"/>
      <protection locked="0"/>
    </xf>
    <xf numFmtId="0" fontId="86" fillId="0" borderId="88" xfId="0" applyFont="1" applyBorder="1" applyAlignment="1" applyProtection="1">
      <alignment vertical="center" wrapText="1" readingOrder="1"/>
      <protection locked="0"/>
    </xf>
    <xf numFmtId="0" fontId="86" fillId="0" borderId="66" xfId="0" applyFont="1" applyBorder="1" applyAlignment="1" applyProtection="1">
      <alignment vertical="center" wrapText="1" readingOrder="1"/>
      <protection locked="0"/>
    </xf>
    <xf numFmtId="0" fontId="86" fillId="0" borderId="63" xfId="0" applyFont="1" applyBorder="1" applyAlignment="1" applyProtection="1">
      <alignment vertical="center" wrapText="1" readingOrder="1"/>
      <protection locked="0"/>
    </xf>
    <xf numFmtId="3" fontId="86" fillId="0" borderId="60" xfId="0" applyNumberFormat="1" applyFont="1" applyBorder="1" applyAlignment="1" applyProtection="1">
      <alignment vertical="center" wrapText="1" readingOrder="1"/>
      <protection locked="0"/>
    </xf>
    <xf numFmtId="3" fontId="86" fillId="0" borderId="60" xfId="0" applyNumberFormat="1" applyFont="1" applyBorder="1" applyAlignment="1" applyProtection="1">
      <alignment horizontal="center" vertical="center" wrapText="1" readingOrder="1"/>
      <protection locked="0"/>
    </xf>
    <xf numFmtId="172" fontId="0" fillId="0" borderId="0" xfId="0" applyNumberFormat="1"/>
    <xf numFmtId="0" fontId="86" fillId="0" borderId="49" xfId="0" applyFont="1" applyBorder="1" applyAlignment="1" applyProtection="1">
      <alignment vertical="center" wrapText="1" readingOrder="1"/>
      <protection locked="0"/>
    </xf>
    <xf numFmtId="0" fontId="86" fillId="0" borderId="60" xfId="0" applyFont="1" applyBorder="1" applyAlignment="1" applyProtection="1">
      <alignment vertical="center" wrapText="1" readingOrder="1"/>
      <protection locked="0"/>
    </xf>
    <xf numFmtId="3" fontId="87" fillId="0" borderId="60" xfId="0" applyNumberFormat="1" applyFont="1" applyBorder="1" applyAlignment="1" applyProtection="1">
      <alignment vertical="center" wrapText="1" readingOrder="1"/>
      <protection locked="0"/>
    </xf>
    <xf numFmtId="0" fontId="86" fillId="0" borderId="64" xfId="0" applyFont="1" applyBorder="1" applyAlignment="1" applyProtection="1">
      <alignment vertical="center" wrapText="1" readingOrder="1"/>
      <protection locked="0"/>
    </xf>
    <xf numFmtId="3" fontId="86" fillId="0" borderId="64" xfId="0" applyNumberFormat="1" applyFont="1" applyBorder="1" applyAlignment="1" applyProtection="1">
      <alignment vertical="center" wrapText="1" readingOrder="1"/>
      <protection locked="0"/>
    </xf>
    <xf numFmtId="3" fontId="86" fillId="0" borderId="64" xfId="0" applyNumberFormat="1" applyFont="1" applyBorder="1" applyAlignment="1" applyProtection="1">
      <alignment horizontal="center" vertical="center" wrapText="1" readingOrder="1"/>
      <protection locked="0"/>
    </xf>
    <xf numFmtId="3" fontId="85" fillId="19" borderId="56" xfId="0" applyNumberFormat="1" applyFont="1" applyFill="1" applyBorder="1" applyAlignment="1" applyProtection="1">
      <alignment vertical="center" wrapText="1" readingOrder="1"/>
      <protection locked="0"/>
    </xf>
    <xf numFmtId="49" fontId="86" fillId="0" borderId="25" xfId="0" applyNumberFormat="1" applyFont="1" applyBorder="1" applyAlignment="1" applyProtection="1">
      <alignment vertical="center" wrapText="1" readingOrder="1"/>
      <protection locked="0"/>
    </xf>
    <xf numFmtId="0" fontId="86" fillId="0" borderId="23" xfId="0" applyFont="1" applyBorder="1" applyAlignment="1" applyProtection="1">
      <alignment vertical="center" wrapText="1" readingOrder="1"/>
      <protection locked="0"/>
    </xf>
    <xf numFmtId="3" fontId="86" fillId="0" borderId="23" xfId="0" applyNumberFormat="1" applyFont="1" applyBorder="1" applyAlignment="1" applyProtection="1">
      <alignment vertical="center" wrapText="1" readingOrder="1"/>
      <protection locked="0"/>
    </xf>
    <xf numFmtId="3" fontId="85" fillId="18" borderId="83" xfId="0" applyNumberFormat="1" applyFont="1" applyFill="1" applyBorder="1" applyAlignment="1" applyProtection="1">
      <alignment vertical="center" wrapText="1" readingOrder="1"/>
      <protection locked="0"/>
    </xf>
    <xf numFmtId="3" fontId="85" fillId="18" borderId="83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3" borderId="0" xfId="0" applyFont="1" applyFill="1"/>
    <xf numFmtId="3" fontId="86" fillId="0" borderId="48" xfId="0" applyNumberFormat="1" applyFont="1" applyBorder="1" applyAlignment="1" applyProtection="1">
      <alignment vertical="center" wrapText="1" readingOrder="1"/>
      <protection locked="0"/>
    </xf>
    <xf numFmtId="49" fontId="86" fillId="0" borderId="66" xfId="0" applyNumberFormat="1" applyFont="1" applyBorder="1" applyAlignment="1" applyProtection="1">
      <alignment vertical="center" wrapText="1" readingOrder="1"/>
      <protection locked="0"/>
    </xf>
    <xf numFmtId="0" fontId="86" fillId="0" borderId="74" xfId="0" applyFont="1" applyBorder="1" applyAlignment="1" applyProtection="1">
      <alignment vertical="center" wrapText="1" readingOrder="1"/>
      <protection locked="0"/>
    </xf>
    <xf numFmtId="3" fontId="86" fillId="0" borderId="67" xfId="0" applyNumberFormat="1" applyFont="1" applyBorder="1" applyAlignment="1" applyProtection="1">
      <alignment vertical="center" wrapText="1" readingOrder="1"/>
      <protection locked="0"/>
    </xf>
    <xf numFmtId="3" fontId="86" fillId="0" borderId="67" xfId="0" applyNumberFormat="1" applyFont="1" applyBorder="1" applyAlignment="1" applyProtection="1">
      <alignment horizontal="center" vertical="center" wrapText="1" readingOrder="1"/>
      <protection locked="0"/>
    </xf>
    <xf numFmtId="3" fontId="86" fillId="0" borderId="87" xfId="0" applyNumberFormat="1" applyFont="1" applyBorder="1" applyAlignment="1" applyProtection="1">
      <alignment vertical="center" wrapText="1" readingOrder="1"/>
      <protection locked="0"/>
    </xf>
    <xf numFmtId="3" fontId="86" fillId="0" borderId="88" xfId="0" applyNumberFormat="1" applyFont="1" applyBorder="1" applyAlignment="1" applyProtection="1">
      <alignment vertical="center" wrapText="1" readingOrder="1"/>
      <protection locked="0"/>
    </xf>
    <xf numFmtId="3" fontId="85" fillId="19" borderId="78" xfId="0" applyNumberFormat="1" applyFont="1" applyFill="1" applyBorder="1" applyAlignment="1" applyProtection="1">
      <alignment vertical="center" wrapText="1" readingOrder="1"/>
      <protection locked="0"/>
    </xf>
    <xf numFmtId="3" fontId="85" fillId="18" borderId="56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32" xfId="0" applyBorder="1"/>
    <xf numFmtId="3" fontId="0" fillId="0" borderId="44" xfId="0" applyNumberFormat="1" applyBorder="1"/>
    <xf numFmtId="0" fontId="44" fillId="18" borderId="75" xfId="0" applyFont="1" applyFill="1" applyBorder="1"/>
    <xf numFmtId="0" fontId="44" fillId="18" borderId="76" xfId="0" applyFont="1" applyFill="1" applyBorder="1"/>
    <xf numFmtId="3" fontId="44" fillId="18" borderId="56" xfId="0" applyNumberFormat="1" applyFont="1" applyFill="1" applyBorder="1" applyAlignment="1">
      <alignment horizontal="center"/>
    </xf>
    <xf numFmtId="3" fontId="44" fillId="18" borderId="83" xfId="0" applyNumberFormat="1" applyFont="1" applyFill="1" applyBorder="1"/>
    <xf numFmtId="0" fontId="75" fillId="0" borderId="0" xfId="0" applyFont="1"/>
    <xf numFmtId="0" fontId="81" fillId="0" borderId="0" xfId="0" applyFont="1" applyAlignment="1">
      <alignment horizontal="right"/>
    </xf>
    <xf numFmtId="0" fontId="80" fillId="15" borderId="69" xfId="0" applyFont="1" applyFill="1" applyBorder="1" applyAlignment="1">
      <alignment horizontal="center" vertical="center"/>
    </xf>
    <xf numFmtId="0" fontId="80" fillId="13" borderId="58" xfId="0" applyFont="1" applyFill="1" applyBorder="1" applyAlignment="1">
      <alignment horizontal="center" vertical="center" wrapText="1" shrinkToFit="1"/>
    </xf>
    <xf numFmtId="0" fontId="80" fillId="13" borderId="81" xfId="0" applyFont="1" applyFill="1" applyBorder="1" applyAlignment="1">
      <alignment horizontal="center" vertical="center" wrapText="1" shrinkToFit="1"/>
    </xf>
    <xf numFmtId="3" fontId="80" fillId="14" borderId="83" xfId="0" applyNumberFormat="1" applyFont="1" applyFill="1" applyBorder="1"/>
    <xf numFmtId="0" fontId="80" fillId="0" borderId="0" xfId="0" applyFont="1" applyAlignment="1">
      <alignment horizontal="center"/>
    </xf>
    <xf numFmtId="3" fontId="80" fillId="0" borderId="0" xfId="0" applyNumberFormat="1" applyFont="1"/>
    <xf numFmtId="3" fontId="80" fillId="0" borderId="0" xfId="0" applyNumberFormat="1" applyFont="1" applyAlignment="1">
      <alignment horizontal="center"/>
    </xf>
    <xf numFmtId="3" fontId="80" fillId="14" borderId="83" xfId="0" applyNumberFormat="1" applyFont="1" applyFill="1" applyBorder="1" applyAlignment="1">
      <alignment horizontal="center"/>
    </xf>
    <xf numFmtId="49" fontId="75" fillId="0" borderId="25" xfId="0" applyNumberFormat="1" applyFont="1" applyFill="1" applyBorder="1" applyAlignment="1">
      <alignment horizontal="left" vertical="center" wrapText="1" shrinkToFit="1"/>
    </xf>
    <xf numFmtId="49" fontId="75" fillId="0" borderId="23" xfId="0" applyNumberFormat="1" applyFont="1" applyFill="1" applyBorder="1" applyAlignment="1">
      <alignment vertical="center" wrapText="1" shrinkToFit="1"/>
    </xf>
    <xf numFmtId="3" fontId="75" fillId="0" borderId="23" xfId="0" applyNumberFormat="1" applyFont="1" applyFill="1" applyBorder="1" applyAlignment="1">
      <alignment vertical="center" wrapText="1" shrinkToFit="1"/>
    </xf>
    <xf numFmtId="3" fontId="75" fillId="0" borderId="23" xfId="0" applyNumberFormat="1" applyFont="1" applyFill="1" applyBorder="1" applyAlignment="1">
      <alignment horizontal="center" vertical="center" wrapText="1" shrinkToFit="1"/>
    </xf>
    <xf numFmtId="3" fontId="75" fillId="0" borderId="26" xfId="0" applyNumberFormat="1" applyFont="1" applyFill="1" applyBorder="1" applyAlignment="1">
      <alignment vertical="center" wrapText="1" shrinkToFit="1"/>
    </xf>
    <xf numFmtId="49" fontId="75" fillId="0" borderId="64" xfId="0" applyNumberFormat="1" applyFont="1" applyFill="1" applyBorder="1" applyAlignment="1">
      <alignment vertical="center" wrapText="1" shrinkToFit="1"/>
    </xf>
    <xf numFmtId="3" fontId="75" fillId="0" borderId="48" xfId="0" applyNumberFormat="1" applyFont="1" applyFill="1" applyBorder="1" applyAlignment="1">
      <alignment vertical="center" wrapText="1" shrinkToFit="1"/>
    </xf>
    <xf numFmtId="3" fontId="75" fillId="0" borderId="47" xfId="0" applyNumberFormat="1" applyFont="1" applyFill="1" applyBorder="1" applyAlignment="1">
      <alignment vertical="center" wrapText="1" shrinkToFit="1"/>
    </xf>
    <xf numFmtId="49" fontId="81" fillId="0" borderId="60" xfId="0" applyNumberFormat="1" applyFont="1" applyFill="1" applyBorder="1" applyAlignment="1">
      <alignment vertical="center" wrapText="1" shrinkToFit="1"/>
    </xf>
    <xf numFmtId="3" fontId="81" fillId="0" borderId="60" xfId="0" applyNumberFormat="1" applyFont="1" applyFill="1" applyBorder="1" applyAlignment="1">
      <alignment vertical="center" wrapText="1" shrinkToFit="1"/>
    </xf>
    <xf numFmtId="3" fontId="81" fillId="0" borderId="23" xfId="0" applyNumberFormat="1" applyFont="1" applyFill="1" applyBorder="1" applyAlignment="1">
      <alignment vertical="center" wrapText="1" shrinkToFit="1"/>
    </xf>
    <xf numFmtId="3" fontId="81" fillId="0" borderId="69" xfId="0" applyNumberFormat="1" applyFont="1" applyFill="1" applyBorder="1" applyAlignment="1">
      <alignment vertical="center" wrapText="1" shrinkToFit="1"/>
    </xf>
    <xf numFmtId="49" fontId="81" fillId="0" borderId="64" xfId="0" applyNumberFormat="1" applyFont="1" applyFill="1" applyBorder="1" applyAlignment="1">
      <alignment vertical="center" wrapText="1" shrinkToFit="1"/>
    </xf>
    <xf numFmtId="3" fontId="81" fillId="0" borderId="64" xfId="0" applyNumberFormat="1" applyFont="1" applyFill="1" applyBorder="1" applyAlignment="1">
      <alignment vertical="center" wrapText="1" shrinkToFit="1"/>
    </xf>
    <xf numFmtId="3" fontId="81" fillId="0" borderId="85" xfId="0" applyNumberFormat="1" applyFont="1" applyFill="1" applyBorder="1" applyAlignment="1">
      <alignment vertical="center" wrapText="1" shrinkToFit="1"/>
    </xf>
    <xf numFmtId="0" fontId="75" fillId="0" borderId="23" xfId="0" applyFont="1" applyFill="1" applyBorder="1" applyAlignment="1">
      <alignment horizontal="left" vertical="center" wrapText="1" shrinkToFit="1"/>
    </xf>
    <xf numFmtId="3" fontId="75" fillId="0" borderId="23" xfId="0" applyNumberFormat="1" applyFont="1" applyFill="1" applyBorder="1" applyAlignment="1">
      <alignment horizontal="right" vertical="center" wrapText="1" shrinkToFit="1"/>
    </xf>
    <xf numFmtId="3" fontId="75" fillId="0" borderId="26" xfId="0" applyNumberFormat="1" applyFont="1" applyFill="1" applyBorder="1" applyAlignment="1">
      <alignment horizontal="right" vertical="center" wrapText="1" shrinkToFit="1"/>
    </xf>
    <xf numFmtId="0" fontId="90" fillId="0" borderId="0" xfId="0" applyFont="1" applyAlignment="1" applyProtection="1">
      <alignment horizontal="center" vertical="center" wrapText="1" readingOrder="1"/>
      <protection locked="0"/>
    </xf>
    <xf numFmtId="0" fontId="52" fillId="0" borderId="0" xfId="0" applyFont="1"/>
    <xf numFmtId="172" fontId="73" fillId="0" borderId="0" xfId="0" applyNumberFormat="1" applyFont="1"/>
    <xf numFmtId="0" fontId="73" fillId="3" borderId="0" xfId="0" applyFont="1" applyFill="1"/>
    <xf numFmtId="49" fontId="86" fillId="0" borderId="49" xfId="0" applyNumberFormat="1" applyFont="1" applyBorder="1" applyAlignment="1" applyProtection="1">
      <alignment vertical="center" wrapText="1" readingOrder="1"/>
      <protection locked="0"/>
    </xf>
    <xf numFmtId="0" fontId="86" fillId="0" borderId="67" xfId="0" applyFont="1" applyBorder="1" applyAlignment="1" applyProtection="1">
      <alignment vertical="center" wrapText="1" readingOrder="1"/>
      <protection locked="0"/>
    </xf>
    <xf numFmtId="3" fontId="86" fillId="0" borderId="86" xfId="0" applyNumberFormat="1" applyFont="1" applyBorder="1" applyAlignment="1" applyProtection="1">
      <alignment vertical="center" wrapText="1" readingOrder="1"/>
      <protection locked="0"/>
    </xf>
    <xf numFmtId="3" fontId="85" fillId="18" borderId="43" xfId="0" applyNumberFormat="1" applyFont="1" applyFill="1" applyBorder="1" applyAlignment="1" applyProtection="1">
      <alignment vertical="center" wrapText="1" readingOrder="1"/>
      <protection locked="0"/>
    </xf>
    <xf numFmtId="3" fontId="85" fillId="18" borderId="43" xfId="0" applyNumberFormat="1" applyFont="1" applyFill="1" applyBorder="1" applyAlignment="1" applyProtection="1">
      <alignment horizontal="center" vertical="center" wrapText="1" readingOrder="1"/>
      <protection locked="0"/>
    </xf>
    <xf numFmtId="49" fontId="75" fillId="0" borderId="66" xfId="0" applyNumberFormat="1" applyFont="1" applyFill="1" applyBorder="1" applyAlignment="1">
      <alignment horizontal="left" vertical="center" wrapText="1" shrinkToFit="1"/>
    </xf>
    <xf numFmtId="0" fontId="75" fillId="0" borderId="67" xfId="0" applyFont="1" applyFill="1" applyBorder="1" applyAlignment="1">
      <alignment horizontal="left" vertical="center" wrapText="1" shrinkToFit="1"/>
    </xf>
    <xf numFmtId="3" fontId="75" fillId="0" borderId="67" xfId="0" applyNumberFormat="1" applyFont="1" applyFill="1" applyBorder="1" applyAlignment="1">
      <alignment horizontal="right" vertical="center" wrapText="1" shrinkToFit="1"/>
    </xf>
    <xf numFmtId="3" fontId="75" fillId="0" borderId="86" xfId="0" applyNumberFormat="1" applyFont="1" applyFill="1" applyBorder="1" applyAlignment="1">
      <alignment horizontal="right" vertical="center" wrapText="1" shrinkToFit="1"/>
    </xf>
    <xf numFmtId="3" fontId="85" fillId="19" borderId="78" xfId="0" applyNumberFormat="1" applyFont="1" applyFill="1" applyBorder="1" applyAlignment="1" applyProtection="1">
      <alignment horizontal="center" vertical="center" wrapText="1" readingOrder="1"/>
      <protection locked="0"/>
    </xf>
    <xf numFmtId="0" fontId="73" fillId="0" borderId="0" xfId="0" applyFont="1" applyAlignment="1">
      <alignment horizontal="center"/>
    </xf>
    <xf numFmtId="0" fontId="27" fillId="2" borderId="66" xfId="0" applyFont="1" applyFill="1" applyBorder="1" applyAlignment="1">
      <alignment horizontal="center" vertical="top" wrapText="1"/>
    </xf>
    <xf numFmtId="0" fontId="27" fillId="2" borderId="67" xfId="0" applyFont="1" applyFill="1" applyBorder="1" applyAlignment="1">
      <alignment horizontal="center" vertical="top" wrapText="1"/>
    </xf>
    <xf numFmtId="0" fontId="27" fillId="2" borderId="86" xfId="0" applyFont="1" applyFill="1" applyBorder="1" applyAlignment="1">
      <alignment horizontal="center" vertical="top" wrapText="1"/>
    </xf>
    <xf numFmtId="0" fontId="27" fillId="0" borderId="59" xfId="0" applyFont="1" applyBorder="1" applyAlignment="1">
      <alignment horizontal="center" vertical="top" wrapText="1"/>
    </xf>
    <xf numFmtId="0" fontId="27" fillId="0" borderId="60" xfId="0" applyFont="1" applyBorder="1" applyAlignment="1">
      <alignment horizontal="center" vertical="top" wrapText="1"/>
    </xf>
    <xf numFmtId="0" fontId="27" fillId="0" borderId="69" xfId="0" applyFont="1" applyBorder="1" applyAlignment="1">
      <alignment vertical="top" wrapText="1"/>
    </xf>
    <xf numFmtId="0" fontId="30" fillId="0" borderId="60" xfId="0" applyFont="1" applyBorder="1" applyAlignment="1">
      <alignment horizontal="center" vertical="top" wrapText="1"/>
    </xf>
    <xf numFmtId="0" fontId="30" fillId="3" borderId="69" xfId="0" applyFont="1" applyFill="1" applyBorder="1"/>
    <xf numFmtId="0" fontId="30" fillId="3" borderId="69" xfId="0" applyFont="1" applyFill="1" applyBorder="1" applyAlignment="1">
      <alignment vertical="top" wrapText="1"/>
    </xf>
    <xf numFmtId="0" fontId="30" fillId="3" borderId="69" xfId="0" applyFont="1" applyFill="1" applyBorder="1" applyAlignment="1">
      <alignment wrapText="1"/>
    </xf>
    <xf numFmtId="0" fontId="27" fillId="0" borderId="70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vertical="top" wrapText="1"/>
    </xf>
    <xf numFmtId="0" fontId="30" fillId="3" borderId="81" xfId="0" applyFont="1" applyFill="1" applyBorder="1"/>
    <xf numFmtId="0" fontId="27" fillId="0" borderId="6" xfId="0" applyFont="1" applyBorder="1"/>
    <xf numFmtId="0" fontId="30" fillId="3" borderId="10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/>
    <xf numFmtId="0" fontId="30" fillId="0" borderId="10" xfId="0" applyFont="1" applyBorder="1"/>
    <xf numFmtId="0" fontId="30" fillId="0" borderId="17" xfId="0" applyFont="1" applyBorder="1"/>
    <xf numFmtId="0" fontId="30" fillId="0" borderId="16" xfId="0" applyFont="1" applyBorder="1"/>
    <xf numFmtId="0" fontId="8" fillId="0" borderId="34" xfId="0" applyFont="1" applyBorder="1"/>
    <xf numFmtId="1" fontId="61" fillId="0" borderId="13" xfId="3" applyNumberFormat="1" applyFont="1" applyBorder="1" applyAlignment="1">
      <alignment horizontal="center" vertical="center" wrapText="1"/>
    </xf>
    <xf numFmtId="3" fontId="62" fillId="0" borderId="90" xfId="0" applyNumberFormat="1" applyFont="1" applyBorder="1"/>
    <xf numFmtId="3" fontId="62" fillId="0" borderId="91" xfId="0" applyNumberFormat="1" applyFont="1" applyBorder="1"/>
    <xf numFmtId="3" fontId="64" fillId="0" borderId="76" xfId="0" applyNumberFormat="1" applyFont="1" applyBorder="1"/>
    <xf numFmtId="0" fontId="62" fillId="0" borderId="0" xfId="0" applyFont="1" applyBorder="1"/>
    <xf numFmtId="0" fontId="64" fillId="0" borderId="76" xfId="0" applyFont="1" applyBorder="1"/>
    <xf numFmtId="0" fontId="62" fillId="0" borderId="92" xfId="0" applyFont="1" applyBorder="1"/>
    <xf numFmtId="0" fontId="64" fillId="0" borderId="75" xfId="0" applyFont="1" applyBorder="1"/>
    <xf numFmtId="0" fontId="62" fillId="0" borderId="93" xfId="0" applyFont="1" applyBorder="1"/>
    <xf numFmtId="0" fontId="45" fillId="3" borderId="59" xfId="0" applyFont="1" applyFill="1" applyBorder="1" applyAlignment="1">
      <alignment horizontal="center" vertical="top" wrapText="1"/>
    </xf>
    <xf numFmtId="0" fontId="30" fillId="3" borderId="84" xfId="0" applyFont="1" applyFill="1" applyBorder="1"/>
    <xf numFmtId="0" fontId="30" fillId="0" borderId="59" xfId="0" applyFont="1" applyBorder="1" applyAlignment="1">
      <alignment horizontal="center"/>
    </xf>
    <xf numFmtId="0" fontId="30" fillId="3" borderId="84" xfId="0" applyFont="1" applyFill="1" applyBorder="1" applyAlignment="1">
      <alignment vertical="top" wrapText="1"/>
    </xf>
    <xf numFmtId="0" fontId="30" fillId="3" borderId="84" xfId="0" applyFont="1" applyFill="1" applyBorder="1" applyAlignment="1">
      <alignment wrapText="1"/>
    </xf>
    <xf numFmtId="0" fontId="30" fillId="0" borderId="59" xfId="0" applyFont="1" applyBorder="1" applyAlignment="1">
      <alignment horizontal="center" vertical="top" wrapText="1"/>
    </xf>
    <xf numFmtId="0" fontId="30" fillId="3" borderId="0" xfId="0" applyFont="1" applyFill="1" applyBorder="1"/>
    <xf numFmtId="0" fontId="30" fillId="3" borderId="98" xfId="0" applyFont="1" applyFill="1" applyBorder="1"/>
    <xf numFmtId="0" fontId="30" fillId="0" borderId="70" xfId="0" applyFont="1" applyBorder="1" applyAlignment="1">
      <alignment horizontal="center"/>
    </xf>
    <xf numFmtId="0" fontId="46" fillId="0" borderId="71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45" fillId="3" borderId="66" xfId="0" applyFont="1" applyFill="1" applyBorder="1" applyAlignment="1">
      <alignment horizontal="center" vertical="top" wrapText="1"/>
    </xf>
    <xf numFmtId="0" fontId="30" fillId="3" borderId="86" xfId="0" applyFont="1" applyFill="1" applyBorder="1"/>
    <xf numFmtId="0" fontId="30" fillId="0" borderId="79" xfId="0" applyFont="1" applyBorder="1" applyAlignment="1">
      <alignment horizontal="center"/>
    </xf>
    <xf numFmtId="0" fontId="30" fillId="0" borderId="90" xfId="0" applyFont="1" applyBorder="1" applyAlignment="1">
      <alignment horizontal="center"/>
    </xf>
    <xf numFmtId="0" fontId="30" fillId="0" borderId="90" xfId="0" applyFont="1" applyBorder="1" applyAlignment="1">
      <alignment horizontal="center" vertical="top" wrapText="1"/>
    </xf>
    <xf numFmtId="0" fontId="27" fillId="3" borderId="69" xfId="0" applyFont="1" applyFill="1" applyBorder="1"/>
    <xf numFmtId="0" fontId="30" fillId="0" borderId="91" xfId="0" applyFont="1" applyBorder="1" applyAlignment="1">
      <alignment horizontal="center"/>
    </xf>
    <xf numFmtId="0" fontId="30" fillId="0" borderId="95" xfId="0" applyFont="1" applyBorder="1" applyAlignment="1">
      <alignment horizontal="center"/>
    </xf>
    <xf numFmtId="0" fontId="50" fillId="0" borderId="53" xfId="0" applyFont="1" applyBorder="1" applyAlignment="1">
      <alignment horizontal="center" vertical="top" wrapText="1"/>
    </xf>
    <xf numFmtId="0" fontId="0" fillId="0" borderId="53" xfId="0" applyBorder="1"/>
    <xf numFmtId="0" fontId="45" fillId="0" borderId="59" xfId="0" applyFont="1" applyBorder="1" applyAlignment="1">
      <alignment horizontal="center" vertical="top" wrapText="1"/>
    </xf>
    <xf numFmtId="0" fontId="30" fillId="0" borderId="92" xfId="0" applyFont="1" applyBorder="1" applyAlignment="1">
      <alignment horizontal="center"/>
    </xf>
    <xf numFmtId="0" fontId="30" fillId="0" borderId="92" xfId="0" applyFont="1" applyBorder="1" applyAlignment="1">
      <alignment horizontal="center" vertical="top" wrapText="1"/>
    </xf>
    <xf numFmtId="0" fontId="45" fillId="0" borderId="66" xfId="0" applyFont="1" applyBorder="1" applyAlignment="1">
      <alignment horizontal="center" vertical="top" wrapText="1"/>
    </xf>
    <xf numFmtId="0" fontId="49" fillId="0" borderId="89" xfId="0" applyFont="1" applyBorder="1"/>
    <xf numFmtId="0" fontId="45" fillId="3" borderId="62" xfId="0" applyFont="1" applyFill="1" applyBorder="1" applyAlignment="1">
      <alignment horizontal="center" vertical="top" wrapText="1"/>
    </xf>
    <xf numFmtId="0" fontId="30" fillId="3" borderId="85" xfId="0" applyFont="1" applyFill="1" applyBorder="1"/>
    <xf numFmtId="3" fontId="47" fillId="0" borderId="75" xfId="0" applyNumberFormat="1" applyFont="1" applyBorder="1" applyAlignment="1">
      <alignment horizontal="center" vertical="top" wrapText="1"/>
    </xf>
    <xf numFmtId="3" fontId="45" fillId="0" borderId="67" xfId="0" applyNumberFormat="1" applyFont="1" applyBorder="1" applyAlignment="1">
      <alignment horizontal="right" vertical="top" wrapText="1"/>
    </xf>
    <xf numFmtId="3" fontId="45" fillId="0" borderId="60" xfId="0" applyNumberFormat="1" applyFont="1" applyBorder="1" applyAlignment="1">
      <alignment horizontal="right"/>
    </xf>
    <xf numFmtId="3" fontId="49" fillId="0" borderId="60" xfId="1" applyNumberFormat="1" applyFont="1" applyBorder="1" applyAlignment="1">
      <alignment horizontal="right"/>
    </xf>
    <xf numFmtId="3" fontId="49" fillId="0" borderId="84" xfId="1" applyNumberFormat="1" applyFont="1" applyBorder="1" applyAlignment="1">
      <alignment horizontal="right"/>
    </xf>
    <xf numFmtId="3" fontId="45" fillId="0" borderId="60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3" fontId="49" fillId="0" borderId="59" xfId="1" applyNumberFormat="1" applyFont="1" applyBorder="1" applyAlignment="1">
      <alignment horizontal="right"/>
    </xf>
    <xf numFmtId="3" fontId="49" fillId="0" borderId="69" xfId="1" applyNumberFormat="1" applyFont="1" applyBorder="1" applyAlignment="1">
      <alignment horizontal="right"/>
    </xf>
    <xf numFmtId="3" fontId="45" fillId="0" borderId="60" xfId="1" applyNumberFormat="1" applyFont="1" applyBorder="1" applyAlignment="1">
      <alignment horizontal="right" wrapText="1"/>
    </xf>
    <xf numFmtId="3" fontId="45" fillId="0" borderId="60" xfId="0" applyNumberFormat="1" applyFont="1" applyBorder="1" applyAlignment="1">
      <alignment horizontal="right" wrapText="1"/>
    </xf>
    <xf numFmtId="3" fontId="0" fillId="0" borderId="60" xfId="0" applyNumberFormat="1" applyBorder="1" applyAlignment="1">
      <alignment horizontal="right"/>
    </xf>
    <xf numFmtId="0" fontId="19" fillId="0" borderId="25" xfId="0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right" wrapText="1"/>
    </xf>
    <xf numFmtId="3" fontId="45" fillId="0" borderId="23" xfId="1" applyNumberFormat="1" applyFont="1" applyBorder="1" applyAlignment="1">
      <alignment horizontal="right" wrapText="1"/>
    </xf>
    <xf numFmtId="3" fontId="49" fillId="0" borderId="23" xfId="1" applyNumberFormat="1" applyFont="1" applyBorder="1" applyAlignment="1">
      <alignment horizontal="right"/>
    </xf>
    <xf numFmtId="3" fontId="49" fillId="0" borderId="36" xfId="1" applyNumberFormat="1" applyFont="1" applyBorder="1" applyAlignment="1">
      <alignment horizontal="right"/>
    </xf>
    <xf numFmtId="0" fontId="56" fillId="0" borderId="70" xfId="0" applyFont="1" applyBorder="1" applyAlignment="1">
      <alignment horizontal="center" vertical="center" wrapText="1"/>
    </xf>
    <xf numFmtId="3" fontId="49" fillId="0" borderId="25" xfId="1" applyNumberFormat="1" applyFont="1" applyBorder="1" applyAlignment="1">
      <alignment horizontal="right"/>
    </xf>
    <xf numFmtId="3" fontId="49" fillId="0" borderId="26" xfId="1" applyNumberFormat="1" applyFont="1" applyBorder="1" applyAlignment="1">
      <alignment horizontal="right"/>
    </xf>
    <xf numFmtId="3" fontId="49" fillId="0" borderId="0" xfId="1" applyNumberFormat="1" applyFont="1" applyBorder="1" applyAlignment="1">
      <alignment horizontal="right"/>
    </xf>
    <xf numFmtId="3" fontId="45" fillId="0" borderId="58" xfId="0" applyNumberFormat="1" applyFont="1" applyBorder="1" applyAlignment="1">
      <alignment horizontal="right"/>
    </xf>
    <xf numFmtId="3" fontId="45" fillId="0" borderId="58" xfId="1" applyNumberFormat="1" applyFont="1" applyBorder="1" applyAlignment="1">
      <alignment horizontal="right" wrapText="1"/>
    </xf>
    <xf numFmtId="3" fontId="49" fillId="0" borderId="58" xfId="1" applyNumberFormat="1" applyFont="1" applyBorder="1" applyAlignment="1">
      <alignment horizontal="right"/>
    </xf>
    <xf numFmtId="3" fontId="49" fillId="0" borderId="98" xfId="1" applyNumberFormat="1" applyFont="1" applyBorder="1" applyAlignment="1">
      <alignment horizontal="right"/>
    </xf>
    <xf numFmtId="3" fontId="49" fillId="0" borderId="70" xfId="1" applyNumberFormat="1" applyFont="1" applyBorder="1" applyAlignment="1">
      <alignment horizontal="right"/>
    </xf>
    <xf numFmtId="3" fontId="49" fillId="0" borderId="81" xfId="1" applyNumberFormat="1" applyFont="1" applyBorder="1" applyAlignment="1">
      <alignment horizontal="right"/>
    </xf>
    <xf numFmtId="0" fontId="45" fillId="0" borderId="23" xfId="0" applyFont="1" applyBorder="1" applyAlignment="1">
      <alignment horizontal="right"/>
    </xf>
    <xf numFmtId="3" fontId="45" fillId="0" borderId="97" xfId="0" applyNumberFormat="1" applyFont="1" applyBorder="1" applyAlignment="1">
      <alignment horizontal="right" vertical="top" wrapText="1"/>
    </xf>
    <xf numFmtId="0" fontId="49" fillId="0" borderId="67" xfId="0" applyFont="1" applyBorder="1" applyAlignment="1">
      <alignment horizontal="right"/>
    </xf>
    <xf numFmtId="0" fontId="49" fillId="0" borderId="86" xfId="0" applyFont="1" applyBorder="1" applyAlignment="1">
      <alignment horizontal="right"/>
    </xf>
    <xf numFmtId="0" fontId="49" fillId="0" borderId="66" xfId="0" applyFont="1" applyBorder="1" applyAlignment="1">
      <alignment horizontal="right"/>
    </xf>
    <xf numFmtId="0" fontId="45" fillId="0" borderId="60" xfId="0" applyFont="1" applyBorder="1" applyAlignment="1">
      <alignment horizontal="right"/>
    </xf>
    <xf numFmtId="3" fontId="45" fillId="0" borderId="63" xfId="0" applyNumberFormat="1" applyFont="1" applyBorder="1" applyAlignment="1">
      <alignment horizontal="right" vertical="top" wrapText="1"/>
    </xf>
    <xf numFmtId="0" fontId="49" fillId="0" borderId="60" xfId="0" applyFont="1" applyBorder="1" applyAlignment="1">
      <alignment horizontal="right"/>
    </xf>
    <xf numFmtId="0" fontId="49" fillId="0" borderId="69" xfId="0" applyFont="1" applyBorder="1" applyAlignment="1">
      <alignment horizontal="right"/>
    </xf>
    <xf numFmtId="0" fontId="49" fillId="0" borderId="59" xfId="0" applyFont="1" applyBorder="1" applyAlignment="1">
      <alignment horizontal="right"/>
    </xf>
    <xf numFmtId="0" fontId="45" fillId="0" borderId="60" xfId="0" applyFont="1" applyBorder="1" applyAlignment="1">
      <alignment horizontal="right" vertical="top" wrapText="1"/>
    </xf>
    <xf numFmtId="3" fontId="53" fillId="0" borderId="63" xfId="0" applyNumberFormat="1" applyFont="1" applyBorder="1" applyAlignment="1">
      <alignment horizontal="right" vertical="top" wrapText="1"/>
    </xf>
    <xf numFmtId="0" fontId="45" fillId="0" borderId="63" xfId="0" applyFont="1" applyBorder="1" applyAlignment="1">
      <alignment horizontal="right" vertical="top" wrapText="1"/>
    </xf>
    <xf numFmtId="0" fontId="49" fillId="0" borderId="63" xfId="0" applyFont="1" applyBorder="1" applyAlignment="1">
      <alignment horizontal="right"/>
    </xf>
    <xf numFmtId="3" fontId="49" fillId="0" borderId="60" xfId="0" applyNumberFormat="1" applyFont="1" applyBorder="1" applyAlignment="1">
      <alignment horizontal="right"/>
    </xf>
    <xf numFmtId="0" fontId="49" fillId="0" borderId="63" xfId="0" applyFont="1" applyBorder="1" applyAlignment="1">
      <alignment horizontal="right" vertical="center"/>
    </xf>
    <xf numFmtId="0" fontId="49" fillId="0" borderId="60" xfId="0" applyFont="1" applyBorder="1" applyAlignment="1">
      <alignment horizontal="right" vertical="center"/>
    </xf>
    <xf numFmtId="0" fontId="49" fillId="0" borderId="69" xfId="0" applyFont="1" applyBorder="1" applyAlignment="1">
      <alignment horizontal="right" vertical="center"/>
    </xf>
    <xf numFmtId="0" fontId="49" fillId="0" borderId="59" xfId="0" applyFont="1" applyBorder="1" applyAlignment="1">
      <alignment horizontal="right" vertical="center"/>
    </xf>
    <xf numFmtId="0" fontId="45" fillId="0" borderId="64" xfId="0" applyFont="1" applyBorder="1" applyAlignment="1">
      <alignment horizontal="right"/>
    </xf>
    <xf numFmtId="0" fontId="49" fillId="0" borderId="82" xfId="0" applyFont="1" applyBorder="1" applyAlignment="1">
      <alignment horizontal="right"/>
    </xf>
    <xf numFmtId="0" fontId="49" fillId="0" borderId="64" xfId="0" applyFont="1" applyBorder="1" applyAlignment="1">
      <alignment horizontal="right"/>
    </xf>
    <xf numFmtId="0" fontId="49" fillId="0" borderId="85" xfId="0" applyFont="1" applyBorder="1" applyAlignment="1">
      <alignment horizontal="right"/>
    </xf>
    <xf numFmtId="0" fontId="49" fillId="0" borderId="62" xfId="0" applyFont="1" applyBorder="1" applyAlignment="1">
      <alignment horizontal="right"/>
    </xf>
    <xf numFmtId="3" fontId="53" fillId="0" borderId="75" xfId="0" applyNumberFormat="1" applyFont="1" applyBorder="1" applyAlignment="1">
      <alignment horizontal="right" vertical="top" wrapText="1"/>
    </xf>
    <xf numFmtId="3" fontId="45" fillId="0" borderId="63" xfId="1" applyNumberFormat="1" applyFont="1" applyBorder="1" applyAlignment="1">
      <alignment horizontal="right" wrapText="1"/>
    </xf>
    <xf numFmtId="3" fontId="45" fillId="3" borderId="63" xfId="1" applyNumberFormat="1" applyFont="1" applyFill="1" applyBorder="1" applyAlignment="1">
      <alignment horizontal="right" wrapText="1"/>
    </xf>
    <xf numFmtId="3" fontId="45" fillId="3" borderId="60" xfId="1" applyNumberFormat="1" applyFont="1" applyFill="1" applyBorder="1" applyAlignment="1">
      <alignment horizontal="right" wrapText="1"/>
    </xf>
    <xf numFmtId="3" fontId="45" fillId="0" borderId="4" xfId="0" applyNumberFormat="1" applyFont="1" applyBorder="1" applyAlignment="1">
      <alignment horizontal="center"/>
    </xf>
    <xf numFmtId="3" fontId="45" fillId="0" borderId="35" xfId="0" applyNumberFormat="1" applyFont="1" applyBorder="1" applyAlignment="1">
      <alignment horizontal="right" wrapText="1"/>
    </xf>
    <xf numFmtId="3" fontId="49" fillId="0" borderId="23" xfId="0" applyNumberFormat="1" applyFont="1" applyBorder="1" applyAlignment="1"/>
    <xf numFmtId="3" fontId="49" fillId="0" borderId="36" xfId="0" applyNumberFormat="1" applyFont="1" applyBorder="1" applyAlignment="1"/>
    <xf numFmtId="3" fontId="45" fillId="0" borderId="63" xfId="0" applyNumberFormat="1" applyFont="1" applyBorder="1" applyAlignment="1">
      <alignment horizontal="right" wrapText="1"/>
    </xf>
    <xf numFmtId="3" fontId="53" fillId="0" borderId="63" xfId="0" applyNumberFormat="1" applyFont="1" applyBorder="1" applyAlignment="1">
      <alignment horizontal="right" wrapText="1"/>
    </xf>
    <xf numFmtId="3" fontId="53" fillId="0" borderId="48" xfId="0" applyNumberFormat="1" applyFont="1" applyBorder="1" applyAlignment="1">
      <alignment horizontal="center" wrapText="1"/>
    </xf>
    <xf numFmtId="3" fontId="49" fillId="0" borderId="56" xfId="0" applyNumberFormat="1" applyFont="1" applyBorder="1" applyAlignment="1"/>
    <xf numFmtId="3" fontId="54" fillId="0" borderId="39" xfId="0" applyNumberFormat="1" applyFont="1" applyBorder="1" applyAlignment="1"/>
    <xf numFmtId="3" fontId="45" fillId="0" borderId="61" xfId="0" applyNumberFormat="1" applyFont="1" applyBorder="1" applyAlignment="1">
      <alignment horizontal="right"/>
    </xf>
    <xf numFmtId="3" fontId="49" fillId="0" borderId="84" xfId="0" applyNumberFormat="1" applyFont="1" applyBorder="1" applyAlignment="1">
      <alignment horizontal="right"/>
    </xf>
    <xf numFmtId="3" fontId="49" fillId="0" borderId="59" xfId="0" applyNumberFormat="1" applyFont="1" applyBorder="1" applyAlignment="1">
      <alignment horizontal="right"/>
    </xf>
    <xf numFmtId="3" fontId="49" fillId="0" borderId="69" xfId="0" applyNumberFormat="1" applyFont="1" applyBorder="1" applyAlignment="1">
      <alignment horizontal="right"/>
    </xf>
    <xf numFmtId="3" fontId="45" fillId="0" borderId="61" xfId="0" applyNumberFormat="1" applyFont="1" applyBorder="1" applyAlignment="1">
      <alignment horizontal="right" wrapText="1"/>
    </xf>
    <xf numFmtId="3" fontId="49" fillId="0" borderId="63" xfId="0" applyNumberFormat="1" applyFont="1" applyBorder="1" applyAlignment="1">
      <alignment horizontal="right"/>
    </xf>
    <xf numFmtId="3" fontId="45" fillId="0" borderId="65" xfId="0" applyNumberFormat="1" applyFont="1" applyBorder="1" applyAlignment="1">
      <alignment horizontal="right"/>
    </xf>
    <xf numFmtId="3" fontId="49" fillId="0" borderId="82" xfId="0" applyNumberFormat="1" applyFont="1" applyBorder="1" applyAlignment="1">
      <alignment horizontal="right"/>
    </xf>
    <xf numFmtId="3" fontId="49" fillId="0" borderId="64" xfId="0" applyNumberFormat="1" applyFont="1" applyBorder="1" applyAlignment="1">
      <alignment horizontal="right"/>
    </xf>
    <xf numFmtId="3" fontId="49" fillId="0" borderId="88" xfId="0" applyNumberFormat="1" applyFont="1" applyBorder="1" applyAlignment="1">
      <alignment horizontal="right"/>
    </xf>
    <xf numFmtId="3" fontId="49" fillId="0" borderId="62" xfId="0" applyNumberFormat="1" applyFont="1" applyBorder="1" applyAlignment="1">
      <alignment horizontal="right"/>
    </xf>
    <xf numFmtId="3" fontId="49" fillId="0" borderId="85" xfId="0" applyNumberFormat="1" applyFont="1" applyBorder="1" applyAlignment="1">
      <alignment horizontal="right"/>
    </xf>
    <xf numFmtId="3" fontId="45" fillId="0" borderId="4" xfId="0" applyNumberFormat="1" applyFont="1" applyBorder="1" applyAlignment="1">
      <alignment horizontal="right" wrapText="1"/>
    </xf>
    <xf numFmtId="3" fontId="45" fillId="0" borderId="35" xfId="1" applyNumberFormat="1" applyFont="1" applyBorder="1" applyAlignment="1">
      <alignment horizontal="right" wrapText="1"/>
    </xf>
    <xf numFmtId="3" fontId="49" fillId="3" borderId="60" xfId="1" applyNumberFormat="1" applyFont="1" applyFill="1" applyBorder="1" applyAlignment="1">
      <alignment horizontal="right"/>
    </xf>
    <xf numFmtId="3" fontId="45" fillId="0" borderId="60" xfId="0" applyNumberFormat="1" applyFont="1" applyBorder="1" applyAlignment="1">
      <alignment horizontal="right" vertical="center"/>
    </xf>
    <xf numFmtId="3" fontId="49" fillId="0" borderId="69" xfId="0" applyNumberFormat="1" applyFont="1" applyBorder="1" applyAlignment="1">
      <alignment horizontal="right" vertical="center"/>
    </xf>
    <xf numFmtId="3" fontId="49" fillId="0" borderId="60" xfId="0" applyNumberFormat="1" applyFont="1" applyBorder="1" applyAlignment="1">
      <alignment horizontal="right" vertical="center"/>
    </xf>
    <xf numFmtId="0" fontId="45" fillId="0" borderId="62" xfId="0" applyFont="1" applyBorder="1" applyAlignment="1">
      <alignment horizontal="center" vertical="top" wrapText="1"/>
    </xf>
    <xf numFmtId="3" fontId="53" fillId="0" borderId="75" xfId="0" applyNumberFormat="1" applyFont="1" applyBorder="1" applyAlignment="1">
      <alignment horizontal="center" vertical="top" wrapText="1"/>
    </xf>
    <xf numFmtId="3" fontId="53" fillId="0" borderId="53" xfId="0" applyNumberFormat="1" applyFont="1" applyBorder="1" applyAlignment="1">
      <alignment horizontal="right" wrapText="1"/>
    </xf>
    <xf numFmtId="0" fontId="45" fillId="0" borderId="60" xfId="0" applyFont="1" applyBorder="1" applyAlignment="1">
      <alignment horizontal="center" vertical="top" wrapText="1"/>
    </xf>
    <xf numFmtId="0" fontId="30" fillId="0" borderId="93" xfId="0" applyFont="1" applyBorder="1" applyAlignment="1">
      <alignment horizontal="center"/>
    </xf>
    <xf numFmtId="3" fontId="45" fillId="0" borderId="82" xfId="1" applyNumberFormat="1" applyFont="1" applyBorder="1" applyAlignment="1">
      <alignment horizontal="right" wrapText="1"/>
    </xf>
    <xf numFmtId="3" fontId="45" fillId="0" borderId="64" xfId="1" applyNumberFormat="1" applyFont="1" applyBorder="1" applyAlignment="1">
      <alignment horizontal="right" wrapText="1"/>
    </xf>
    <xf numFmtId="3" fontId="49" fillId="0" borderId="64" xfId="1" applyNumberFormat="1" applyFont="1" applyBorder="1" applyAlignment="1">
      <alignment horizontal="right"/>
    </xf>
    <xf numFmtId="3" fontId="49" fillId="0" borderId="85" xfId="1" applyNumberFormat="1" applyFont="1" applyBorder="1" applyAlignment="1">
      <alignment horizontal="right"/>
    </xf>
    <xf numFmtId="3" fontId="49" fillId="0" borderId="62" xfId="1" applyNumberFormat="1" applyFont="1" applyBorder="1" applyAlignment="1">
      <alignment horizontal="right"/>
    </xf>
    <xf numFmtId="0" fontId="45" fillId="0" borderId="23" xfId="0" applyFont="1" applyBorder="1" applyAlignment="1">
      <alignment horizontal="center" vertical="top" wrapText="1"/>
    </xf>
    <xf numFmtId="0" fontId="30" fillId="3" borderId="26" xfId="0" applyFont="1" applyFill="1" applyBorder="1" applyAlignment="1">
      <alignment vertical="top" wrapText="1"/>
    </xf>
    <xf numFmtId="0" fontId="30" fillId="0" borderId="52" xfId="0" applyFont="1" applyBorder="1" applyAlignment="1">
      <alignment horizontal="center"/>
    </xf>
    <xf numFmtId="3" fontId="49" fillId="0" borderId="25" xfId="0" applyNumberFormat="1" applyFont="1" applyBorder="1" applyAlignment="1"/>
    <xf numFmtId="3" fontId="49" fillId="0" borderId="26" xfId="0" applyNumberFormat="1" applyFont="1" applyBorder="1" applyAlignment="1"/>
    <xf numFmtId="0" fontId="30" fillId="3" borderId="87" xfId="0" applyFont="1" applyFill="1" applyBorder="1"/>
    <xf numFmtId="0" fontId="30" fillId="0" borderId="99" xfId="0" applyFont="1" applyBorder="1" applyAlignment="1">
      <alignment horizontal="center"/>
    </xf>
    <xf numFmtId="3" fontId="45" fillId="0" borderId="54" xfId="0" applyNumberFormat="1" applyFont="1" applyBorder="1" applyAlignment="1">
      <alignment horizontal="right"/>
    </xf>
    <xf numFmtId="3" fontId="45" fillId="0" borderId="100" xfId="1" applyNumberFormat="1" applyFont="1" applyBorder="1" applyAlignment="1">
      <alignment horizontal="right" wrapText="1"/>
    </xf>
    <xf numFmtId="3" fontId="45" fillId="0" borderId="74" xfId="1" applyNumberFormat="1" applyFont="1" applyBorder="1" applyAlignment="1">
      <alignment horizontal="right" wrapText="1"/>
    </xf>
    <xf numFmtId="3" fontId="49" fillId="0" borderId="74" xfId="1" applyNumberFormat="1" applyFont="1" applyBorder="1" applyAlignment="1">
      <alignment horizontal="right"/>
    </xf>
    <xf numFmtId="3" fontId="49" fillId="0" borderId="101" xfId="1" applyNumberFormat="1" applyFont="1" applyBorder="1" applyAlignment="1">
      <alignment horizontal="right"/>
    </xf>
    <xf numFmtId="3" fontId="49" fillId="0" borderId="73" xfId="1" applyNumberFormat="1" applyFont="1" applyBorder="1" applyAlignment="1">
      <alignment horizontal="right"/>
    </xf>
    <xf numFmtId="3" fontId="49" fillId="0" borderId="87" xfId="1" applyNumberFormat="1" applyFont="1" applyBorder="1" applyAlignment="1">
      <alignment horizontal="right"/>
    </xf>
    <xf numFmtId="0" fontId="68" fillId="0" borderId="0" xfId="0" applyFont="1" applyBorder="1" applyAlignment="1">
      <alignment horizontal="center" wrapText="1"/>
    </xf>
    <xf numFmtId="49" fontId="45" fillId="3" borderId="34" xfId="0" applyNumberFormat="1" applyFont="1" applyFill="1" applyBorder="1" applyAlignment="1">
      <alignment vertical="center" wrapText="1" shrinkToFit="1"/>
    </xf>
    <xf numFmtId="49" fontId="65" fillId="3" borderId="75" xfId="0" applyNumberFormat="1" applyFont="1" applyFill="1" applyBorder="1" applyAlignment="1">
      <alignment vertical="center" wrapText="1" shrinkToFit="1"/>
    </xf>
    <xf numFmtId="49" fontId="45" fillId="3" borderId="3" xfId="0" applyNumberFormat="1" applyFont="1" applyFill="1" applyBorder="1" applyAlignment="1">
      <alignment vertical="center" wrapText="1" shrinkToFit="1"/>
    </xf>
    <xf numFmtId="49" fontId="45" fillId="3" borderId="92" xfId="0" applyNumberFormat="1" applyFont="1" applyFill="1" applyBorder="1" applyAlignment="1">
      <alignment vertical="center" wrapText="1" shrinkToFit="1"/>
    </xf>
    <xf numFmtId="49" fontId="45" fillId="3" borderId="93" xfId="0" applyNumberFormat="1" applyFont="1" applyFill="1" applyBorder="1" applyAlignment="1">
      <alignment vertical="center" wrapText="1" shrinkToFit="1"/>
    </xf>
    <xf numFmtId="3" fontId="45" fillId="3" borderId="4" xfId="0" applyNumberFormat="1" applyFont="1" applyFill="1" applyBorder="1" applyAlignment="1">
      <alignment vertical="center" wrapText="1" shrinkToFit="1"/>
    </xf>
    <xf numFmtId="3" fontId="45" fillId="3" borderId="61" xfId="0" applyNumberFormat="1" applyFont="1" applyFill="1" applyBorder="1" applyAlignment="1">
      <alignment vertical="center" wrapText="1" shrinkToFit="1"/>
    </xf>
    <xf numFmtId="3" fontId="45" fillId="3" borderId="65" xfId="0" applyNumberFormat="1" applyFont="1" applyFill="1" applyBorder="1" applyAlignment="1">
      <alignment vertical="center" wrapText="1" shrinkToFit="1"/>
    </xf>
    <xf numFmtId="3" fontId="45" fillId="3" borderId="28" xfId="0" applyNumberFormat="1" applyFont="1" applyFill="1" applyBorder="1" applyAlignment="1">
      <alignment vertical="center" wrapText="1" shrinkToFit="1"/>
    </xf>
    <xf numFmtId="3" fontId="44" fillId="3" borderId="28" xfId="0" applyNumberFormat="1" applyFont="1" applyFill="1" applyBorder="1"/>
    <xf numFmtId="49" fontId="45" fillId="3" borderId="96" xfId="0" applyNumberFormat="1" applyFont="1" applyFill="1" applyBorder="1" applyAlignment="1">
      <alignment vertical="center" wrapText="1" shrinkToFit="1"/>
    </xf>
    <xf numFmtId="3" fontId="45" fillId="3" borderId="68" xfId="0" applyNumberFormat="1" applyFont="1" applyFill="1" applyBorder="1" applyAlignment="1">
      <alignment vertical="center" wrapText="1" shrinkToFit="1"/>
    </xf>
    <xf numFmtId="49" fontId="65" fillId="3" borderId="75" xfId="0" applyNumberFormat="1" applyFont="1" applyFill="1" applyBorder="1" applyAlignment="1">
      <alignment horizontal="left" vertical="center" wrapText="1" shrinkToFit="1"/>
    </xf>
    <xf numFmtId="0" fontId="59" fillId="3" borderId="75" xfId="0" applyFont="1" applyFill="1" applyBorder="1" applyAlignment="1">
      <alignment horizontal="left"/>
    </xf>
    <xf numFmtId="49" fontId="19" fillId="3" borderId="96" xfId="0" applyNumberFormat="1" applyFont="1" applyFill="1" applyBorder="1" applyAlignment="1">
      <alignment vertical="center" wrapText="1" shrinkToFit="1"/>
    </xf>
    <xf numFmtId="49" fontId="19" fillId="3" borderId="92" xfId="0" applyNumberFormat="1" applyFont="1" applyFill="1" applyBorder="1" applyAlignment="1">
      <alignment vertical="center" wrapText="1" shrinkToFit="1"/>
    </xf>
    <xf numFmtId="49" fontId="66" fillId="3" borderId="75" xfId="0" applyNumberFormat="1" applyFont="1" applyFill="1" applyBorder="1" applyAlignment="1">
      <alignment vertical="center" wrapText="1" shrinkToFit="1"/>
    </xf>
    <xf numFmtId="3" fontId="19" fillId="3" borderId="68" xfId="0" applyNumberFormat="1" applyFont="1" applyFill="1" applyBorder="1" applyAlignment="1">
      <alignment vertical="center" wrapText="1" shrinkToFit="1"/>
    </xf>
    <xf numFmtId="3" fontId="19" fillId="3" borderId="61" xfId="0" applyNumberFormat="1" applyFont="1" applyFill="1" applyBorder="1" applyAlignment="1">
      <alignment vertical="center" wrapText="1" shrinkToFit="1"/>
    </xf>
    <xf numFmtId="0" fontId="92" fillId="0" borderId="0" xfId="0" applyFont="1" applyAlignment="1">
      <alignment horizontal="right"/>
    </xf>
    <xf numFmtId="0" fontId="16" fillId="0" borderId="92" xfId="0" applyFont="1" applyBorder="1" applyAlignment="1">
      <alignment wrapText="1"/>
    </xf>
    <xf numFmtId="0" fontId="16" fillId="0" borderId="93" xfId="0" applyFont="1" applyBorder="1"/>
    <xf numFmtId="0" fontId="14" fillId="0" borderId="75" xfId="0" applyFont="1" applyBorder="1" applyAlignment="1">
      <alignment horizontal="left"/>
    </xf>
    <xf numFmtId="3" fontId="16" fillId="0" borderId="61" xfId="0" applyNumberFormat="1" applyFont="1" applyBorder="1" applyAlignment="1">
      <alignment horizontal="right"/>
    </xf>
    <xf numFmtId="3" fontId="16" fillId="0" borderId="65" xfId="0" applyNumberFormat="1" applyFont="1" applyBorder="1" applyAlignment="1">
      <alignment horizontal="right"/>
    </xf>
    <xf numFmtId="3" fontId="14" fillId="0" borderId="53" xfId="1" applyNumberFormat="1" applyFont="1" applyBorder="1" applyAlignment="1">
      <alignment horizontal="right"/>
    </xf>
    <xf numFmtId="0" fontId="14" fillId="0" borderId="75" xfId="0" applyFont="1" applyBorder="1"/>
    <xf numFmtId="0" fontId="14" fillId="0" borderId="53" xfId="0" applyFont="1" applyBorder="1" applyAlignment="1">
      <alignment horizontal="center"/>
    </xf>
    <xf numFmtId="0" fontId="14" fillId="0" borderId="7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3" fontId="16" fillId="0" borderId="4" xfId="0" applyNumberFormat="1" applyFont="1" applyBorder="1" applyAlignment="1">
      <alignment horizontal="right"/>
    </xf>
    <xf numFmtId="3" fontId="14" fillId="0" borderId="53" xfId="0" applyNumberFormat="1" applyFont="1" applyBorder="1" applyAlignment="1">
      <alignment horizontal="right"/>
    </xf>
    <xf numFmtId="3" fontId="14" fillId="0" borderId="53" xfId="0" applyNumberFormat="1" applyFont="1" applyBorder="1" applyAlignment="1">
      <alignment horizontal="center"/>
    </xf>
    <xf numFmtId="0" fontId="16" fillId="0" borderId="3" xfId="0" applyFont="1" applyBorder="1"/>
    <xf numFmtId="0" fontId="16" fillId="0" borderId="92" xfId="0" applyFont="1" applyBorder="1"/>
    <xf numFmtId="3" fontId="16" fillId="0" borderId="61" xfId="1" applyNumberFormat="1" applyFont="1" applyBorder="1" applyAlignment="1">
      <alignment horizontal="right"/>
    </xf>
    <xf numFmtId="3" fontId="16" fillId="0" borderId="65" xfId="1" applyNumberFormat="1" applyFont="1" applyBorder="1" applyAlignment="1">
      <alignment horizontal="right"/>
    </xf>
    <xf numFmtId="0" fontId="16" fillId="0" borderId="93" xfId="0" applyFont="1" applyBorder="1" applyAlignment="1">
      <alignment wrapText="1"/>
    </xf>
    <xf numFmtId="0" fontId="93" fillId="0" borderId="93" xfId="0" applyFont="1" applyBorder="1" applyAlignment="1">
      <alignment wrapText="1"/>
    </xf>
    <xf numFmtId="3" fontId="93" fillId="0" borderId="65" xfId="0" applyNumberFormat="1" applyFont="1" applyBorder="1" applyAlignment="1">
      <alignment horizontal="right"/>
    </xf>
    <xf numFmtId="0" fontId="18" fillId="21" borderId="1" xfId="0" applyFont="1" applyFill="1" applyBorder="1"/>
    <xf numFmtId="3" fontId="18" fillId="21" borderId="5" xfId="0" applyNumberFormat="1" applyFont="1" applyFill="1" applyBorder="1"/>
    <xf numFmtId="0" fontId="35" fillId="0" borderId="68" xfId="0" applyFont="1" applyBorder="1" applyAlignment="1">
      <alignment horizontal="center" wrapText="1"/>
    </xf>
    <xf numFmtId="0" fontId="35" fillId="0" borderId="68" xfId="0" applyFont="1" applyBorder="1" applyAlignment="1">
      <alignment horizontal="justify" wrapText="1"/>
    </xf>
    <xf numFmtId="3" fontId="35" fillId="0" borderId="68" xfId="0" applyNumberFormat="1" applyFont="1" applyBorder="1" applyAlignment="1">
      <alignment horizontal="right" wrapText="1"/>
    </xf>
    <xf numFmtId="0" fontId="35" fillId="0" borderId="61" xfId="0" applyFont="1" applyBorder="1" applyAlignment="1">
      <alignment horizontal="center" wrapText="1"/>
    </xf>
    <xf numFmtId="0" fontId="35" fillId="0" borderId="61" xfId="0" applyFont="1" applyBorder="1" applyAlignment="1">
      <alignment horizontal="justify" wrapText="1"/>
    </xf>
    <xf numFmtId="3" fontId="35" fillId="0" borderId="61" xfId="0" applyNumberFormat="1" applyFont="1" applyBorder="1" applyAlignment="1">
      <alignment horizontal="right" wrapText="1"/>
    </xf>
    <xf numFmtId="0" fontId="35" fillId="0" borderId="61" xfId="0" applyFont="1" applyBorder="1" applyAlignment="1">
      <alignment horizontal="right" wrapText="1"/>
    </xf>
    <xf numFmtId="3" fontId="35" fillId="0" borderId="61" xfId="0" applyNumberFormat="1" applyFont="1" applyBorder="1" applyAlignment="1">
      <alignment horizontal="justify" wrapText="1"/>
    </xf>
    <xf numFmtId="3" fontId="2" fillId="0" borderId="69" xfId="0" applyNumberFormat="1" applyFont="1" applyBorder="1" applyAlignment="1">
      <alignment horizontal="right" wrapText="1"/>
    </xf>
    <xf numFmtId="0" fontId="37" fillId="0" borderId="53" xfId="0" applyFont="1" applyBorder="1" applyAlignment="1">
      <alignment horizontal="justify" wrapText="1"/>
    </xf>
    <xf numFmtId="3" fontId="36" fillId="0" borderId="53" xfId="0" applyNumberFormat="1" applyFont="1" applyBorder="1" applyAlignment="1">
      <alignment horizontal="right" wrapText="1"/>
    </xf>
    <xf numFmtId="0" fontId="37" fillId="0" borderId="76" xfId="0" applyFont="1" applyBorder="1" applyAlignment="1">
      <alignment horizontal="justify" wrapText="1"/>
    </xf>
    <xf numFmtId="0" fontId="36" fillId="0" borderId="76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0" fontId="50" fillId="0" borderId="76" xfId="0" applyFont="1" applyBorder="1"/>
    <xf numFmtId="0" fontId="35" fillId="0" borderId="72" xfId="0" applyFont="1" applyBorder="1" applyAlignment="1">
      <alignment horizontal="center" wrapText="1"/>
    </xf>
    <xf numFmtId="3" fontId="35" fillId="0" borderId="72" xfId="0" applyNumberFormat="1" applyFont="1" applyBorder="1" applyAlignment="1">
      <alignment horizontal="center" wrapText="1"/>
    </xf>
    <xf numFmtId="0" fontId="26" fillId="0" borderId="92" xfId="0" applyFont="1" applyBorder="1"/>
    <xf numFmtId="0" fontId="35" fillId="0" borderId="65" xfId="0" applyFont="1" applyBorder="1" applyAlignment="1">
      <alignment horizontal="justify" wrapText="1"/>
    </xf>
    <xf numFmtId="3" fontId="35" fillId="0" borderId="65" xfId="0" applyNumberFormat="1" applyFont="1" applyBorder="1" applyAlignment="1">
      <alignment horizontal="right" wrapText="1"/>
    </xf>
    <xf numFmtId="0" fontId="37" fillId="0" borderId="61" xfId="0" applyFont="1" applyBorder="1" applyAlignment="1">
      <alignment horizontal="center" wrapText="1"/>
    </xf>
    <xf numFmtId="3" fontId="35" fillId="2" borderId="61" xfId="0" applyNumberFormat="1" applyFont="1" applyFill="1" applyBorder="1" applyAlignment="1">
      <alignment horizontal="right" wrapText="1"/>
    </xf>
    <xf numFmtId="0" fontId="38" fillId="0" borderId="72" xfId="0" applyFont="1" applyBorder="1" applyAlignment="1">
      <alignment wrapText="1"/>
    </xf>
    <xf numFmtId="0" fontId="37" fillId="0" borderId="53" xfId="0" applyFont="1" applyBorder="1" applyAlignment="1">
      <alignment wrapText="1"/>
    </xf>
    <xf numFmtId="3" fontId="36" fillId="0" borderId="53" xfId="0" applyNumberFormat="1" applyFont="1" applyBorder="1" applyAlignment="1">
      <alignment wrapText="1"/>
    </xf>
    <xf numFmtId="3" fontId="29" fillId="2" borderId="60" xfId="0" applyNumberFormat="1" applyFont="1" applyFill="1" applyBorder="1" applyAlignment="1">
      <alignment horizontal="right" wrapText="1"/>
    </xf>
    <xf numFmtId="3" fontId="41" fillId="2" borderId="60" xfId="0" applyNumberFormat="1" applyFont="1" applyFill="1" applyBorder="1" applyAlignment="1">
      <alignment horizontal="right" wrapText="1"/>
    </xf>
    <xf numFmtId="3" fontId="24" fillId="2" borderId="60" xfId="0" applyNumberFormat="1" applyFont="1" applyFill="1" applyBorder="1" applyAlignment="1">
      <alignment horizontal="right" wrapText="1"/>
    </xf>
    <xf numFmtId="3" fontId="29" fillId="2" borderId="66" xfId="0" applyNumberFormat="1" applyFont="1" applyFill="1" applyBorder="1" applyAlignment="1">
      <alignment horizontal="right" wrapText="1"/>
    </xf>
    <xf numFmtId="3" fontId="29" fillId="2" borderId="67" xfId="0" applyNumberFormat="1" applyFont="1" applyFill="1" applyBorder="1" applyAlignment="1">
      <alignment horizontal="right" wrapText="1"/>
    </xf>
    <xf numFmtId="3" fontId="29" fillId="2" borderId="86" xfId="0" applyNumberFormat="1" applyFont="1" applyFill="1" applyBorder="1" applyAlignment="1">
      <alignment horizontal="right" wrapText="1"/>
    </xf>
    <xf numFmtId="3" fontId="29" fillId="2" borderId="59" xfId="0" applyNumberFormat="1" applyFont="1" applyFill="1" applyBorder="1" applyAlignment="1">
      <alignment horizontal="right" wrapText="1"/>
    </xf>
    <xf numFmtId="3" fontId="29" fillId="2" borderId="69" xfId="0" applyNumberFormat="1" applyFont="1" applyFill="1" applyBorder="1" applyAlignment="1">
      <alignment horizontal="right" wrapText="1"/>
    </xf>
    <xf numFmtId="3" fontId="41" fillId="2" borderId="59" xfId="0" applyNumberFormat="1" applyFont="1" applyFill="1" applyBorder="1" applyAlignment="1">
      <alignment horizontal="right" wrapText="1"/>
    </xf>
    <xf numFmtId="3" fontId="41" fillId="2" borderId="69" xfId="0" applyNumberFormat="1" applyFont="1" applyFill="1" applyBorder="1" applyAlignment="1">
      <alignment horizontal="right" wrapText="1"/>
    </xf>
    <xf numFmtId="3" fontId="24" fillId="2" borderId="59" xfId="0" applyNumberFormat="1" applyFont="1" applyFill="1" applyBorder="1" applyAlignment="1">
      <alignment horizontal="right" wrapText="1"/>
    </xf>
    <xf numFmtId="3" fontId="24" fillId="2" borderId="69" xfId="0" applyNumberFormat="1" applyFont="1" applyFill="1" applyBorder="1" applyAlignment="1">
      <alignment horizontal="right" wrapText="1"/>
    </xf>
    <xf numFmtId="3" fontId="41" fillId="2" borderId="70" xfId="0" applyNumberFormat="1" applyFont="1" applyFill="1" applyBorder="1" applyAlignment="1">
      <alignment horizontal="right" wrapText="1"/>
    </xf>
    <xf numFmtId="3" fontId="41" fillId="2" borderId="58" xfId="0" applyNumberFormat="1" applyFont="1" applyFill="1" applyBorder="1" applyAlignment="1">
      <alignment horizontal="right" wrapText="1"/>
    </xf>
    <xf numFmtId="3" fontId="24" fillId="2" borderId="81" xfId="0" applyNumberFormat="1" applyFont="1" applyFill="1" applyBorder="1" applyAlignment="1">
      <alignment horizontal="right" wrapText="1"/>
    </xf>
    <xf numFmtId="0" fontId="9" fillId="0" borderId="34" xfId="0" applyFont="1" applyBorder="1"/>
    <xf numFmtId="3" fontId="24" fillId="2" borderId="25" xfId="0" applyNumberFormat="1" applyFont="1" applyFill="1" applyBorder="1" applyAlignment="1">
      <alignment horizontal="right" wrapText="1"/>
    </xf>
    <xf numFmtId="3" fontId="24" fillId="2" borderId="23" xfId="0" applyNumberFormat="1" applyFont="1" applyFill="1" applyBorder="1" applyAlignment="1">
      <alignment horizontal="right" wrapText="1"/>
    </xf>
    <xf numFmtId="3" fontId="24" fillId="2" borderId="26" xfId="0" applyNumberFormat="1" applyFont="1" applyFill="1" applyBorder="1" applyAlignment="1">
      <alignment horizontal="right" wrapText="1"/>
    </xf>
    <xf numFmtId="0" fontId="43" fillId="2" borderId="75" xfId="0" applyFont="1" applyFill="1" applyBorder="1" applyAlignment="1">
      <alignment wrapText="1"/>
    </xf>
    <xf numFmtId="3" fontId="23" fillId="0" borderId="29" xfId="3" applyNumberFormat="1" applyFont="1" applyBorder="1" applyAlignment="1">
      <alignment horizontal="right"/>
    </xf>
    <xf numFmtId="3" fontId="23" fillId="0" borderId="2" xfId="3" applyNumberFormat="1" applyFont="1" applyBorder="1" applyAlignment="1">
      <alignment horizontal="right"/>
    </xf>
    <xf numFmtId="3" fontId="23" fillId="2" borderId="30" xfId="0" applyNumberFormat="1" applyFont="1" applyFill="1" applyBorder="1" applyAlignment="1">
      <alignment horizontal="right" wrapText="1"/>
    </xf>
    <xf numFmtId="3" fontId="43" fillId="2" borderId="53" xfId="0" applyNumberFormat="1" applyFont="1" applyFill="1" applyBorder="1" applyAlignment="1">
      <alignment horizontal="right" wrapText="1"/>
    </xf>
    <xf numFmtId="3" fontId="43" fillId="2" borderId="55" xfId="0" applyNumberFormat="1" applyFont="1" applyFill="1" applyBorder="1" applyAlignment="1">
      <alignment horizontal="right" wrapText="1"/>
    </xf>
    <xf numFmtId="3" fontId="43" fillId="2" borderId="28" xfId="0" applyNumberFormat="1" applyFont="1" applyFill="1" applyBorder="1" applyAlignment="1">
      <alignment horizontal="right" wrapText="1"/>
    </xf>
    <xf numFmtId="3" fontId="43" fillId="2" borderId="21" xfId="0" applyNumberFormat="1" applyFont="1" applyFill="1" applyBorder="1" applyAlignment="1">
      <alignment horizontal="right" wrapText="1"/>
    </xf>
    <xf numFmtId="3" fontId="43" fillId="2" borderId="22" xfId="0" applyNumberFormat="1" applyFont="1" applyFill="1" applyBorder="1" applyAlignment="1">
      <alignment horizontal="right" wrapText="1"/>
    </xf>
    <xf numFmtId="3" fontId="43" fillId="2" borderId="38" xfId="0" applyNumberFormat="1" applyFont="1" applyFill="1" applyBorder="1" applyAlignment="1">
      <alignment horizontal="right" wrapText="1"/>
    </xf>
    <xf numFmtId="3" fontId="23" fillId="0" borderId="92" xfId="0" applyNumberFormat="1" applyFont="1" applyBorder="1" applyAlignment="1">
      <alignment horizontal="right"/>
    </xf>
    <xf numFmtId="3" fontId="55" fillId="0" borderId="55" xfId="0" applyNumberFormat="1" applyFont="1" applyBorder="1" applyAlignment="1">
      <alignment horizontal="right"/>
    </xf>
    <xf numFmtId="3" fontId="55" fillId="0" borderId="89" xfId="0" applyNumberFormat="1" applyFont="1" applyBorder="1" applyAlignment="1">
      <alignment horizontal="right"/>
    </xf>
    <xf numFmtId="3" fontId="57" fillId="0" borderId="93" xfId="0" applyNumberFormat="1" applyFont="1" applyBorder="1"/>
    <xf numFmtId="3" fontId="23" fillId="0" borderId="93" xfId="0" applyNumberFormat="1" applyFont="1" applyBorder="1" applyAlignment="1">
      <alignment horizontal="right"/>
    </xf>
    <xf numFmtId="3" fontId="28" fillId="2" borderId="64" xfId="0" applyNumberFormat="1" applyFont="1" applyFill="1" applyBorder="1" applyAlignment="1">
      <alignment horizontal="right" wrapText="1"/>
    </xf>
    <xf numFmtId="0" fontId="28" fillId="2" borderId="75" xfId="0" applyFont="1" applyFill="1" applyBorder="1" applyAlignment="1">
      <alignment wrapText="1"/>
    </xf>
    <xf numFmtId="3" fontId="52" fillId="2" borderId="75" xfId="0" applyNumberFormat="1" applyFont="1" applyFill="1" applyBorder="1" applyAlignment="1">
      <alignment horizontal="right" wrapText="1"/>
    </xf>
    <xf numFmtId="3" fontId="52" fillId="2" borderId="55" xfId="0" applyNumberFormat="1" applyFont="1" applyFill="1" applyBorder="1" applyAlignment="1">
      <alignment horizontal="right" wrapText="1"/>
    </xf>
    <xf numFmtId="3" fontId="52" fillId="2" borderId="56" xfId="0" applyNumberFormat="1" applyFont="1" applyFill="1" applyBorder="1" applyAlignment="1">
      <alignment horizontal="right" wrapText="1"/>
    </xf>
    <xf numFmtId="3" fontId="52" fillId="2" borderId="83" xfId="0" applyNumberFormat="1" applyFont="1" applyFill="1" applyBorder="1" applyAlignment="1">
      <alignment horizontal="right" wrapText="1"/>
    </xf>
    <xf numFmtId="3" fontId="57" fillId="0" borderId="3" xfId="0" applyNumberFormat="1" applyFont="1" applyBorder="1"/>
    <xf numFmtId="3" fontId="23" fillId="0" borderId="3" xfId="0" applyNumberFormat="1" applyFont="1" applyBorder="1" applyAlignment="1">
      <alignment horizontal="right"/>
    </xf>
    <xf numFmtId="0" fontId="40" fillId="2" borderId="70" xfId="0" applyFont="1" applyFill="1" applyBorder="1" applyAlignment="1">
      <alignment horizontal="center" wrapText="1"/>
    </xf>
    <xf numFmtId="0" fontId="40" fillId="2" borderId="58" xfId="0" applyFont="1" applyFill="1" applyBorder="1" applyAlignment="1">
      <alignment horizontal="center" wrapText="1"/>
    </xf>
    <xf numFmtId="0" fontId="40" fillId="2" borderId="81" xfId="0" applyFont="1" applyFill="1" applyBorder="1" applyAlignment="1">
      <alignment horizontal="center" wrapText="1"/>
    </xf>
    <xf numFmtId="3" fontId="57" fillId="0" borderId="92" xfId="0" applyNumberFormat="1" applyFont="1" applyBorder="1"/>
    <xf numFmtId="3" fontId="24" fillId="2" borderId="85" xfId="0" applyNumberFormat="1" applyFont="1" applyFill="1" applyBorder="1" applyAlignment="1">
      <alignment horizontal="right" wrapText="1"/>
    </xf>
    <xf numFmtId="0" fontId="9" fillId="0" borderId="75" xfId="0" applyFont="1" applyBorder="1"/>
    <xf numFmtId="0" fontId="57" fillId="0" borderId="92" xfId="0" applyFont="1" applyBorder="1"/>
    <xf numFmtId="3" fontId="23" fillId="0" borderId="92" xfId="3" applyNumberFormat="1" applyFont="1" applyBorder="1" applyAlignment="1">
      <alignment horizontal="right"/>
    </xf>
    <xf numFmtId="3" fontId="29" fillId="2" borderId="64" xfId="0" applyNumberFormat="1" applyFont="1" applyFill="1" applyBorder="1" applyAlignment="1">
      <alignment horizontal="right" wrapText="1"/>
    </xf>
    <xf numFmtId="3" fontId="29" fillId="2" borderId="85" xfId="0" applyNumberFormat="1" applyFont="1" applyFill="1" applyBorder="1" applyAlignment="1">
      <alignment horizontal="right" wrapText="1"/>
    </xf>
    <xf numFmtId="3" fontId="41" fillId="2" borderId="55" xfId="0" applyNumberFormat="1" applyFont="1" applyFill="1" applyBorder="1" applyAlignment="1">
      <alignment horizontal="right" wrapText="1"/>
    </xf>
    <xf numFmtId="3" fontId="41" fillId="2" borderId="53" xfId="0" applyNumberFormat="1" applyFont="1" applyFill="1" applyBorder="1" applyAlignment="1">
      <alignment horizontal="right" wrapText="1"/>
    </xf>
    <xf numFmtId="3" fontId="28" fillId="2" borderId="75" xfId="0" applyNumberFormat="1" applyFont="1" applyFill="1" applyBorder="1" applyAlignment="1">
      <alignment horizontal="right" wrapText="1"/>
    </xf>
    <xf numFmtId="3" fontId="55" fillId="0" borderId="75" xfId="0" applyNumberFormat="1" applyFont="1" applyBorder="1" applyAlignment="1">
      <alignment horizontal="right"/>
    </xf>
    <xf numFmtId="3" fontId="29" fillId="2" borderId="62" xfId="0" applyNumberFormat="1" applyFont="1" applyFill="1" applyBorder="1" applyAlignment="1">
      <alignment horizontal="right" wrapText="1"/>
    </xf>
    <xf numFmtId="3" fontId="28" fillId="2" borderId="62" xfId="0" applyNumberFormat="1" applyFont="1" applyFill="1" applyBorder="1" applyAlignment="1">
      <alignment horizontal="right" wrapText="1"/>
    </xf>
    <xf numFmtId="3" fontId="24" fillId="2" borderId="55" xfId="0" applyNumberFormat="1" applyFont="1" applyFill="1" applyBorder="1" applyAlignment="1">
      <alignment horizontal="right" wrapText="1"/>
    </xf>
    <xf numFmtId="3" fontId="24" fillId="2" borderId="53" xfId="0" applyNumberFormat="1" applyFont="1" applyFill="1" applyBorder="1" applyAlignment="1">
      <alignment horizontal="right" wrapText="1"/>
    </xf>
    <xf numFmtId="169" fontId="73" fillId="0" borderId="0" xfId="6" applyNumberFormat="1" applyFont="1" applyBorder="1" applyAlignment="1" applyProtection="1">
      <alignment horizontal="right"/>
    </xf>
    <xf numFmtId="3" fontId="75" fillId="0" borderId="23" xfId="0" applyNumberFormat="1" applyFont="1" applyBorder="1" applyAlignment="1">
      <alignment horizontal="right" vertical="center" wrapText="1" shrinkToFit="1"/>
    </xf>
    <xf numFmtId="3" fontId="78" fillId="0" borderId="60" xfId="0" applyNumberFormat="1" applyFont="1" applyBorder="1" applyAlignment="1" applyProtection="1">
      <alignment horizontal="right" vertical="center" wrapText="1"/>
      <protection locked="0"/>
    </xf>
    <xf numFmtId="3" fontId="76" fillId="0" borderId="63" xfId="0" applyNumberFormat="1" applyFont="1" applyBorder="1" applyAlignment="1" applyProtection="1">
      <alignment horizontal="right" vertical="center" wrapText="1"/>
      <protection locked="0"/>
    </xf>
    <xf numFmtId="3" fontId="78" fillId="0" borderId="63" xfId="0" applyNumberFormat="1" applyFont="1" applyBorder="1" applyAlignment="1" applyProtection="1">
      <alignment horizontal="right" vertical="center" wrapText="1"/>
      <protection locked="0"/>
    </xf>
    <xf numFmtId="3" fontId="78" fillId="0" borderId="60" xfId="0" applyNumberFormat="1" applyFont="1" applyBorder="1" applyAlignment="1" applyProtection="1">
      <alignment wrapText="1"/>
      <protection locked="0"/>
    </xf>
    <xf numFmtId="3" fontId="76" fillId="0" borderId="64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vertical="center" wrapText="1"/>
      <protection locked="0"/>
    </xf>
    <xf numFmtId="3" fontId="76" fillId="0" borderId="86" xfId="0" applyNumberFormat="1" applyFont="1" applyBorder="1" applyAlignment="1" applyProtection="1">
      <alignment horizontal="center" vertical="center" wrapText="1"/>
      <protection locked="0"/>
    </xf>
    <xf numFmtId="3" fontId="74" fillId="0" borderId="23" xfId="0" applyNumberFormat="1" applyFont="1" applyBorder="1" applyAlignment="1" applyProtection="1">
      <alignment horizontal="right" wrapText="1"/>
      <protection locked="0"/>
    </xf>
    <xf numFmtId="3" fontId="78" fillId="0" borderId="23" xfId="0" applyNumberFormat="1" applyFont="1" applyBorder="1" applyAlignment="1" applyProtection="1">
      <alignment horizontal="right" wrapText="1"/>
      <protection locked="0"/>
    </xf>
    <xf numFmtId="3" fontId="78" fillId="0" borderId="60" xfId="0" applyNumberFormat="1" applyFont="1" applyBorder="1" applyAlignment="1" applyProtection="1">
      <alignment horizontal="right" wrapText="1"/>
      <protection locked="0"/>
    </xf>
    <xf numFmtId="3" fontId="74" fillId="0" borderId="48" xfId="0" applyNumberFormat="1" applyFont="1" applyBorder="1" applyAlignment="1" applyProtection="1">
      <alignment horizontal="right" wrapText="1"/>
      <protection locked="0"/>
    </xf>
    <xf numFmtId="3" fontId="74" fillId="0" borderId="60" xfId="0" applyNumberFormat="1" applyFont="1" applyBorder="1" applyAlignment="1" applyProtection="1">
      <alignment horizontal="right" wrapText="1"/>
      <protection locked="0"/>
    </xf>
    <xf numFmtId="3" fontId="76" fillId="0" borderId="60" xfId="0" applyNumberFormat="1" applyFont="1" applyBorder="1" applyAlignment="1" applyProtection="1">
      <alignment horizontal="right" wrapText="1"/>
      <protection locked="0"/>
    </xf>
    <xf numFmtId="3" fontId="76" fillId="0" borderId="48" xfId="0" applyNumberFormat="1" applyFont="1" applyBorder="1" applyAlignment="1" applyProtection="1">
      <alignment horizontal="right" wrapText="1"/>
      <protection locked="0"/>
    </xf>
    <xf numFmtId="3" fontId="76" fillId="0" borderId="64" xfId="0" applyNumberFormat="1" applyFont="1" applyBorder="1" applyAlignment="1" applyProtection="1">
      <alignment horizontal="right" wrapText="1"/>
      <protection locked="0"/>
    </xf>
    <xf numFmtId="3" fontId="80" fillId="0" borderId="65" xfId="1" applyNumberFormat="1" applyFont="1" applyBorder="1" applyProtection="1">
      <protection locked="0"/>
    </xf>
    <xf numFmtId="49" fontId="76" fillId="0" borderId="16" xfId="0" applyNumberFormat="1" applyFont="1" applyBorder="1" applyAlignment="1" applyProtection="1">
      <alignment vertical="center" wrapText="1"/>
      <protection locked="0"/>
    </xf>
    <xf numFmtId="3" fontId="76" fillId="0" borderId="71" xfId="0" applyNumberFormat="1" applyFont="1" applyBorder="1" applyAlignment="1" applyProtection="1">
      <alignment horizontal="right" wrapText="1"/>
      <protection locked="0"/>
    </xf>
    <xf numFmtId="3" fontId="75" fillId="0" borderId="58" xfId="1" applyNumberFormat="1" applyFont="1" applyFill="1" applyBorder="1" applyProtection="1">
      <protection locked="0"/>
    </xf>
    <xf numFmtId="3" fontId="75" fillId="0" borderId="104" xfId="1" applyNumberFormat="1" applyFont="1" applyFill="1" applyBorder="1" applyProtection="1">
      <protection locked="0"/>
    </xf>
    <xf numFmtId="3" fontId="74" fillId="0" borderId="89" xfId="0" applyNumberFormat="1" applyFont="1" applyBorder="1" applyAlignment="1" applyProtection="1">
      <alignment horizontal="right" wrapText="1"/>
      <protection locked="0"/>
    </xf>
    <xf numFmtId="3" fontId="80" fillId="0" borderId="5" xfId="1" applyNumberFormat="1" applyFont="1" applyBorder="1" applyProtection="1">
      <protection locked="0"/>
    </xf>
    <xf numFmtId="167" fontId="75" fillId="0" borderId="65" xfId="6" applyNumberFormat="1" applyFont="1" applyBorder="1" applyAlignment="1" applyProtection="1">
      <alignment vertical="center"/>
    </xf>
    <xf numFmtId="3" fontId="80" fillId="0" borderId="54" xfId="6" applyNumberFormat="1" applyFont="1" applyBorder="1" applyAlignment="1" applyProtection="1">
      <alignment vertical="center"/>
    </xf>
    <xf numFmtId="3" fontId="74" fillId="0" borderId="100" xfId="0" applyNumberFormat="1" applyFont="1" applyBorder="1" applyAlignment="1" applyProtection="1">
      <alignment horizontal="right" vertical="center" wrapText="1"/>
      <protection locked="0"/>
    </xf>
    <xf numFmtId="0" fontId="76" fillId="0" borderId="64" xfId="0" applyFont="1" applyBorder="1" applyAlignment="1" applyProtection="1">
      <alignment horizontal="right" vertical="center" wrapText="1"/>
      <protection locked="0"/>
    </xf>
    <xf numFmtId="0" fontId="74" fillId="0" borderId="89" xfId="0" applyFont="1" applyBorder="1" applyAlignment="1" applyProtection="1">
      <alignment horizontal="right" vertical="center" wrapText="1"/>
      <protection locked="0"/>
    </xf>
    <xf numFmtId="3" fontId="74" fillId="0" borderId="89" xfId="0" applyNumberFormat="1" applyFont="1" applyBorder="1" applyAlignment="1" applyProtection="1">
      <alignment horizontal="right" vertical="center" wrapText="1"/>
      <protection locked="0"/>
    </xf>
    <xf numFmtId="0" fontId="76" fillId="0" borderId="60" xfId="0" applyFont="1" applyBorder="1" applyAlignment="1" applyProtection="1">
      <alignment horizontal="right" vertical="center" wrapText="1"/>
      <protection locked="0"/>
    </xf>
    <xf numFmtId="3" fontId="1" fillId="0" borderId="0" xfId="6" applyNumberFormat="1" applyBorder="1" applyAlignment="1" applyProtection="1"/>
    <xf numFmtId="3" fontId="44" fillId="10" borderId="56" xfId="6" applyNumberFormat="1" applyFont="1" applyFill="1" applyBorder="1" applyAlignment="1" applyProtection="1"/>
    <xf numFmtId="3" fontId="44" fillId="10" borderId="78" xfId="6" applyNumberFormat="1" applyFont="1" applyFill="1" applyBorder="1" applyAlignment="1" applyProtection="1">
      <alignment horizontal="center"/>
    </xf>
    <xf numFmtId="3" fontId="44" fillId="10" borderId="5" xfId="6" applyNumberFormat="1" applyFont="1" applyFill="1" applyBorder="1" applyAlignment="1" applyProtection="1"/>
    <xf numFmtId="169" fontId="1" fillId="0" borderId="0" xfId="6" applyNumberFormat="1" applyBorder="1" applyAlignment="1" applyProtection="1"/>
    <xf numFmtId="167" fontId="73" fillId="0" borderId="0" xfId="6" applyNumberFormat="1" applyFont="1" applyBorder="1" applyAlignment="1" applyProtection="1"/>
    <xf numFmtId="0" fontId="80" fillId="7" borderId="98" xfId="0" applyFont="1" applyFill="1" applyBorder="1" applyAlignment="1">
      <alignment horizontal="center" vertical="center" wrapText="1" shrinkToFit="1"/>
    </xf>
    <xf numFmtId="3" fontId="76" fillId="0" borderId="82" xfId="0" applyNumberFormat="1" applyFont="1" applyBorder="1" applyAlignment="1" applyProtection="1">
      <alignment vertical="center" wrapText="1"/>
      <protection locked="0"/>
    </xf>
    <xf numFmtId="3" fontId="75" fillId="0" borderId="65" xfId="6" applyNumberFormat="1" applyFont="1" applyBorder="1" applyAlignment="1" applyProtection="1">
      <alignment vertical="center"/>
    </xf>
    <xf numFmtId="49" fontId="75" fillId="0" borderId="49" xfId="0" applyNumberFormat="1" applyFont="1" applyBorder="1" applyAlignment="1">
      <alignment horizontal="left" vertical="center" wrapText="1" shrinkToFit="1"/>
    </xf>
    <xf numFmtId="0" fontId="75" fillId="0" borderId="48" xfId="0" applyFont="1" applyBorder="1" applyAlignment="1">
      <alignment horizontal="left" vertical="center" wrapText="1" shrinkToFit="1"/>
    </xf>
    <xf numFmtId="0" fontId="75" fillId="0" borderId="48" xfId="0" applyFont="1" applyBorder="1" applyAlignment="1">
      <alignment horizontal="right" vertical="center" wrapText="1" shrinkToFit="1"/>
    </xf>
    <xf numFmtId="0" fontId="75" fillId="0" borderId="105" xfId="0" applyFont="1" applyBorder="1" applyAlignment="1">
      <alignment horizontal="right" vertical="center" wrapText="1" shrinkToFit="1"/>
    </xf>
    <xf numFmtId="3" fontId="76" fillId="0" borderId="88" xfId="0" applyNumberFormat="1" applyFont="1" applyBorder="1" applyAlignment="1" applyProtection="1">
      <alignment horizontal="center" vertical="center" wrapText="1"/>
      <protection locked="0"/>
    </xf>
    <xf numFmtId="3" fontId="74" fillId="11" borderId="89" xfId="0" applyNumberFormat="1" applyFont="1" applyFill="1" applyBorder="1" applyAlignment="1" applyProtection="1">
      <alignment horizontal="right" vertical="center" wrapText="1"/>
      <protection locked="0"/>
    </xf>
    <xf numFmtId="3" fontId="74" fillId="11" borderId="78" xfId="0" applyNumberFormat="1" applyFont="1" applyFill="1" applyBorder="1" applyAlignment="1" applyProtection="1">
      <alignment horizontal="center" vertical="center" wrapText="1"/>
      <protection locked="0"/>
    </xf>
    <xf numFmtId="3" fontId="74" fillId="11" borderId="5" xfId="0" applyNumberFormat="1" applyFont="1" applyFill="1" applyBorder="1" applyAlignment="1" applyProtection="1">
      <alignment vertical="center" wrapText="1"/>
      <protection locked="0"/>
    </xf>
    <xf numFmtId="3" fontId="75" fillId="0" borderId="61" xfId="6" applyNumberFormat="1" applyFont="1" applyBorder="1" applyAlignment="1" applyProtection="1"/>
    <xf numFmtId="3" fontId="75" fillId="0" borderId="65" xfId="6" applyNumberFormat="1" applyFont="1" applyBorder="1" applyAlignment="1" applyProtection="1"/>
    <xf numFmtId="0" fontId="74" fillId="0" borderId="100" xfId="0" applyFont="1" applyBorder="1" applyAlignment="1" applyProtection="1">
      <alignment horizontal="right" vertical="center" wrapText="1"/>
      <protection locked="0"/>
    </xf>
    <xf numFmtId="3" fontId="1" fillId="0" borderId="61" xfId="6" applyNumberFormat="1" applyBorder="1" applyAlignment="1" applyProtection="1"/>
    <xf numFmtId="3" fontId="80" fillId="0" borderId="5" xfId="6" applyNumberFormat="1" applyFont="1" applyBorder="1" applyAlignment="1" applyProtection="1"/>
    <xf numFmtId="3" fontId="76" fillId="0" borderId="104" xfId="0" applyNumberFormat="1" applyFont="1" applyBorder="1" applyAlignment="1" applyProtection="1">
      <alignment vertical="center" wrapText="1"/>
      <protection locked="0"/>
    </xf>
    <xf numFmtId="0" fontId="76" fillId="0" borderId="42" xfId="0" applyFont="1" applyBorder="1" applyAlignment="1" applyProtection="1">
      <alignment vertical="center" wrapText="1"/>
      <protection locked="0"/>
    </xf>
    <xf numFmtId="0" fontId="76" fillId="0" borderId="16" xfId="0" applyFont="1" applyBorder="1" applyAlignment="1" applyProtection="1">
      <alignment vertical="center" wrapText="1"/>
      <protection locked="0"/>
    </xf>
    <xf numFmtId="3" fontId="1" fillId="0" borderId="0" xfId="1" applyNumberFormat="1" applyBorder="1" applyProtection="1">
      <protection locked="0"/>
    </xf>
    <xf numFmtId="3" fontId="44" fillId="5" borderId="0" xfId="1" applyNumberFormat="1" applyFont="1" applyFill="1" applyBorder="1" applyProtection="1">
      <protection locked="0"/>
    </xf>
    <xf numFmtId="3" fontId="74" fillId="5" borderId="5" xfId="0" applyNumberFormat="1" applyFont="1" applyFill="1" applyBorder="1" applyAlignment="1" applyProtection="1">
      <alignment vertical="center" wrapText="1"/>
      <protection locked="0"/>
    </xf>
    <xf numFmtId="3" fontId="76" fillId="5" borderId="104" xfId="0" applyNumberFormat="1" applyFont="1" applyFill="1" applyBorder="1" applyAlignment="1" applyProtection="1">
      <alignment vertical="center" wrapText="1"/>
      <protection locked="0"/>
    </xf>
    <xf numFmtId="49" fontId="75" fillId="0" borderId="66" xfId="0" applyNumberFormat="1" applyFont="1" applyBorder="1" applyAlignment="1">
      <alignment horizontal="left" vertical="center" wrapText="1" shrinkToFit="1"/>
    </xf>
    <xf numFmtId="0" fontId="75" fillId="0" borderId="67" xfId="0" applyFont="1" applyBorder="1" applyAlignment="1">
      <alignment horizontal="left" vertical="center" wrapText="1" shrinkToFit="1"/>
    </xf>
    <xf numFmtId="0" fontId="75" fillId="0" borderId="67" xfId="0" applyFont="1" applyBorder="1" applyAlignment="1">
      <alignment horizontal="right" vertical="center" wrapText="1" shrinkToFit="1"/>
    </xf>
    <xf numFmtId="0" fontId="75" fillId="0" borderId="57" xfId="0" applyFont="1" applyBorder="1" applyAlignment="1">
      <alignment horizontal="right" vertical="center" wrapText="1" shrinkToFit="1"/>
    </xf>
    <xf numFmtId="0" fontId="75" fillId="0" borderId="57" xfId="0" applyFont="1" applyBorder="1" applyAlignment="1">
      <alignment horizontal="center" vertical="center" wrapText="1" shrinkToFit="1"/>
    </xf>
    <xf numFmtId="3" fontId="75" fillId="0" borderId="68" xfId="0" applyNumberFormat="1" applyFont="1" applyBorder="1" applyAlignment="1">
      <alignment horizontal="right" vertical="center" wrapText="1" shrinkToFit="1"/>
    </xf>
    <xf numFmtId="0" fontId="75" fillId="0" borderId="105" xfId="0" applyFont="1" applyBorder="1" applyAlignment="1">
      <alignment horizontal="center" vertical="center" wrapText="1" shrinkToFit="1"/>
    </xf>
    <xf numFmtId="3" fontId="75" fillId="0" borderId="20" xfId="0" applyNumberFormat="1" applyFont="1" applyBorder="1" applyAlignment="1">
      <alignment horizontal="right" vertical="center" wrapText="1" shrinkToFit="1"/>
    </xf>
    <xf numFmtId="3" fontId="75" fillId="5" borderId="84" xfId="0" applyNumberFormat="1" applyFont="1" applyFill="1" applyBorder="1" applyAlignment="1">
      <alignment horizontal="center" vertical="center" wrapText="1" shrinkToFit="1"/>
    </xf>
    <xf numFmtId="3" fontId="74" fillId="5" borderId="78" xfId="0" applyNumberFormat="1" applyFont="1" applyFill="1" applyBorder="1" applyAlignment="1" applyProtection="1">
      <alignment horizontal="center" vertical="center" wrapText="1"/>
      <protection locked="0"/>
    </xf>
    <xf numFmtId="3" fontId="44" fillId="10" borderId="5" xfId="0" applyNumberFormat="1" applyFont="1" applyFill="1" applyBorder="1"/>
    <xf numFmtId="3" fontId="44" fillId="10" borderId="5" xfId="0" applyNumberFormat="1" applyFont="1" applyFill="1" applyBorder="1" applyAlignment="1">
      <alignment horizontal="center"/>
    </xf>
    <xf numFmtId="0" fontId="53" fillId="13" borderId="71" xfId="0" applyFont="1" applyFill="1" applyBorder="1" applyAlignment="1">
      <alignment horizontal="center" vertical="center" wrapText="1" shrinkToFit="1"/>
    </xf>
    <xf numFmtId="3" fontId="50" fillId="14" borderId="78" xfId="0" applyNumberFormat="1" applyFont="1" applyFill="1" applyBorder="1" applyAlignment="1">
      <alignment horizontal="right"/>
    </xf>
    <xf numFmtId="3" fontId="27" fillId="14" borderId="101" xfId="0" applyNumberFormat="1" applyFont="1" applyFill="1" applyBorder="1" applyAlignment="1">
      <alignment horizontal="right"/>
    </xf>
    <xf numFmtId="0" fontId="45" fillId="0" borderId="67" xfId="0" applyFont="1" applyBorder="1" applyAlignment="1">
      <alignment horizontal="right" vertical="center" wrapText="1" shrinkToFit="1"/>
    </xf>
    <xf numFmtId="0" fontId="59" fillId="14" borderId="78" xfId="0" applyFont="1" applyFill="1" applyBorder="1" applyAlignment="1">
      <alignment horizontal="right"/>
    </xf>
    <xf numFmtId="0" fontId="59" fillId="14" borderId="78" xfId="0" applyFont="1" applyFill="1" applyBorder="1" applyAlignment="1">
      <alignment horizontal="center"/>
    </xf>
    <xf numFmtId="3" fontId="45" fillId="0" borderId="48" xfId="0" applyNumberFormat="1" applyFont="1" applyFill="1" applyBorder="1" applyAlignment="1">
      <alignment horizontal="right" vertical="center" wrapText="1" shrinkToFit="1"/>
    </xf>
    <xf numFmtId="3" fontId="84" fillId="0" borderId="60" xfId="0" applyNumberFormat="1" applyFont="1" applyFill="1" applyBorder="1" applyAlignment="1">
      <alignment horizontal="right" vertical="center" wrapText="1" shrinkToFit="1"/>
    </xf>
    <xf numFmtId="3" fontId="84" fillId="0" borderId="64" xfId="0" applyNumberFormat="1" applyFont="1" applyFill="1" applyBorder="1" applyAlignment="1">
      <alignment horizontal="right" vertical="center" wrapText="1" shrinkToFit="1"/>
    </xf>
    <xf numFmtId="49" fontId="45" fillId="0" borderId="66" xfId="0" applyNumberFormat="1" applyFont="1" applyFill="1" applyBorder="1" applyAlignment="1">
      <alignment horizontal="left" vertical="center" wrapText="1" shrinkToFit="1"/>
    </xf>
    <xf numFmtId="0" fontId="45" fillId="0" borderId="67" xfId="0" applyFont="1" applyFill="1" applyBorder="1" applyAlignment="1">
      <alignment horizontal="left" vertical="center" wrapText="1" shrinkToFit="1"/>
    </xf>
    <xf numFmtId="3" fontId="45" fillId="0" borderId="67" xfId="0" applyNumberFormat="1" applyFont="1" applyFill="1" applyBorder="1" applyAlignment="1">
      <alignment horizontal="right" vertical="center" wrapText="1" shrinkToFit="1"/>
    </xf>
    <xf numFmtId="3" fontId="45" fillId="0" borderId="86" xfId="0" applyNumberFormat="1" applyFont="1" applyFill="1" applyBorder="1" applyAlignment="1">
      <alignment horizontal="right" vertical="center" wrapText="1" shrinkToFit="1"/>
    </xf>
    <xf numFmtId="0" fontId="45" fillId="0" borderId="23" xfId="0" applyFont="1" applyFill="1" applyBorder="1" applyAlignment="1">
      <alignment horizontal="left" vertical="center" wrapText="1" shrinkToFit="1"/>
    </xf>
    <xf numFmtId="0" fontId="85" fillId="18" borderId="86" xfId="0" applyFont="1" applyFill="1" applyBorder="1" applyAlignment="1" applyProtection="1">
      <alignment horizontal="center" vertical="center" wrapText="1" readingOrder="1"/>
      <protection locked="0"/>
    </xf>
    <xf numFmtId="0" fontId="85" fillId="18" borderId="62" xfId="0" applyFont="1" applyFill="1" applyBorder="1" applyAlignment="1" applyProtection="1">
      <alignment horizontal="center" vertical="center" wrapText="1" readingOrder="1"/>
      <protection locked="0"/>
    </xf>
    <xf numFmtId="0" fontId="85" fillId="18" borderId="88" xfId="0" applyFont="1" applyFill="1" applyBorder="1" applyAlignment="1" applyProtection="1">
      <alignment horizontal="center" vertical="center" wrapText="1" readingOrder="1"/>
      <protection locked="0"/>
    </xf>
    <xf numFmtId="0" fontId="85" fillId="18" borderId="64" xfId="0" applyFont="1" applyFill="1" applyBorder="1" applyAlignment="1" applyProtection="1">
      <alignment horizontal="center" vertical="center" wrapText="1" readingOrder="1"/>
      <protection locked="0"/>
    </xf>
    <xf numFmtId="0" fontId="85" fillId="18" borderId="85" xfId="0" applyFont="1" applyFill="1" applyBorder="1" applyAlignment="1" applyProtection="1">
      <alignment horizontal="center" vertical="center" wrapText="1" readingOrder="1"/>
      <protection locked="0"/>
    </xf>
    <xf numFmtId="166" fontId="71" fillId="0" borderId="0" xfId="1" applyNumberFormat="1" applyFont="1" applyFill="1" applyProtection="1">
      <protection locked="0"/>
    </xf>
    <xf numFmtId="166" fontId="0" fillId="0" borderId="0" xfId="1" applyNumberFormat="1" applyFont="1" applyFill="1" applyProtection="1">
      <protection locked="0"/>
    </xf>
    <xf numFmtId="166" fontId="44" fillId="0" borderId="0" xfId="1" applyNumberFormat="1" applyFont="1" applyFill="1" applyProtection="1">
      <protection locked="0"/>
    </xf>
    <xf numFmtId="3" fontId="86" fillId="0" borderId="60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62" xfId="0" applyNumberFormat="1" applyFont="1" applyBorder="1" applyAlignment="1" applyProtection="1">
      <alignment horizontal="right" vertical="center" wrapText="1" readingOrder="1"/>
      <protection locked="0"/>
    </xf>
    <xf numFmtId="3" fontId="44" fillId="19" borderId="75" xfId="0" applyNumberFormat="1" applyFont="1" applyFill="1" applyBorder="1" applyAlignment="1">
      <alignment horizontal="right" vertical="center" wrapText="1" readingOrder="1"/>
    </xf>
    <xf numFmtId="3" fontId="86" fillId="0" borderId="96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97" xfId="0" applyNumberFormat="1" applyFont="1" applyBorder="1" applyAlignment="1" applyProtection="1">
      <alignment vertical="center" wrapText="1" readingOrder="1"/>
      <protection locked="0"/>
    </xf>
    <xf numFmtId="3" fontId="86" fillId="0" borderId="93" xfId="0" applyNumberFormat="1" applyFont="1" applyBorder="1" applyAlignment="1" applyProtection="1">
      <alignment horizontal="right" vertical="center" wrapText="1" readingOrder="1"/>
      <protection locked="0"/>
    </xf>
    <xf numFmtId="0" fontId="86" fillId="0" borderId="90" xfId="0" applyFont="1" applyBorder="1" applyAlignment="1" applyProtection="1">
      <alignment vertical="center" wrapText="1" readingOrder="1"/>
      <protection locked="0"/>
    </xf>
    <xf numFmtId="3" fontId="86" fillId="0" borderId="66" xfId="0" applyNumberFormat="1" applyFont="1" applyBorder="1" applyAlignment="1" applyProtection="1">
      <alignment horizontal="right" vertical="center" wrapText="1" readingOrder="1"/>
      <protection locked="0"/>
    </xf>
    <xf numFmtId="3" fontId="44" fillId="19" borderId="55" xfId="0" applyNumberFormat="1" applyFont="1" applyFill="1" applyBorder="1" applyAlignment="1">
      <alignment horizontal="right" vertical="center" wrapText="1" readingOrder="1"/>
    </xf>
    <xf numFmtId="3" fontId="86" fillId="0" borderId="25" xfId="0" applyNumberFormat="1" applyFont="1" applyBorder="1" applyAlignment="1" applyProtection="1">
      <alignment horizontal="right" vertical="center" wrapText="1" readingOrder="1"/>
      <protection locked="0"/>
    </xf>
    <xf numFmtId="3" fontId="85" fillId="18" borderId="75" xfId="0" applyNumberFormat="1" applyFont="1" applyFill="1" applyBorder="1" applyAlignment="1" applyProtection="1">
      <alignment horizontal="right" vertical="center" wrapText="1" readingOrder="1"/>
      <protection locked="0"/>
    </xf>
    <xf numFmtId="0" fontId="85" fillId="18" borderId="16" xfId="0" applyFont="1" applyFill="1" applyBorder="1" applyAlignment="1" applyProtection="1">
      <alignment horizontal="center" vertical="center" wrapText="1" readingOrder="1"/>
      <protection locked="0"/>
    </xf>
    <xf numFmtId="0" fontId="85" fillId="18" borderId="98" xfId="0" applyFont="1" applyFill="1" applyBorder="1" applyAlignment="1" applyProtection="1">
      <alignment horizontal="center" vertical="center" wrapText="1" readingOrder="1"/>
      <protection locked="0"/>
    </xf>
    <xf numFmtId="3" fontId="86" fillId="0" borderId="49" xfId="0" applyNumberFormat="1" applyFont="1" applyBorder="1" applyAlignment="1" applyProtection="1">
      <alignment horizontal="right" vertical="center" wrapText="1" readingOrder="1"/>
      <protection locked="0"/>
    </xf>
    <xf numFmtId="0" fontId="86" fillId="0" borderId="101" xfId="0" applyFont="1" applyBorder="1" applyAlignment="1" applyProtection="1">
      <alignment vertical="center" wrapText="1" readingOrder="1"/>
      <protection locked="0"/>
    </xf>
    <xf numFmtId="3" fontId="0" fillId="0" borderId="32" xfId="0" applyNumberFormat="1" applyBorder="1" applyAlignment="1">
      <alignment horizontal="right"/>
    </xf>
    <xf numFmtId="3" fontId="44" fillId="18" borderId="75" xfId="0" applyNumberFormat="1" applyFont="1" applyFill="1" applyBorder="1" applyAlignment="1">
      <alignment horizontal="right"/>
    </xf>
    <xf numFmtId="3" fontId="44" fillId="18" borderId="5" xfId="0" applyNumberFormat="1" applyFont="1" applyFill="1" applyBorder="1"/>
    <xf numFmtId="0" fontId="80" fillId="15" borderId="86" xfId="0" applyFont="1" applyFill="1" applyBorder="1" applyAlignment="1">
      <alignment horizontal="center" vertical="center"/>
    </xf>
    <xf numFmtId="0" fontId="80" fillId="13" borderId="98" xfId="0" applyFont="1" applyFill="1" applyBorder="1" applyAlignment="1">
      <alignment horizontal="center" vertical="center" wrapText="1" shrinkToFit="1"/>
    </xf>
    <xf numFmtId="3" fontId="80" fillId="14" borderId="78" xfId="0" applyNumberFormat="1" applyFont="1" applyFill="1" applyBorder="1" applyAlignment="1">
      <alignment horizontal="right"/>
    </xf>
    <xf numFmtId="3" fontId="75" fillId="0" borderId="48" xfId="0" applyNumberFormat="1" applyFont="1" applyFill="1" applyBorder="1" applyAlignment="1">
      <alignment horizontal="right" vertical="center" wrapText="1" shrinkToFit="1"/>
    </xf>
    <xf numFmtId="3" fontId="81" fillId="0" borderId="60" xfId="0" applyNumberFormat="1" applyFont="1" applyFill="1" applyBorder="1" applyAlignment="1">
      <alignment horizontal="right" vertical="center" wrapText="1" shrinkToFit="1"/>
    </xf>
    <xf numFmtId="3" fontId="81" fillId="0" borderId="64" xfId="0" applyNumberFormat="1" applyFont="1" applyFill="1" applyBorder="1" applyAlignment="1">
      <alignment horizontal="right" vertical="center" wrapText="1" shrinkToFit="1"/>
    </xf>
    <xf numFmtId="3" fontId="86" fillId="0" borderId="63" xfId="0" applyNumberFormat="1" applyFont="1" applyBorder="1" applyAlignment="1" applyProtection="1">
      <alignment horizontal="right" vertical="center" wrapText="1" readingOrder="1"/>
      <protection locked="0"/>
    </xf>
    <xf numFmtId="3" fontId="85" fillId="18" borderId="78" xfId="0" applyNumberFormat="1" applyFont="1" applyFill="1" applyBorder="1" applyAlignment="1" applyProtection="1">
      <alignment horizontal="right" vertical="center" wrapText="1" readingOrder="1"/>
      <protection locked="0"/>
    </xf>
    <xf numFmtId="3" fontId="86" fillId="0" borderId="23" xfId="0" applyNumberFormat="1" applyFont="1" applyBorder="1" applyAlignment="1" applyProtection="1">
      <alignment horizontal="right" vertical="center" wrapText="1" readingOrder="1"/>
      <protection locked="0"/>
    </xf>
    <xf numFmtId="3" fontId="80" fillId="19" borderId="89" xfId="0" applyNumberFormat="1" applyFont="1" applyFill="1" applyBorder="1" applyAlignment="1">
      <alignment horizontal="right" vertical="center" wrapText="1" readingOrder="1"/>
    </xf>
    <xf numFmtId="3" fontId="86" fillId="0" borderId="67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48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64" xfId="0" applyNumberFormat="1" applyFont="1" applyBorder="1" applyAlignment="1" applyProtection="1">
      <alignment horizontal="right" vertical="center" wrapText="1" readingOrder="1"/>
      <protection locked="0"/>
    </xf>
    <xf numFmtId="3" fontId="80" fillId="19" borderId="76" xfId="0" applyNumberFormat="1" applyFont="1" applyFill="1" applyBorder="1" applyAlignment="1">
      <alignment horizontal="right" vertical="center" wrapText="1" readingOrder="1"/>
    </xf>
    <xf numFmtId="3" fontId="86" fillId="0" borderId="57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84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88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98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58" xfId="0" applyNumberFormat="1" applyFont="1" applyBorder="1" applyAlignment="1" applyProtection="1">
      <alignment vertical="center" wrapText="1" readingOrder="1"/>
      <protection locked="0"/>
    </xf>
    <xf numFmtId="3" fontId="85" fillId="18" borderId="106" xfId="0" applyNumberFormat="1" applyFont="1" applyFill="1" applyBorder="1" applyAlignment="1" applyProtection="1">
      <alignment horizontal="right" vertical="center" wrapText="1" readingOrder="1"/>
      <protection locked="0"/>
    </xf>
    <xf numFmtId="3" fontId="44" fillId="18" borderId="5" xfId="0" applyNumberFormat="1" applyFont="1" applyFill="1" applyBorder="1" applyAlignment="1">
      <alignment horizontal="center"/>
    </xf>
    <xf numFmtId="0" fontId="80" fillId="13" borderId="71" xfId="0" applyFont="1" applyFill="1" applyBorder="1" applyAlignment="1">
      <alignment horizontal="center" vertical="center" wrapText="1" shrinkToFit="1"/>
    </xf>
    <xf numFmtId="0" fontId="85" fillId="18" borderId="71" xfId="0" applyFont="1" applyFill="1" applyBorder="1" applyAlignment="1" applyProtection="1">
      <alignment horizontal="center" vertical="center" wrapText="1" readingOrder="1"/>
      <protection locked="0"/>
    </xf>
    <xf numFmtId="3" fontId="86" fillId="0" borderId="81" xfId="0" applyNumberFormat="1" applyFont="1" applyBorder="1" applyAlignment="1" applyProtection="1">
      <alignment vertical="center" wrapText="1" readingOrder="1"/>
      <protection locked="0"/>
    </xf>
    <xf numFmtId="3" fontId="80" fillId="19" borderId="76" xfId="0" applyNumberFormat="1" applyFont="1" applyFill="1" applyBorder="1" applyAlignment="1">
      <alignment vertical="center" wrapText="1" readingOrder="1"/>
    </xf>
    <xf numFmtId="3" fontId="85" fillId="18" borderId="5" xfId="0" applyNumberFormat="1" applyFont="1" applyFill="1" applyBorder="1" applyAlignment="1" applyProtection="1">
      <alignment vertical="center" wrapText="1" readingOrder="1"/>
      <protection locked="0"/>
    </xf>
    <xf numFmtId="3" fontId="85" fillId="19" borderId="5" xfId="0" applyNumberFormat="1" applyFont="1" applyFill="1" applyBorder="1" applyAlignment="1" applyProtection="1">
      <alignment vertical="center" wrapText="1" readingOrder="1"/>
      <protection locked="0"/>
    </xf>
    <xf numFmtId="3" fontId="86" fillId="0" borderId="63" xfId="0" applyNumberFormat="1" applyFont="1" applyBorder="1" applyAlignment="1" applyProtection="1">
      <alignment vertical="center" wrapText="1" readingOrder="1"/>
      <protection locked="0"/>
    </xf>
    <xf numFmtId="3" fontId="86" fillId="0" borderId="81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86" xfId="0" applyNumberFormat="1" applyFont="1" applyBorder="1" applyAlignment="1" applyProtection="1">
      <alignment horizontal="right" vertical="center" wrapText="1" readingOrder="1"/>
      <protection locked="0"/>
    </xf>
    <xf numFmtId="3" fontId="86" fillId="0" borderId="69" xfId="0" applyNumberFormat="1" applyFont="1" applyBorder="1" applyAlignment="1" applyProtection="1">
      <alignment horizontal="right" vertical="center" wrapText="1" readingOrder="1"/>
      <protection locked="0"/>
    </xf>
    <xf numFmtId="3" fontId="62" fillId="0" borderId="65" xfId="3" applyNumberFormat="1" applyFont="1" applyBorder="1"/>
    <xf numFmtId="3" fontId="64" fillId="0" borderId="5" xfId="0" applyNumberFormat="1" applyFont="1" applyBorder="1" applyAlignment="1">
      <alignment horizontal="right"/>
    </xf>
    <xf numFmtId="0" fontId="0" fillId="0" borderId="84" xfId="0" applyBorder="1"/>
    <xf numFmtId="3" fontId="62" fillId="0" borderId="52" xfId="3" applyNumberFormat="1" applyFont="1" applyBorder="1"/>
    <xf numFmtId="3" fontId="62" fillId="0" borderId="90" xfId="3" applyNumberFormat="1" applyFont="1" applyBorder="1"/>
    <xf numFmtId="3" fontId="64" fillId="0" borderId="76" xfId="0" applyNumberFormat="1" applyFont="1" applyBorder="1" applyAlignment="1">
      <alignment horizontal="right"/>
    </xf>
    <xf numFmtId="1" fontId="60" fillId="0" borderId="5" xfId="3" applyNumberFormat="1" applyFont="1" applyBorder="1" applyAlignment="1">
      <alignment horizontal="center" vertical="center" wrapText="1"/>
    </xf>
    <xf numFmtId="3" fontId="62" fillId="0" borderId="4" xfId="3" applyNumberFormat="1" applyFont="1" applyBorder="1"/>
    <xf numFmtId="3" fontId="62" fillId="0" borderId="20" xfId="3" applyNumberFormat="1" applyFont="1" applyBorder="1"/>
    <xf numFmtId="0" fontId="0" fillId="0" borderId="61" xfId="0" applyBorder="1"/>
    <xf numFmtId="0" fontId="0" fillId="0" borderId="65" xfId="0" applyBorder="1"/>
    <xf numFmtId="3" fontId="64" fillId="0" borderId="5" xfId="0" applyNumberFormat="1" applyFont="1" applyBorder="1"/>
    <xf numFmtId="1" fontId="60" fillId="0" borderId="13" xfId="3" applyNumberFormat="1" applyFont="1" applyBorder="1" applyAlignment="1">
      <alignment horizontal="center" vertical="center" wrapText="1"/>
    </xf>
    <xf numFmtId="3" fontId="62" fillId="0" borderId="91" xfId="3" applyNumberFormat="1" applyFont="1" applyBorder="1"/>
    <xf numFmtId="0" fontId="0" fillId="0" borderId="90" xfId="0" applyBorder="1"/>
    <xf numFmtId="0" fontId="0" fillId="0" borderId="91" xfId="0" applyBorder="1"/>
    <xf numFmtId="3" fontId="62" fillId="0" borderId="0" xfId="0" applyNumberFormat="1" applyFont="1" applyBorder="1"/>
    <xf numFmtId="3" fontId="62" fillId="0" borderId="61" xfId="3" applyNumberFormat="1" applyFont="1" applyBorder="1"/>
    <xf numFmtId="0" fontId="49" fillId="0" borderId="20" xfId="0" applyFont="1" applyBorder="1"/>
    <xf numFmtId="3" fontId="63" fillId="0" borderId="65" xfId="0" applyNumberFormat="1" applyFont="1" applyBorder="1"/>
    <xf numFmtId="0" fontId="62" fillId="0" borderId="84" xfId="0" applyFont="1" applyBorder="1"/>
    <xf numFmtId="3" fontId="63" fillId="0" borderId="61" xfId="0" applyNumberFormat="1" applyFont="1" applyBorder="1"/>
    <xf numFmtId="166" fontId="49" fillId="0" borderId="52" xfId="1" applyNumberFormat="1" applyFont="1" applyBorder="1" applyAlignment="1">
      <alignment horizontal="right"/>
    </xf>
    <xf numFmtId="166" fontId="49" fillId="0" borderId="90" xfId="1" applyNumberFormat="1" applyFont="1" applyBorder="1"/>
    <xf numFmtId="166" fontId="49" fillId="0" borderId="91" xfId="1" applyNumberFormat="1" applyFont="1" applyBorder="1"/>
    <xf numFmtId="3" fontId="61" fillId="0" borderId="76" xfId="0" applyNumberFormat="1" applyFont="1" applyBorder="1"/>
    <xf numFmtId="166" fontId="49" fillId="0" borderId="52" xfId="1" applyNumberFormat="1" applyFont="1" applyBorder="1"/>
    <xf numFmtId="166" fontId="49" fillId="3" borderId="90" xfId="1" applyNumberFormat="1" applyFont="1" applyFill="1" applyBorder="1"/>
    <xf numFmtId="166" fontId="49" fillId="0" borderId="0" xfId="1" applyNumberFormat="1" applyFont="1" applyBorder="1"/>
    <xf numFmtId="166" fontId="49" fillId="0" borderId="4" xfId="1" applyNumberFormat="1" applyFont="1" applyBorder="1"/>
    <xf numFmtId="166" fontId="49" fillId="0" borderId="61" xfId="1" applyNumberFormat="1" applyFont="1" applyBorder="1"/>
    <xf numFmtId="166" fontId="49" fillId="0" borderId="65" xfId="1" applyNumberFormat="1" applyFont="1" applyBorder="1"/>
    <xf numFmtId="166" fontId="49" fillId="3" borderId="61" xfId="1" applyNumberFormat="1" applyFont="1" applyFill="1" applyBorder="1"/>
    <xf numFmtId="166" fontId="49" fillId="0" borderId="20" xfId="1" applyNumberFormat="1" applyFont="1" applyBorder="1"/>
    <xf numFmtId="0" fontId="62" fillId="0" borderId="88" xfId="0" applyFont="1" applyBorder="1"/>
    <xf numFmtId="3" fontId="61" fillId="0" borderId="76" xfId="0" applyNumberFormat="1" applyFont="1" applyBorder="1" applyAlignment="1">
      <alignment horizontal="right"/>
    </xf>
    <xf numFmtId="3" fontId="19" fillId="3" borderId="20" xfId="0" applyNumberFormat="1" applyFont="1" applyFill="1" applyBorder="1" applyAlignment="1">
      <alignment vertical="center" wrapText="1" shrinkToFit="1"/>
    </xf>
    <xf numFmtId="0" fontId="35" fillId="0" borderId="5" xfId="0" applyFont="1" applyBorder="1" applyAlignment="1">
      <alignment horizontal="center" wrapText="1"/>
    </xf>
    <xf numFmtId="3" fontId="35" fillId="0" borderId="5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 applyAlignment="1">
      <alignment horizontal="justify" wrapText="1"/>
    </xf>
    <xf numFmtId="3" fontId="36" fillId="0" borderId="5" xfId="0" applyNumberFormat="1" applyFont="1" applyBorder="1" applyAlignment="1">
      <alignment horizontal="right" wrapText="1"/>
    </xf>
    <xf numFmtId="0" fontId="36" fillId="0" borderId="5" xfId="0" applyFont="1" applyBorder="1" applyAlignment="1">
      <alignment horizontal="center" wrapText="1"/>
    </xf>
    <xf numFmtId="3" fontId="26" fillId="0" borderId="5" xfId="0" applyNumberFormat="1" applyFont="1" applyBorder="1"/>
    <xf numFmtId="0" fontId="26" fillId="0" borderId="5" xfId="0" applyFont="1" applyBorder="1"/>
    <xf numFmtId="3" fontId="65" fillId="3" borderId="5" xfId="0" applyNumberFormat="1" applyFont="1" applyFill="1" applyBorder="1" applyAlignment="1">
      <alignment vertical="center" wrapText="1" shrinkToFit="1"/>
    </xf>
    <xf numFmtId="0" fontId="94" fillId="0" borderId="49" xfId="0" applyFont="1" applyBorder="1" applyAlignment="1" applyProtection="1">
      <alignment vertical="center" wrapText="1"/>
      <protection locked="0"/>
    </xf>
    <xf numFmtId="0" fontId="94" fillId="0" borderId="62" xfId="0" applyFont="1" applyBorder="1" applyAlignment="1" applyProtection="1">
      <alignment vertical="center" wrapText="1"/>
      <protection locked="0"/>
    </xf>
    <xf numFmtId="3" fontId="66" fillId="3" borderId="5" xfId="0" applyNumberFormat="1" applyFont="1" applyFill="1" applyBorder="1" applyAlignment="1">
      <alignment vertical="center" wrapText="1" shrinkToFit="1"/>
    </xf>
    <xf numFmtId="0" fontId="26" fillId="0" borderId="107" xfId="0" applyFont="1" applyBorder="1" applyAlignment="1">
      <alignment vertical="center" wrapText="1"/>
    </xf>
    <xf numFmtId="3" fontId="26" fillId="0" borderId="108" xfId="0" applyNumberFormat="1" applyFont="1" applyBorder="1" applyAlignment="1">
      <alignment horizontal="right" vertical="center" wrapText="1"/>
    </xf>
    <xf numFmtId="0" fontId="26" fillId="0" borderId="109" xfId="0" applyFont="1" applyBorder="1" applyAlignment="1">
      <alignment vertical="center" wrapText="1"/>
    </xf>
    <xf numFmtId="3" fontId="26" fillId="0" borderId="110" xfId="0" applyNumberFormat="1" applyFont="1" applyBorder="1" applyAlignment="1">
      <alignment horizontal="right" vertical="center" wrapText="1"/>
    </xf>
    <xf numFmtId="0" fontId="50" fillId="0" borderId="111" xfId="0" applyFont="1" applyBorder="1" applyAlignment="1">
      <alignment vertical="center" wrapText="1"/>
    </xf>
    <xf numFmtId="3" fontId="50" fillId="0" borderId="112" xfId="0" applyNumberFormat="1" applyFont="1" applyBorder="1" applyAlignment="1">
      <alignment horizontal="right" vertical="center" wrapText="1"/>
    </xf>
    <xf numFmtId="0" fontId="74" fillId="0" borderId="55" xfId="0" applyFont="1" applyBorder="1" applyAlignment="1" applyProtection="1">
      <alignment horizontal="center" vertical="center" wrapText="1"/>
      <protection locked="0"/>
    </xf>
    <xf numFmtId="0" fontId="44" fillId="10" borderId="55" xfId="0" applyFont="1" applyFill="1" applyBorder="1" applyAlignment="1">
      <alignment horizontal="left"/>
    </xf>
    <xf numFmtId="0" fontId="74" fillId="6" borderId="28" xfId="0" applyFont="1" applyFill="1" applyBorder="1" applyAlignment="1" applyProtection="1">
      <alignment horizontal="center" vertical="center" wrapText="1"/>
      <protection locked="0"/>
    </xf>
    <xf numFmtId="0" fontId="53" fillId="7" borderId="55" xfId="0" applyFont="1" applyFill="1" applyBorder="1" applyAlignment="1">
      <alignment horizontal="center" vertical="center" wrapText="1" shrinkToFit="1"/>
    </xf>
    <xf numFmtId="0" fontId="53" fillId="7" borderId="56" xfId="0" applyFont="1" applyFill="1" applyBorder="1" applyAlignment="1">
      <alignment horizontal="center" vertical="center" wrapText="1" shrinkToFit="1"/>
    </xf>
    <xf numFmtId="3" fontId="53" fillId="7" borderId="101" xfId="0" applyNumberFormat="1" applyFont="1" applyFill="1" applyBorder="1" applyAlignment="1">
      <alignment horizontal="center" vertical="center" wrapText="1" shrinkToFit="1"/>
    </xf>
    <xf numFmtId="3" fontId="0" fillId="0" borderId="102" xfId="0" applyNumberFormat="1" applyBorder="1" applyAlignment="1">
      <alignment horizontal="center"/>
    </xf>
    <xf numFmtId="3" fontId="0" fillId="0" borderId="103" xfId="0" applyNumberFormat="1" applyBorder="1" applyAlignment="1">
      <alignment horizontal="center"/>
    </xf>
    <xf numFmtId="0" fontId="27" fillId="9" borderId="5" xfId="0" applyFont="1" applyFill="1" applyBorder="1" applyAlignment="1">
      <alignment horizontal="center" vertical="center"/>
    </xf>
    <xf numFmtId="0" fontId="74" fillId="6" borderId="68" xfId="0" applyFont="1" applyFill="1" applyBorder="1" applyAlignment="1" applyProtection="1">
      <alignment horizontal="center" vertical="center" wrapText="1"/>
      <protection locked="0"/>
    </xf>
    <xf numFmtId="0" fontId="72" fillId="0" borderId="0" xfId="0" applyFont="1" applyAlignment="1">
      <alignment horizontal="center"/>
    </xf>
    <xf numFmtId="0" fontId="44" fillId="4" borderId="5" xfId="0" applyFont="1" applyFill="1" applyBorder="1" applyAlignment="1">
      <alignment horizontal="center"/>
    </xf>
    <xf numFmtId="0" fontId="74" fillId="6" borderId="54" xfId="0" applyFont="1" applyFill="1" applyBorder="1" applyAlignment="1" applyProtection="1">
      <alignment horizontal="center" vertical="center" wrapText="1"/>
      <protection locked="0"/>
    </xf>
    <xf numFmtId="0" fontId="76" fillId="0" borderId="59" xfId="0" applyFont="1" applyBorder="1" applyAlignment="1" applyProtection="1">
      <alignment vertical="center" wrapText="1"/>
      <protection locked="0"/>
    </xf>
    <xf numFmtId="0" fontId="74" fillId="6" borderId="5" xfId="0" applyFont="1" applyFill="1" applyBorder="1" applyAlignment="1" applyProtection="1">
      <alignment horizontal="center" vertical="center" wrapText="1"/>
      <protection locked="0"/>
    </xf>
    <xf numFmtId="3" fontId="74" fillId="0" borderId="55" xfId="0" applyNumberFormat="1" applyFont="1" applyBorder="1" applyAlignment="1" applyProtection="1">
      <alignment horizontal="center" vertical="center" wrapText="1"/>
      <protection locked="0"/>
    </xf>
    <xf numFmtId="0" fontId="74" fillId="0" borderId="73" xfId="0" applyFont="1" applyBorder="1" applyAlignment="1" applyProtection="1">
      <alignment horizontal="center" vertical="center" wrapText="1"/>
      <protection locked="0"/>
    </xf>
    <xf numFmtId="0" fontId="74" fillId="6" borderId="75" xfId="0" applyFont="1" applyFill="1" applyBorder="1" applyAlignment="1" applyProtection="1">
      <alignment horizontal="center" vertical="center" wrapText="1"/>
      <protection locked="0"/>
    </xf>
    <xf numFmtId="0" fontId="74" fillId="6" borderId="76" xfId="0" applyFont="1" applyFill="1" applyBorder="1" applyAlignment="1" applyProtection="1">
      <alignment horizontal="center" vertical="center" wrapText="1"/>
      <protection locked="0"/>
    </xf>
    <xf numFmtId="0" fontId="74" fillId="6" borderId="77" xfId="0" applyFont="1" applyFill="1" applyBorder="1" applyAlignment="1" applyProtection="1">
      <alignment horizontal="center" vertical="center" wrapText="1"/>
      <protection locked="0"/>
    </xf>
    <xf numFmtId="0" fontId="74" fillId="6" borderId="34" xfId="0" applyFont="1" applyFill="1" applyBorder="1" applyAlignment="1" applyProtection="1">
      <alignment horizontal="center" vertical="center" wrapText="1"/>
      <protection locked="0"/>
    </xf>
    <xf numFmtId="0" fontId="74" fillId="6" borderId="13" xfId="0" applyFont="1" applyFill="1" applyBorder="1" applyAlignment="1" applyProtection="1">
      <alignment horizontal="center" vertical="center" wrapText="1"/>
      <protection locked="0"/>
    </xf>
    <xf numFmtId="0" fontId="74" fillId="6" borderId="3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0" fillId="7" borderId="73" xfId="0" applyFont="1" applyFill="1" applyBorder="1" applyAlignment="1">
      <alignment horizontal="center" vertical="center" wrapText="1" shrinkToFit="1"/>
    </xf>
    <xf numFmtId="0" fontId="80" fillId="7" borderId="74" xfId="0" applyFont="1" applyFill="1" applyBorder="1" applyAlignment="1">
      <alignment horizontal="center" vertical="center" wrapText="1" shrinkToFit="1"/>
    </xf>
    <xf numFmtId="0" fontId="80" fillId="7" borderId="101" xfId="0" applyFont="1" applyFill="1" applyBorder="1" applyAlignment="1">
      <alignment horizontal="center" vertical="center" wrapText="1" shrinkToFit="1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80" fillId="7" borderId="55" xfId="0" applyFont="1" applyFill="1" applyBorder="1" applyAlignment="1">
      <alignment horizontal="center" vertical="center" wrapText="1" shrinkToFit="1"/>
    </xf>
    <xf numFmtId="0" fontId="80" fillId="7" borderId="56" xfId="0" applyFont="1" applyFill="1" applyBorder="1" applyAlignment="1">
      <alignment horizontal="center" vertical="center" wrapText="1" shrinkToFit="1"/>
    </xf>
    <xf numFmtId="170" fontId="76" fillId="5" borderId="0" xfId="0" applyNumberFormat="1" applyFont="1" applyFill="1" applyAlignment="1" applyProtection="1">
      <alignment horizontal="center" vertical="center" wrapText="1"/>
      <protection locked="0"/>
    </xf>
    <xf numFmtId="0" fontId="74" fillId="6" borderId="55" xfId="0" applyFont="1" applyFill="1" applyBorder="1" applyAlignment="1" applyProtection="1">
      <alignment horizontal="center" vertical="center" wrapText="1"/>
      <protection locked="0"/>
    </xf>
    <xf numFmtId="0" fontId="74" fillId="6" borderId="56" xfId="0" applyFont="1" applyFill="1" applyBorder="1" applyAlignment="1" applyProtection="1">
      <alignment horizontal="center" vertical="center" wrapText="1"/>
      <protection locked="0"/>
    </xf>
    <xf numFmtId="0" fontId="74" fillId="6" borderId="83" xfId="0" applyFont="1" applyFill="1" applyBorder="1" applyAlignment="1" applyProtection="1">
      <alignment horizontal="center" vertical="center" wrapText="1"/>
      <protection locked="0"/>
    </xf>
    <xf numFmtId="0" fontId="74" fillId="11" borderId="55" xfId="0" applyFont="1" applyFill="1" applyBorder="1" applyAlignment="1" applyProtection="1">
      <alignment horizontal="center" vertical="center" wrapText="1"/>
      <protection locked="0"/>
    </xf>
    <xf numFmtId="0" fontId="80" fillId="7" borderId="49" xfId="0" applyFont="1" applyFill="1" applyBorder="1" applyAlignment="1">
      <alignment horizontal="center" vertical="center" wrapText="1" shrinkToFit="1"/>
    </xf>
    <xf numFmtId="0" fontId="80" fillId="7" borderId="21" xfId="0" applyFont="1" applyFill="1" applyBorder="1" applyAlignment="1">
      <alignment horizontal="center" vertical="center" wrapText="1" shrinkToFit="1"/>
    </xf>
    <xf numFmtId="0" fontId="80" fillId="7" borderId="48" xfId="0" applyFont="1" applyFill="1" applyBorder="1" applyAlignment="1">
      <alignment horizontal="center" vertical="center" wrapText="1" shrinkToFit="1"/>
    </xf>
    <xf numFmtId="0" fontId="80" fillId="7" borderId="39" xfId="0" applyFont="1" applyFill="1" applyBorder="1" applyAlignment="1">
      <alignment horizontal="center" vertical="center" wrapText="1" shrinkToFit="1"/>
    </xf>
    <xf numFmtId="49" fontId="76" fillId="0" borderId="59" xfId="0" applyNumberFormat="1" applyFont="1" applyBorder="1" applyAlignment="1" applyProtection="1">
      <alignment horizontal="left" vertical="center" wrapText="1"/>
      <protection locked="0"/>
    </xf>
    <xf numFmtId="0" fontId="7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4" fillId="4" borderId="0" xfId="0" applyFont="1" applyFill="1" applyAlignment="1">
      <alignment horizontal="center"/>
    </xf>
    <xf numFmtId="170" fontId="76" fillId="0" borderId="0" xfId="0" applyNumberFormat="1" applyFont="1" applyAlignment="1" applyProtection="1">
      <alignment horizontal="center" vertical="center" wrapText="1"/>
      <protection locked="0"/>
    </xf>
    <xf numFmtId="0" fontId="53" fillId="13" borderId="59" xfId="0" applyFont="1" applyFill="1" applyBorder="1" applyAlignment="1">
      <alignment horizontal="center" vertical="center" wrapText="1" shrinkToFit="1"/>
    </xf>
    <xf numFmtId="0" fontId="53" fillId="13" borderId="16" xfId="0" applyFont="1" applyFill="1" applyBorder="1" applyAlignment="1">
      <alignment horizontal="center" vertical="center" wrapText="1" shrinkToFit="1"/>
    </xf>
    <xf numFmtId="0" fontId="53" fillId="13" borderId="60" xfId="0" applyFont="1" applyFill="1" applyBorder="1" applyAlignment="1">
      <alignment horizontal="center" vertical="center" wrapText="1" shrinkToFit="1"/>
    </xf>
    <xf numFmtId="0" fontId="53" fillId="13" borderId="58" xfId="0" applyFont="1" applyFill="1" applyBorder="1" applyAlignment="1">
      <alignment horizontal="center" vertical="center" wrapText="1" shrinkToFit="1"/>
    </xf>
    <xf numFmtId="0" fontId="72" fillId="12" borderId="66" xfId="0" applyFont="1" applyFill="1" applyBorder="1" applyAlignment="1">
      <alignment horizontal="center"/>
    </xf>
    <xf numFmtId="0" fontId="72" fillId="12" borderId="67" xfId="0" applyFont="1" applyFill="1" applyBorder="1" applyAlignment="1">
      <alignment horizontal="center"/>
    </xf>
    <xf numFmtId="0" fontId="72" fillId="12" borderId="86" xfId="0" applyFont="1" applyFill="1" applyBorder="1" applyAlignment="1">
      <alignment horizontal="center"/>
    </xf>
    <xf numFmtId="0" fontId="53" fillId="13" borderId="84" xfId="0" applyFont="1" applyFill="1" applyBorder="1" applyAlignment="1">
      <alignment horizontal="center" vertical="center" wrapText="1" shrinkToFit="1"/>
    </xf>
    <xf numFmtId="0" fontId="0" fillId="0" borderId="9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49" fontId="45" fillId="0" borderId="62" xfId="0" applyNumberFormat="1" applyFont="1" applyFill="1" applyBorder="1" applyAlignment="1">
      <alignment horizontal="left" vertical="center" wrapText="1" shrinkToFit="1"/>
    </xf>
    <xf numFmtId="0" fontId="0" fillId="0" borderId="49" xfId="0" applyFill="1" applyBorder="1" applyAlignment="1">
      <alignment horizontal="left" vertical="center" wrapText="1" shrinkToFit="1"/>
    </xf>
    <xf numFmtId="0" fontId="59" fillId="14" borderId="55" xfId="0" applyFont="1" applyFill="1" applyBorder="1" applyAlignment="1">
      <alignment horizontal="center"/>
    </xf>
    <xf numFmtId="0" fontId="59" fillId="14" borderId="56" xfId="0" applyFont="1" applyFill="1" applyBorder="1" applyAlignment="1">
      <alignment horizontal="center"/>
    </xf>
    <xf numFmtId="0" fontId="59" fillId="14" borderId="73" xfId="0" applyFont="1" applyFill="1" applyBorder="1" applyAlignment="1">
      <alignment horizontal="center"/>
    </xf>
    <xf numFmtId="0" fontId="59" fillId="14" borderId="74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85" fillId="17" borderId="66" xfId="0" applyFont="1" applyFill="1" applyBorder="1" applyAlignment="1" applyProtection="1">
      <alignment horizontal="center" wrapText="1" readingOrder="1"/>
      <protection locked="0"/>
    </xf>
    <xf numFmtId="0" fontId="85" fillId="17" borderId="67" xfId="0" applyFont="1" applyFill="1" applyBorder="1" applyAlignment="1" applyProtection="1">
      <alignment horizontal="center" wrapText="1" readingOrder="1"/>
      <protection locked="0"/>
    </xf>
    <xf numFmtId="0" fontId="85" fillId="17" borderId="74" xfId="0" applyFont="1" applyFill="1" applyBorder="1" applyAlignment="1" applyProtection="1">
      <alignment horizontal="center" wrapText="1" readingOrder="1"/>
      <protection locked="0"/>
    </xf>
    <xf numFmtId="0" fontId="85" fillId="17" borderId="87" xfId="0" applyFont="1" applyFill="1" applyBorder="1" applyAlignment="1" applyProtection="1">
      <alignment horizontal="center" wrapText="1" readingOrder="1"/>
      <protection locked="0"/>
    </xf>
    <xf numFmtId="0" fontId="85" fillId="18" borderId="96" xfId="0" applyFont="1" applyFill="1" applyBorder="1" applyAlignment="1" applyProtection="1">
      <alignment horizontal="center" vertical="center" wrapText="1" readingOrder="1"/>
      <protection locked="0"/>
    </xf>
    <xf numFmtId="0" fontId="0" fillId="0" borderId="79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85" fillId="18" borderId="59" xfId="0" applyFont="1" applyFill="1" applyBorder="1" applyAlignment="1" applyProtection="1">
      <alignment horizontal="center" vertical="center" wrapText="1" readingOrder="1"/>
      <protection locked="0"/>
    </xf>
    <xf numFmtId="0" fontId="85" fillId="18" borderId="16" xfId="0" applyFont="1" applyFill="1" applyBorder="1" applyAlignment="1" applyProtection="1">
      <alignment horizontal="center" vertical="center" wrapText="1" readingOrder="1"/>
      <protection locked="0"/>
    </xf>
    <xf numFmtId="0" fontId="85" fillId="18" borderId="84" xfId="0" applyFont="1" applyFill="1" applyBorder="1" applyAlignment="1" applyProtection="1">
      <alignment horizontal="center" vertical="center" wrapText="1" readingOrder="1"/>
      <protection locked="0"/>
    </xf>
    <xf numFmtId="0" fontId="85" fillId="18" borderId="98" xfId="0" applyFont="1" applyFill="1" applyBorder="1" applyAlignment="1" applyProtection="1">
      <alignment horizontal="center" vertical="center" wrapText="1" readingOrder="1"/>
      <protection locked="0"/>
    </xf>
    <xf numFmtId="0" fontId="44" fillId="16" borderId="0" xfId="0" applyFont="1" applyFill="1" applyAlignment="1">
      <alignment horizontal="center"/>
    </xf>
    <xf numFmtId="49" fontId="85" fillId="19" borderId="75" xfId="0" applyNumberFormat="1" applyFont="1" applyFill="1" applyBorder="1" applyAlignment="1" applyProtection="1">
      <alignment vertical="center" wrapText="1" readingOrder="1"/>
      <protection locked="0"/>
    </xf>
    <xf numFmtId="49" fontId="44" fillId="19" borderId="76" xfId="0" applyNumberFormat="1" applyFont="1" applyFill="1" applyBorder="1" applyAlignment="1">
      <alignment vertical="center" wrapText="1" readingOrder="1"/>
    </xf>
    <xf numFmtId="0" fontId="44" fillId="19" borderId="76" xfId="0" applyFont="1" applyFill="1" applyBorder="1" applyAlignment="1">
      <alignment vertical="center" wrapText="1" readingOrder="1"/>
    </xf>
    <xf numFmtId="0" fontId="85" fillId="18" borderId="55" xfId="0" applyFont="1" applyFill="1" applyBorder="1" applyAlignment="1" applyProtection="1">
      <alignment horizontal="center" vertical="center" wrapText="1" readingOrder="1"/>
      <protection locked="0"/>
    </xf>
    <xf numFmtId="0" fontId="85" fillId="18" borderId="78" xfId="0" applyFont="1" applyFill="1" applyBorder="1" applyAlignment="1" applyProtection="1">
      <alignment horizontal="center" vertical="center" wrapText="1" readingOrder="1"/>
      <protection locked="0"/>
    </xf>
    <xf numFmtId="0" fontId="85" fillId="19" borderId="75" xfId="0" applyFont="1" applyFill="1" applyBorder="1" applyAlignment="1" applyProtection="1">
      <alignment vertical="center" wrapText="1" readingOrder="1"/>
      <protection locked="0"/>
    </xf>
    <xf numFmtId="0" fontId="85" fillId="18" borderId="66" xfId="0" applyFont="1" applyFill="1" applyBorder="1" applyAlignment="1" applyProtection="1">
      <alignment horizontal="center" vertical="center" wrapText="1" readingOrder="1"/>
      <protection locked="0"/>
    </xf>
    <xf numFmtId="0" fontId="85" fillId="18" borderId="57" xfId="0" applyFont="1" applyFill="1" applyBorder="1" applyAlignment="1" applyProtection="1">
      <alignment horizontal="center" vertical="center" wrapText="1" readingOrder="1"/>
      <protection locked="0"/>
    </xf>
    <xf numFmtId="0" fontId="85" fillId="17" borderId="75" xfId="0" applyFont="1" applyFill="1" applyBorder="1" applyAlignment="1" applyProtection="1">
      <alignment horizontal="center" wrapText="1" readingOrder="1"/>
      <protection locked="0"/>
    </xf>
    <xf numFmtId="0" fontId="85" fillId="17" borderId="76" xfId="0" applyFont="1" applyFill="1" applyBorder="1" applyAlignment="1" applyProtection="1">
      <alignment horizontal="center" wrapText="1" readingOrder="1"/>
      <protection locked="0"/>
    </xf>
    <xf numFmtId="0" fontId="85" fillId="17" borderId="77" xfId="0" applyFont="1" applyFill="1" applyBorder="1" applyAlignment="1" applyProtection="1">
      <alignment horizontal="center" wrapText="1" readingOrder="1"/>
      <protection locked="0"/>
    </xf>
    <xf numFmtId="49" fontId="75" fillId="0" borderId="62" xfId="0" applyNumberFormat="1" applyFont="1" applyFill="1" applyBorder="1" applyAlignment="1">
      <alignment horizontal="left" vertical="center" wrapText="1" shrinkToFit="1"/>
    </xf>
    <xf numFmtId="0" fontId="75" fillId="0" borderId="49" xfId="0" applyFont="1" applyFill="1" applyBorder="1" applyAlignment="1">
      <alignment horizontal="left" vertical="center" wrapText="1" shrinkToFit="1"/>
    </xf>
    <xf numFmtId="0" fontId="80" fillId="14" borderId="55" xfId="0" applyFont="1" applyFill="1" applyBorder="1" applyAlignment="1">
      <alignment horizontal="center"/>
    </xf>
    <xf numFmtId="0" fontId="80" fillId="14" borderId="56" xfId="0" applyFont="1" applyFill="1" applyBorder="1" applyAlignment="1">
      <alignment horizontal="center"/>
    </xf>
    <xf numFmtId="0" fontId="88" fillId="0" borderId="0" xfId="0" applyFont="1" applyAlignment="1">
      <alignment horizontal="center"/>
    </xf>
    <xf numFmtId="0" fontId="89" fillId="20" borderId="0" xfId="0" applyFont="1" applyFill="1" applyAlignment="1">
      <alignment horizontal="center"/>
    </xf>
    <xf numFmtId="0" fontId="80" fillId="13" borderId="66" xfId="0" applyFont="1" applyFill="1" applyBorder="1" applyAlignment="1">
      <alignment horizontal="center" vertical="center" wrapText="1" shrinkToFit="1"/>
    </xf>
    <xf numFmtId="0" fontId="80" fillId="13" borderId="16" xfId="0" applyFont="1" applyFill="1" applyBorder="1" applyAlignment="1">
      <alignment horizontal="center" vertical="center" wrapText="1" shrinkToFit="1"/>
    </xf>
    <xf numFmtId="0" fontId="80" fillId="13" borderId="67" xfId="0" applyFont="1" applyFill="1" applyBorder="1" applyAlignment="1">
      <alignment horizontal="center" vertical="center" wrapText="1" shrinkToFit="1"/>
    </xf>
    <xf numFmtId="0" fontId="80" fillId="13" borderId="58" xfId="0" applyFont="1" applyFill="1" applyBorder="1" applyAlignment="1">
      <alignment horizontal="center" vertical="center" wrapText="1" shrinkToFit="1"/>
    </xf>
    <xf numFmtId="0" fontId="80" fillId="13" borderId="57" xfId="0" applyFont="1" applyFill="1" applyBorder="1" applyAlignment="1">
      <alignment horizontal="center" vertical="center" wrapText="1" shrinkToFit="1"/>
    </xf>
    <xf numFmtId="0" fontId="85" fillId="18" borderId="21" xfId="0" applyFont="1" applyFill="1" applyBorder="1" applyAlignment="1" applyProtection="1">
      <alignment horizontal="center" vertical="center" wrapText="1" readingOrder="1"/>
      <protection locked="0"/>
    </xf>
    <xf numFmtId="0" fontId="85" fillId="18" borderId="39" xfId="0" applyFont="1" applyFill="1" applyBorder="1" applyAlignment="1" applyProtection="1">
      <alignment horizontal="center" vertical="center" wrapText="1" readingOrder="1"/>
      <protection locked="0"/>
    </xf>
    <xf numFmtId="49" fontId="44" fillId="19" borderId="89" xfId="0" applyNumberFormat="1" applyFont="1" applyFill="1" applyBorder="1" applyAlignment="1">
      <alignment vertical="center" wrapText="1" readingOrder="1"/>
    </xf>
    <xf numFmtId="0" fontId="85" fillId="18" borderId="60" xfId="0" applyFont="1" applyFill="1" applyBorder="1" applyAlignment="1" applyProtection="1">
      <alignment horizontal="center" vertical="center" wrapText="1" readingOrder="1"/>
      <protection locked="0"/>
    </xf>
    <xf numFmtId="0" fontId="85" fillId="18" borderId="58" xfId="0" applyFont="1" applyFill="1" applyBorder="1" applyAlignment="1" applyProtection="1">
      <alignment horizontal="center" vertical="center" wrapText="1" readingOrder="1"/>
      <protection locked="0"/>
    </xf>
    <xf numFmtId="0" fontId="89" fillId="16" borderId="0" xfId="0" applyFont="1" applyFill="1" applyAlignment="1">
      <alignment horizontal="center"/>
    </xf>
    <xf numFmtId="0" fontId="85" fillId="17" borderId="86" xfId="0" applyFont="1" applyFill="1" applyBorder="1" applyAlignment="1" applyProtection="1">
      <alignment horizontal="center" wrapText="1" readingOrder="1"/>
      <protection locked="0"/>
    </xf>
    <xf numFmtId="0" fontId="85" fillId="18" borderId="56" xfId="0" applyFont="1" applyFill="1" applyBorder="1" applyAlignment="1" applyProtection="1">
      <alignment horizontal="center" vertical="center" wrapText="1" readingOrder="1"/>
      <protection locked="0"/>
    </xf>
    <xf numFmtId="0" fontId="85" fillId="18" borderId="67" xfId="0" applyFont="1" applyFill="1" applyBorder="1" applyAlignment="1" applyProtection="1">
      <alignment horizontal="center" vertical="center" wrapText="1" readingOrder="1"/>
      <protection locked="0"/>
    </xf>
    <xf numFmtId="0" fontId="44" fillId="19" borderId="89" xfId="0" applyFont="1" applyFill="1" applyBorder="1" applyAlignment="1">
      <alignment vertical="center" wrapText="1" readingOrder="1"/>
    </xf>
    <xf numFmtId="0" fontId="44" fillId="19" borderId="77" xfId="0" applyFont="1" applyFill="1" applyBorder="1" applyAlignment="1">
      <alignment vertical="center" wrapText="1" readingOrder="1"/>
    </xf>
    <xf numFmtId="0" fontId="89" fillId="20" borderId="99" xfId="0" applyFont="1" applyFill="1" applyBorder="1" applyAlignment="1">
      <alignment horizontal="center"/>
    </xf>
    <xf numFmtId="0" fontId="89" fillId="20" borderId="102" xfId="0" applyFont="1" applyFill="1" applyBorder="1" applyAlignment="1">
      <alignment horizontal="center"/>
    </xf>
    <xf numFmtId="0" fontId="89" fillId="20" borderId="103" xfId="0" applyFont="1" applyFill="1" applyBorder="1" applyAlignment="1">
      <alignment horizontal="center"/>
    </xf>
    <xf numFmtId="0" fontId="80" fillId="13" borderId="59" xfId="0" applyFont="1" applyFill="1" applyBorder="1" applyAlignment="1">
      <alignment horizontal="center" vertical="center" wrapText="1" shrinkToFit="1"/>
    </xf>
    <xf numFmtId="0" fontId="80" fillId="13" borderId="60" xfId="0" applyFont="1" applyFill="1" applyBorder="1" applyAlignment="1">
      <alignment horizontal="center" vertical="center" wrapText="1" shrinkToFit="1"/>
    </xf>
    <xf numFmtId="0" fontId="80" fillId="13" borderId="84" xfId="0" applyFont="1" applyFill="1" applyBorder="1" applyAlignment="1">
      <alignment horizontal="center" vertical="center" wrapText="1" shrinkToFit="1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53" fillId="0" borderId="55" xfId="0" applyFont="1" applyBorder="1" applyAlignment="1">
      <alignment horizontal="left" vertical="top" wrapText="1"/>
    </xf>
    <xf numFmtId="0" fontId="53" fillId="0" borderId="78" xfId="0" applyFont="1" applyBorder="1" applyAlignment="1">
      <alignment horizontal="left" vertical="top" wrapText="1"/>
    </xf>
    <xf numFmtId="0" fontId="45" fillId="0" borderId="55" xfId="0" applyFont="1" applyBorder="1" applyAlignment="1">
      <alignment horizontal="justify" vertical="top" wrapText="1"/>
    </xf>
    <xf numFmtId="0" fontId="45" fillId="0" borderId="83" xfId="0" applyFont="1" applyBorder="1" applyAlignment="1">
      <alignment horizontal="justify" vertical="top" wrapText="1"/>
    </xf>
    <xf numFmtId="3" fontId="54" fillId="0" borderId="48" xfId="0" applyNumberFormat="1" applyFont="1" applyBorder="1" applyAlignment="1">
      <alignment horizontal="center"/>
    </xf>
    <xf numFmtId="3" fontId="54" fillId="0" borderId="47" xfId="0" applyNumberFormat="1" applyFont="1" applyBorder="1" applyAlignment="1">
      <alignment horizontal="center"/>
    </xf>
    <xf numFmtId="0" fontId="30" fillId="0" borderId="79" xfId="0" applyFont="1" applyBorder="1" applyAlignment="1">
      <alignment horizontal="center" vertical="top" wrapText="1"/>
    </xf>
    <xf numFmtId="0" fontId="30" fillId="0" borderId="80" xfId="0" applyFont="1" applyBorder="1" applyAlignment="1">
      <alignment horizontal="center" vertical="top" wrapText="1"/>
    </xf>
    <xf numFmtId="0" fontId="48" fillId="0" borderId="96" xfId="0" applyFont="1" applyBorder="1" applyAlignment="1">
      <alignment horizontal="center"/>
    </xf>
    <xf numFmtId="0" fontId="48" fillId="0" borderId="79" xfId="0" applyFont="1" applyBorder="1" applyAlignment="1">
      <alignment horizontal="center"/>
    </xf>
    <xf numFmtId="0" fontId="48" fillId="0" borderId="80" xfId="0" applyFont="1" applyBorder="1" applyAlignment="1">
      <alignment horizontal="center"/>
    </xf>
    <xf numFmtId="0" fontId="0" fillId="0" borderId="96" xfId="0" applyBorder="1" applyAlignment="1">
      <alignment horizontal="right"/>
    </xf>
    <xf numFmtId="0" fontId="0" fillId="0" borderId="80" xfId="0" applyBorder="1" applyAlignment="1">
      <alignment horizontal="right"/>
    </xf>
    <xf numFmtId="0" fontId="30" fillId="0" borderId="97" xfId="0" applyFont="1" applyBorder="1" applyAlignment="1">
      <alignment horizontal="center" vertical="top" wrapText="1"/>
    </xf>
    <xf numFmtId="0" fontId="30" fillId="0" borderId="67" xfId="0" applyFont="1" applyBorder="1" applyAlignment="1">
      <alignment horizontal="center" vertical="top" wrapText="1"/>
    </xf>
    <xf numFmtId="0" fontId="30" fillId="0" borderId="57" xfId="0" applyFont="1" applyBorder="1" applyAlignment="1">
      <alignment horizontal="center" vertical="top" wrapText="1"/>
    </xf>
    <xf numFmtId="0" fontId="53" fillId="0" borderId="21" xfId="0" applyFont="1" applyBorder="1" applyAlignment="1">
      <alignment horizontal="left" vertical="top" wrapText="1"/>
    </xf>
    <xf numFmtId="0" fontId="53" fillId="0" borderId="43" xfId="0" applyFont="1" applyBorder="1" applyAlignment="1">
      <alignment horizontal="left" vertical="top" wrapText="1"/>
    </xf>
    <xf numFmtId="0" fontId="45" fillId="0" borderId="75" xfId="0" applyFont="1" applyBorder="1" applyAlignment="1">
      <alignment horizontal="left" vertical="top" wrapText="1"/>
    </xf>
    <xf numFmtId="0" fontId="45" fillId="0" borderId="76" xfId="0" applyFont="1" applyBorder="1" applyAlignment="1">
      <alignment horizontal="left" vertical="top" wrapText="1"/>
    </xf>
    <xf numFmtId="0" fontId="54" fillId="0" borderId="34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45" fillId="0" borderId="25" xfId="0" applyFont="1" applyBorder="1" applyAlignment="1">
      <alignment horizontal="center" vertical="top" wrapText="1"/>
    </xf>
    <xf numFmtId="0" fontId="45" fillId="0" borderId="36" xfId="0" applyFont="1" applyBorder="1" applyAlignment="1">
      <alignment horizontal="center" vertical="top" wrapText="1"/>
    </xf>
    <xf numFmtId="0" fontId="45" fillId="0" borderId="86" xfId="0" applyFont="1" applyBorder="1" applyAlignment="1">
      <alignment horizontal="center" vertical="center" wrapText="1"/>
    </xf>
    <xf numFmtId="0" fontId="45" fillId="0" borderId="8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5" fillId="0" borderId="78" xfId="0" applyFont="1" applyBorder="1" applyAlignment="1">
      <alignment horizontal="justify" vertical="top" wrapText="1"/>
    </xf>
    <xf numFmtId="0" fontId="30" fillId="3" borderId="66" xfId="0" applyFont="1" applyFill="1" applyBorder="1" applyAlignment="1">
      <alignment horizontal="center" vertical="top" wrapText="1"/>
    </xf>
    <xf numFmtId="0" fontId="30" fillId="3" borderId="70" xfId="0" applyFont="1" applyFill="1" applyBorder="1" applyAlignment="1">
      <alignment horizontal="center" vertical="top" wrapText="1"/>
    </xf>
    <xf numFmtId="0" fontId="30" fillId="3" borderId="57" xfId="0" applyFont="1" applyFill="1" applyBorder="1" applyAlignment="1">
      <alignment horizontal="center" vertical="center" wrapText="1"/>
    </xf>
    <xf numFmtId="0" fontId="30" fillId="3" borderId="98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top" wrapText="1"/>
    </xf>
    <xf numFmtId="0" fontId="48" fillId="0" borderId="66" xfId="0" applyFont="1" applyBorder="1" applyAlignment="1">
      <alignment horizontal="center"/>
    </xf>
    <xf numFmtId="0" fontId="48" fillId="0" borderId="67" xfId="0" applyFont="1" applyBorder="1" applyAlignment="1">
      <alignment horizontal="center"/>
    </xf>
    <xf numFmtId="0" fontId="48" fillId="0" borderId="86" xfId="0" applyFont="1" applyBorder="1" applyAlignment="1">
      <alignment horizontal="center"/>
    </xf>
    <xf numFmtId="0" fontId="0" fillId="0" borderId="66" xfId="0" applyBorder="1" applyAlignment="1">
      <alignment horizontal="right"/>
    </xf>
    <xf numFmtId="0" fontId="0" fillId="0" borderId="67" xfId="0" applyBorder="1" applyAlignment="1">
      <alignment horizontal="right"/>
    </xf>
    <xf numFmtId="0" fontId="0" fillId="0" borderId="86" xfId="0" applyBorder="1" applyAlignment="1">
      <alignment horizontal="right"/>
    </xf>
    <xf numFmtId="14" fontId="91" fillId="0" borderId="0" xfId="0" applyNumberFormat="1" applyFont="1" applyAlignment="1">
      <alignment horizontal="right" vertical="top" wrapText="1"/>
    </xf>
    <xf numFmtId="0" fontId="91" fillId="0" borderId="0" xfId="0" applyFont="1" applyAlignment="1">
      <alignment horizontal="right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36" xfId="0" applyFont="1" applyFill="1" applyBorder="1" applyAlignment="1">
      <alignment horizontal="center" vertical="top" wrapText="1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86" xfId="0" applyBorder="1" applyAlignment="1">
      <alignment horizontal="center"/>
    </xf>
    <xf numFmtId="0" fontId="30" fillId="0" borderId="96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45" fillId="3" borderId="66" xfId="0" applyFont="1" applyFill="1" applyBorder="1" applyAlignment="1">
      <alignment horizontal="center" vertical="top" wrapText="1"/>
    </xf>
    <xf numFmtId="0" fontId="45" fillId="3" borderId="70" xfId="0" applyFont="1" applyFill="1" applyBorder="1" applyAlignment="1">
      <alignment horizontal="center" vertical="top" wrapText="1"/>
    </xf>
    <xf numFmtId="0" fontId="45" fillId="3" borderId="57" xfId="0" applyFont="1" applyFill="1" applyBorder="1" applyAlignment="1">
      <alignment horizontal="center" vertical="center" wrapText="1"/>
    </xf>
    <xf numFmtId="0" fontId="45" fillId="3" borderId="98" xfId="0" applyFont="1" applyFill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3" fontId="54" fillId="0" borderId="13" xfId="0" applyNumberFormat="1" applyFont="1" applyBorder="1" applyAlignment="1">
      <alignment horizontal="center"/>
    </xf>
    <xf numFmtId="3" fontId="54" fillId="0" borderId="38" xfId="0" applyNumberFormat="1" applyFont="1" applyBorder="1" applyAlignment="1">
      <alignment horizontal="center"/>
    </xf>
    <xf numFmtId="3" fontId="49" fillId="0" borderId="76" xfId="0" applyNumberFormat="1" applyFont="1" applyBorder="1" applyAlignment="1">
      <alignment horizontal="center"/>
    </xf>
    <xf numFmtId="0" fontId="49" fillId="0" borderId="76" xfId="0" applyFont="1" applyBorder="1" applyAlignment="1">
      <alignment horizontal="center"/>
    </xf>
    <xf numFmtId="0" fontId="49" fillId="0" borderId="77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38" xfId="0" applyFont="1" applyBorder="1" applyAlignment="1">
      <alignment horizontal="center"/>
    </xf>
    <xf numFmtId="3" fontId="49" fillId="0" borderId="64" xfId="1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54" fillId="0" borderId="39" xfId="0" applyNumberFormat="1" applyFont="1" applyBorder="1" applyAlignment="1">
      <alignment horizontal="center"/>
    </xf>
    <xf numFmtId="3" fontId="54" fillId="0" borderId="43" xfId="0" applyNumberFormat="1" applyFont="1" applyBorder="1" applyAlignment="1">
      <alignment horizontal="center"/>
    </xf>
    <xf numFmtId="0" fontId="45" fillId="0" borderId="66" xfId="0" applyFont="1" applyBorder="1" applyAlignment="1">
      <alignment horizontal="center" vertical="top" wrapText="1"/>
    </xf>
    <xf numFmtId="0" fontId="45" fillId="0" borderId="70" xfId="0" applyFont="1" applyBorder="1" applyAlignment="1">
      <alignment horizontal="center" vertical="top" wrapText="1"/>
    </xf>
    <xf numFmtId="0" fontId="45" fillId="0" borderId="87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left" vertical="top" wrapText="1"/>
    </xf>
    <xf numFmtId="0" fontId="45" fillId="0" borderId="43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/>
    </xf>
    <xf numFmtId="0" fontId="54" fillId="0" borderId="43" xfId="0" applyFont="1" applyBorder="1" applyAlignment="1">
      <alignment horizontal="left"/>
    </xf>
    <xf numFmtId="3" fontId="49" fillId="0" borderId="56" xfId="0" applyNumberFormat="1" applyFont="1" applyBorder="1" applyAlignment="1">
      <alignment horizontal="center"/>
    </xf>
    <xf numFmtId="3" fontId="49" fillId="0" borderId="83" xfId="0" applyNumberFormat="1" applyFont="1" applyBorder="1" applyAlignment="1">
      <alignment horizontal="center"/>
    </xf>
    <xf numFmtId="0" fontId="48" fillId="0" borderId="57" xfId="0" applyFont="1" applyBorder="1" applyAlignment="1">
      <alignment horizontal="center"/>
    </xf>
    <xf numFmtId="0" fontId="68" fillId="0" borderId="55" xfId="0" applyFont="1" applyBorder="1" applyAlignment="1">
      <alignment horizontal="center" wrapText="1"/>
    </xf>
    <xf numFmtId="0" fontId="68" fillId="0" borderId="8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4" fillId="0" borderId="75" xfId="0" applyFont="1" applyBorder="1" applyAlignment="1"/>
    <xf numFmtId="0" fontId="0" fillId="0" borderId="77" xfId="0" applyBorder="1" applyAlignment="1"/>
    <xf numFmtId="0" fontId="18" fillId="0" borderId="0" xfId="0" applyFont="1" applyAlignment="1">
      <alignment horizontal="center"/>
    </xf>
    <xf numFmtId="0" fontId="36" fillId="0" borderId="75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wrapText="1"/>
    </xf>
    <xf numFmtId="3" fontId="35" fillId="0" borderId="13" xfId="0" applyNumberFormat="1" applyFont="1" applyBorder="1" applyAlignment="1">
      <alignment horizontal="center" wrapText="1"/>
    </xf>
    <xf numFmtId="0" fontId="28" fillId="2" borderId="96" xfId="0" applyFont="1" applyFill="1" applyBorder="1" applyAlignment="1">
      <alignment horizontal="center" wrapText="1"/>
    </xf>
    <xf numFmtId="0" fontId="28" fillId="2" borderId="94" xfId="0" applyFont="1" applyFill="1" applyBorder="1" applyAlignment="1">
      <alignment horizontal="center" wrapText="1"/>
    </xf>
    <xf numFmtId="0" fontId="40" fillId="2" borderId="96" xfId="0" applyFont="1" applyFill="1" applyBorder="1" applyAlignment="1">
      <alignment horizontal="center" wrapText="1"/>
    </xf>
    <xf numFmtId="0" fontId="40" fillId="2" borderId="94" xfId="0" applyFont="1" applyFill="1" applyBorder="1" applyAlignment="1">
      <alignment horizontal="center" wrapText="1"/>
    </xf>
    <xf numFmtId="0" fontId="39" fillId="2" borderId="66" xfId="0" applyFont="1" applyFill="1" applyBorder="1" applyAlignment="1">
      <alignment horizontal="center" wrapText="1"/>
    </xf>
    <xf numFmtId="0" fontId="39" fillId="2" borderId="67" xfId="0" applyFont="1" applyFill="1" applyBorder="1" applyAlignment="1">
      <alignment horizontal="center" wrapText="1"/>
    </xf>
    <xf numFmtId="0" fontId="39" fillId="2" borderId="86" xfId="0" applyFont="1" applyFill="1" applyBorder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8" fillId="2" borderId="33" xfId="0" applyFont="1" applyFill="1" applyBorder="1" applyAlignment="1">
      <alignment horizontal="center" wrapText="1"/>
    </xf>
    <xf numFmtId="0" fontId="28" fillId="2" borderId="32" xfId="0" applyFont="1" applyFill="1" applyBorder="1" applyAlignment="1">
      <alignment horizontal="center" wrapText="1"/>
    </xf>
    <xf numFmtId="0" fontId="40" fillId="2" borderId="31" xfId="0" applyFont="1" applyFill="1" applyBorder="1" applyAlignment="1">
      <alignment horizontal="center" wrapText="1"/>
    </xf>
    <xf numFmtId="0" fontId="40" fillId="2" borderId="20" xfId="0" applyFont="1" applyFill="1" applyBorder="1" applyAlignment="1">
      <alignment horizontal="center" wrapText="1"/>
    </xf>
    <xf numFmtId="0" fontId="39" fillId="2" borderId="50" xfId="0" applyFont="1" applyFill="1" applyBorder="1" applyAlignment="1">
      <alignment horizontal="center" wrapText="1"/>
    </xf>
    <xf numFmtId="0" fontId="39" fillId="2" borderId="40" xfId="0" applyFont="1" applyFill="1" applyBorder="1" applyAlignment="1">
      <alignment horizontal="center" wrapText="1"/>
    </xf>
    <xf numFmtId="0" fontId="39" fillId="2" borderId="41" xfId="0" applyFont="1" applyFill="1" applyBorder="1" applyAlignment="1">
      <alignment horizontal="center" wrapText="1"/>
    </xf>
    <xf numFmtId="0" fontId="42" fillId="2" borderId="0" xfId="0" applyFont="1" applyFill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7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Pénznem" xfId="6" builtinId="4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ll&#225;rAnik&#243;\AppData\Local\Microsoft\Windows\INetCache\Content.Outlook\O6S3QVRI\2019.II.sz.EI%20m&#243;d.%20-%20&#214;nkorm&#225;nyzat%20Piliscs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M&#369;vh&#225;z%20Pcs&#233;v/2019.II.sz.%20EI%20m&#243;d.%20-%20M&#369;v.h&#225;z%20Pcs&#233;v/2019.II.sz.%20EI%20m&#243;d.%20-%20M&#369;v.H&#225;z%20Pcs&#233;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&#211;voda%20Pcs&#233;v/2019.II.sz.EI%20m&#243;d%20-%20&#211;voda-B&#246;lcsi%20Pcs&#233;v/2019.II.sz.%20EI%20m&#243;d.%20-%20&#211;voda-B&#246;lcsi%20Pcs&#233;v%20test&#252;le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19)"/>
      <sheetName val="Bevételek(önkormányzat 2019"/>
      <sheetName val="Bevételek COFOG szerint 2019"/>
      <sheetName val="Kiadások(önkormányzat 2019)"/>
      <sheetName val="Kiadások COFOG szerint"/>
      <sheetName val="Kiadások részletes COFOG"/>
      <sheetName val="Kiadások COFOG összesítő"/>
    </sheetNames>
    <sheetDataSet>
      <sheetData sheetId="0"/>
      <sheetData sheetId="1"/>
      <sheetData sheetId="2"/>
      <sheetData sheetId="3"/>
      <sheetData sheetId="4"/>
      <sheetData sheetId="5">
        <row r="13">
          <cell r="F13">
            <v>1556250</v>
          </cell>
        </row>
        <row r="14">
          <cell r="F14">
            <v>0</v>
          </cell>
        </row>
        <row r="26">
          <cell r="F26">
            <v>16224200</v>
          </cell>
        </row>
        <row r="30">
          <cell r="F30">
            <v>1406000</v>
          </cell>
        </row>
        <row r="31">
          <cell r="F31">
            <v>176000</v>
          </cell>
        </row>
        <row r="33">
          <cell r="F33">
            <v>3750000</v>
          </cell>
        </row>
        <row r="38">
          <cell r="F38">
            <v>0</v>
          </cell>
        </row>
        <row r="39">
          <cell r="F39">
            <v>60000</v>
          </cell>
        </row>
        <row r="48">
          <cell r="F48">
            <v>2349000</v>
          </cell>
        </row>
        <row r="49">
          <cell r="F49">
            <v>1300000</v>
          </cell>
        </row>
        <row r="50">
          <cell r="F50">
            <v>300000</v>
          </cell>
        </row>
        <row r="51">
          <cell r="F51">
            <v>666000</v>
          </cell>
        </row>
        <row r="52">
          <cell r="F52">
            <v>1100000</v>
          </cell>
        </row>
        <row r="53">
          <cell r="F53">
            <v>300000</v>
          </cell>
        </row>
        <row r="56">
          <cell r="F56">
            <v>150000</v>
          </cell>
        </row>
        <row r="57">
          <cell r="F57">
            <v>451000</v>
          </cell>
        </row>
        <row r="58">
          <cell r="F58">
            <v>520000</v>
          </cell>
        </row>
        <row r="66">
          <cell r="F66">
            <v>2530000</v>
          </cell>
        </row>
        <row r="75">
          <cell r="F75">
            <v>4100000</v>
          </cell>
        </row>
        <row r="77">
          <cell r="F77">
            <v>0</v>
          </cell>
        </row>
        <row r="82">
          <cell r="F82">
            <v>2946408.0000000005</v>
          </cell>
        </row>
        <row r="83">
          <cell r="F83">
            <v>12000000</v>
          </cell>
        </row>
        <row r="84">
          <cell r="F84">
            <v>20000</v>
          </cell>
        </row>
        <row r="87">
          <cell r="F87">
            <v>600000</v>
          </cell>
        </row>
        <row r="88">
          <cell r="F88">
            <v>0</v>
          </cell>
        </row>
        <row r="94">
          <cell r="F94">
            <v>7998120</v>
          </cell>
        </row>
        <row r="96">
          <cell r="F96">
            <v>25285270</v>
          </cell>
        </row>
        <row r="98">
          <cell r="F98">
            <v>0</v>
          </cell>
        </row>
        <row r="100">
          <cell r="F100">
            <v>2363000</v>
          </cell>
        </row>
        <row r="101">
          <cell r="F101">
            <v>389500</v>
          </cell>
        </row>
        <row r="102">
          <cell r="F102">
            <v>263000</v>
          </cell>
        </row>
        <row r="103">
          <cell r="F103">
            <v>740000</v>
          </cell>
        </row>
        <row r="106">
          <cell r="F106">
            <v>0</v>
          </cell>
        </row>
        <row r="107">
          <cell r="F107">
            <v>0</v>
          </cell>
        </row>
        <row r="112">
          <cell r="F112">
            <v>0</v>
          </cell>
        </row>
        <row r="114">
          <cell r="F114">
            <v>0</v>
          </cell>
        </row>
        <row r="117">
          <cell r="F117">
            <v>0</v>
          </cell>
        </row>
        <row r="119">
          <cell r="F119">
            <v>566929</v>
          </cell>
        </row>
        <row r="120">
          <cell r="F120">
            <v>153071</v>
          </cell>
        </row>
        <row r="123">
          <cell r="F123">
            <v>0</v>
          </cell>
        </row>
        <row r="124">
          <cell r="F124">
            <v>0</v>
          </cell>
        </row>
        <row r="129">
          <cell r="F129">
            <v>0</v>
          </cell>
        </row>
        <row r="130">
          <cell r="F130">
            <v>300000</v>
          </cell>
        </row>
        <row r="131">
          <cell r="F131">
            <v>950000</v>
          </cell>
        </row>
        <row r="132">
          <cell r="F132">
            <v>150000</v>
          </cell>
        </row>
        <row r="133">
          <cell r="F133">
            <v>450000</v>
          </cell>
        </row>
        <row r="134">
          <cell r="F134">
            <v>150000</v>
          </cell>
        </row>
        <row r="135">
          <cell r="F135">
            <v>540000</v>
          </cell>
        </row>
        <row r="140">
          <cell r="F140">
            <v>300000</v>
          </cell>
        </row>
        <row r="144">
          <cell r="F144">
            <v>860000</v>
          </cell>
        </row>
        <row r="146">
          <cell r="F146">
            <v>604000</v>
          </cell>
        </row>
        <row r="147">
          <cell r="F147">
            <v>506000</v>
          </cell>
        </row>
        <row r="148">
          <cell r="F148">
            <v>430000</v>
          </cell>
        </row>
        <row r="153">
          <cell r="F153">
            <v>0</v>
          </cell>
        </row>
        <row r="155">
          <cell r="F155">
            <v>6042266</v>
          </cell>
        </row>
        <row r="160">
          <cell r="F160">
            <v>7156000</v>
          </cell>
        </row>
        <row r="169">
          <cell r="F169">
            <v>156533101</v>
          </cell>
        </row>
        <row r="173">
          <cell r="F173">
            <v>2670000</v>
          </cell>
        </row>
        <row r="174">
          <cell r="F174">
            <v>261000</v>
          </cell>
        </row>
        <row r="176">
          <cell r="F176">
            <v>165000</v>
          </cell>
        </row>
        <row r="177">
          <cell r="F177">
            <v>44633</v>
          </cell>
        </row>
        <row r="178">
          <cell r="F178">
            <v>133000</v>
          </cell>
        </row>
        <row r="179">
          <cell r="F179">
            <v>36000</v>
          </cell>
        </row>
        <row r="184">
          <cell r="F184">
            <v>3218000</v>
          </cell>
        </row>
        <row r="185">
          <cell r="F185">
            <v>40000</v>
          </cell>
        </row>
        <row r="186">
          <cell r="F186">
            <v>321000</v>
          </cell>
        </row>
        <row r="188">
          <cell r="F188">
            <v>60604</v>
          </cell>
        </row>
        <row r="189">
          <cell r="F189">
            <v>10963</v>
          </cell>
        </row>
        <row r="194">
          <cell r="F194">
            <v>420000</v>
          </cell>
        </row>
        <row r="197">
          <cell r="F197">
            <v>131150</v>
          </cell>
        </row>
        <row r="198">
          <cell r="F198">
            <v>1700000</v>
          </cell>
        </row>
        <row r="200">
          <cell r="F200">
            <v>1033850</v>
          </cell>
        </row>
        <row r="204">
          <cell r="F204">
            <v>45000000</v>
          </cell>
        </row>
        <row r="205">
          <cell r="F205">
            <v>1900000</v>
          </cell>
        </row>
        <row r="212">
          <cell r="F212">
            <v>10819007</v>
          </cell>
        </row>
        <row r="213">
          <cell r="F213">
            <v>2921132</v>
          </cell>
        </row>
        <row r="224">
          <cell r="F224">
            <v>348080</v>
          </cell>
        </row>
        <row r="225">
          <cell r="F225">
            <v>3100668</v>
          </cell>
        </row>
        <row r="226">
          <cell r="F226">
            <v>564445</v>
          </cell>
        </row>
        <row r="227">
          <cell r="F227">
            <v>1052954</v>
          </cell>
        </row>
        <row r="237">
          <cell r="F237">
            <v>4517500</v>
          </cell>
        </row>
        <row r="238">
          <cell r="F238">
            <v>0</v>
          </cell>
        </row>
        <row r="240">
          <cell r="F240">
            <v>24000</v>
          </cell>
        </row>
        <row r="241">
          <cell r="F241">
            <v>146000</v>
          </cell>
        </row>
        <row r="242">
          <cell r="F242">
            <v>938000</v>
          </cell>
        </row>
        <row r="243">
          <cell r="F243">
            <v>0</v>
          </cell>
        </row>
        <row r="249">
          <cell r="F249">
            <v>2565396</v>
          </cell>
        </row>
        <row r="254">
          <cell r="F254">
            <v>750000</v>
          </cell>
        </row>
        <row r="255">
          <cell r="F255">
            <v>0</v>
          </cell>
        </row>
        <row r="260">
          <cell r="F260">
            <v>450000</v>
          </cell>
        </row>
        <row r="268">
          <cell r="F268">
            <v>1330000</v>
          </cell>
        </row>
        <row r="272">
          <cell r="F272">
            <v>1134437</v>
          </cell>
        </row>
        <row r="273">
          <cell r="F273">
            <v>58000</v>
          </cell>
        </row>
        <row r="276">
          <cell r="F276">
            <v>98000</v>
          </cell>
        </row>
        <row r="277">
          <cell r="F277">
            <v>27000</v>
          </cell>
        </row>
        <row r="278">
          <cell r="F278">
            <v>101200000</v>
          </cell>
        </row>
        <row r="279">
          <cell r="F279">
            <v>17390000</v>
          </cell>
        </row>
        <row r="280">
          <cell r="F280">
            <v>1263000</v>
          </cell>
        </row>
        <row r="289">
          <cell r="F289">
            <v>4465760</v>
          </cell>
        </row>
        <row r="290">
          <cell r="F290">
            <v>100000</v>
          </cell>
        </row>
        <row r="291">
          <cell r="F291">
            <v>24000</v>
          </cell>
        </row>
        <row r="292">
          <cell r="F292">
            <v>50000</v>
          </cell>
        </row>
        <row r="293">
          <cell r="F293">
            <v>12000</v>
          </cell>
        </row>
        <row r="294">
          <cell r="F294">
            <v>136000</v>
          </cell>
        </row>
        <row r="295">
          <cell r="F295">
            <v>687000</v>
          </cell>
        </row>
        <row r="298">
          <cell r="F298">
            <v>1020000</v>
          </cell>
        </row>
        <row r="299">
          <cell r="F299">
            <v>0</v>
          </cell>
        </row>
        <row r="300">
          <cell r="F300">
            <v>60000</v>
          </cell>
        </row>
        <row r="301">
          <cell r="F301">
            <v>150000</v>
          </cell>
        </row>
        <row r="302">
          <cell r="F302">
            <v>100000</v>
          </cell>
        </row>
        <row r="303">
          <cell r="F303">
            <v>140000</v>
          </cell>
        </row>
        <row r="304">
          <cell r="F304">
            <v>50000</v>
          </cell>
        </row>
        <row r="307">
          <cell r="F307">
            <v>10000</v>
          </cell>
        </row>
        <row r="309">
          <cell r="F309">
            <v>20000</v>
          </cell>
        </row>
        <row r="311">
          <cell r="F311">
            <v>10000</v>
          </cell>
        </row>
        <row r="312">
          <cell r="F312">
            <v>120000</v>
          </cell>
        </row>
        <row r="315">
          <cell r="F315">
            <v>120000</v>
          </cell>
        </row>
        <row r="316">
          <cell r="F316">
            <v>33000</v>
          </cell>
        </row>
        <row r="317">
          <cell r="F317">
            <v>160000</v>
          </cell>
        </row>
        <row r="318">
          <cell r="F318">
            <v>44000</v>
          </cell>
        </row>
        <row r="323">
          <cell r="F323">
            <v>90000</v>
          </cell>
        </row>
        <row r="324">
          <cell r="F324">
            <v>0</v>
          </cell>
        </row>
        <row r="329">
          <cell r="F329">
            <v>1000000</v>
          </cell>
        </row>
        <row r="330">
          <cell r="F330">
            <v>195000</v>
          </cell>
        </row>
        <row r="331">
          <cell r="F331">
            <v>1000000</v>
          </cell>
        </row>
        <row r="332">
          <cell r="F332">
            <v>800000</v>
          </cell>
        </row>
        <row r="333">
          <cell r="F333">
            <v>384997</v>
          </cell>
        </row>
        <row r="334">
          <cell r="F334">
            <v>2000000</v>
          </cell>
        </row>
        <row r="335">
          <cell r="F335">
            <v>800000</v>
          </cell>
        </row>
        <row r="359">
          <cell r="F359">
            <v>6207000</v>
          </cell>
        </row>
        <row r="366">
          <cell r="F366">
            <v>2531420</v>
          </cell>
        </row>
        <row r="367">
          <cell r="F367">
            <v>24000</v>
          </cell>
        </row>
        <row r="368">
          <cell r="F368">
            <v>12000</v>
          </cell>
        </row>
        <row r="370">
          <cell r="F370">
            <v>513484</v>
          </cell>
        </row>
        <row r="374">
          <cell r="F374">
            <v>50000</v>
          </cell>
        </row>
        <row r="375">
          <cell r="F375">
            <v>11161854</v>
          </cell>
        </row>
        <row r="376">
          <cell r="F376">
            <v>23000</v>
          </cell>
        </row>
        <row r="377">
          <cell r="F377">
            <v>50000</v>
          </cell>
        </row>
        <row r="378">
          <cell r="F378">
            <v>3035301</v>
          </cell>
        </row>
        <row r="380">
          <cell r="F380">
            <v>0</v>
          </cell>
        </row>
        <row r="381">
          <cell r="F381">
            <v>0</v>
          </cell>
        </row>
        <row r="382">
          <cell r="F382">
            <v>0</v>
          </cell>
        </row>
        <row r="383">
          <cell r="F383">
            <v>0</v>
          </cell>
        </row>
        <row r="388">
          <cell r="F388">
            <v>6756000</v>
          </cell>
        </row>
        <row r="389">
          <cell r="F389">
            <v>-6756000</v>
          </cell>
        </row>
        <row r="394">
          <cell r="F394">
            <v>1200000</v>
          </cell>
        </row>
        <row r="395">
          <cell r="F395">
            <v>324000</v>
          </cell>
        </row>
        <row r="400">
          <cell r="F400">
            <v>103500</v>
          </cell>
        </row>
        <row r="405">
          <cell r="F405">
            <v>27559</v>
          </cell>
        </row>
        <row r="406">
          <cell r="F406">
            <v>7440.93</v>
          </cell>
        </row>
        <row r="411">
          <cell r="F411">
            <v>150000</v>
          </cell>
        </row>
        <row r="412">
          <cell r="F412">
            <v>26250</v>
          </cell>
        </row>
        <row r="413">
          <cell r="F413">
            <v>25500</v>
          </cell>
        </row>
        <row r="414">
          <cell r="F414">
            <v>0</v>
          </cell>
        </row>
        <row r="419">
          <cell r="F419">
            <v>1246000</v>
          </cell>
        </row>
        <row r="420">
          <cell r="F420">
            <v>1512000</v>
          </cell>
        </row>
        <row r="421">
          <cell r="F421">
            <v>500000</v>
          </cell>
        </row>
        <row r="422">
          <cell r="F422">
            <v>900000</v>
          </cell>
        </row>
        <row r="423">
          <cell r="F423">
            <v>500000</v>
          </cell>
        </row>
        <row r="424">
          <cell r="F424">
            <v>5017000</v>
          </cell>
        </row>
        <row r="426">
          <cell r="F426">
            <v>5190000</v>
          </cell>
        </row>
        <row r="439">
          <cell r="F439">
            <v>520040999.93000001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Műv.Ház 2019.)"/>
      <sheetName val="Bevételek(Műv.Ház 2019)"/>
      <sheetName val="Bevételek COFOG"/>
      <sheetName val="Kiadások(Műv.Ház 2019)"/>
      <sheetName val="Kiadások COFOG szerint"/>
    </sheetNames>
    <sheetDataSet>
      <sheetData sheetId="0"/>
      <sheetData sheetId="1"/>
      <sheetData sheetId="2">
        <row r="9">
          <cell r="G9">
            <v>103089</v>
          </cell>
        </row>
        <row r="10">
          <cell r="G10">
            <v>13566400</v>
          </cell>
        </row>
        <row r="11">
          <cell r="G11">
            <v>3017740</v>
          </cell>
        </row>
        <row r="12">
          <cell r="G12">
            <v>10548660</v>
          </cell>
        </row>
        <row r="17">
          <cell r="G17">
            <v>97400</v>
          </cell>
        </row>
        <row r="18">
          <cell r="G18">
            <v>1511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19.)"/>
      <sheetName val="Bevételek(Óvoda 2019)"/>
      <sheetName val="Bevételek COFOG"/>
      <sheetName val="Kiadások(Óvoda 2019)"/>
      <sheetName val="Kiadások COFOG szerint"/>
    </sheetNames>
    <sheetDataSet>
      <sheetData sheetId="0"/>
      <sheetData sheetId="1"/>
      <sheetData sheetId="2">
        <row r="9">
          <cell r="G9">
            <v>298687</v>
          </cell>
        </row>
        <row r="11">
          <cell r="G11">
            <v>57834478</v>
          </cell>
        </row>
        <row r="12">
          <cell r="G12">
            <v>5577823</v>
          </cell>
        </row>
        <row r="18">
          <cell r="G18">
            <v>28000</v>
          </cell>
        </row>
        <row r="19">
          <cell r="G19">
            <v>1370012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6653-BE5C-4C51-ACD9-8C7D53F38AE2}">
  <dimension ref="A1:L160"/>
  <sheetViews>
    <sheetView tabSelected="1" workbookViewId="0">
      <selection activeCell="B64" sqref="B64"/>
    </sheetView>
  </sheetViews>
  <sheetFormatPr defaultRowHeight="12.75" x14ac:dyDescent="0.2"/>
  <cols>
    <col min="1" max="1" width="9.7109375" customWidth="1"/>
    <col min="2" max="2" width="42.28515625" customWidth="1"/>
    <col min="3" max="3" width="17.7109375" customWidth="1"/>
    <col min="4" max="5" width="16.7109375" customWidth="1"/>
    <col min="6" max="6" width="13" customWidth="1"/>
    <col min="7" max="7" width="16.7109375" style="776" customWidth="1"/>
    <col min="8" max="8" width="8.42578125" customWidth="1"/>
    <col min="9" max="9" width="8.42578125" style="157" customWidth="1"/>
    <col min="10" max="10" width="13.85546875" style="157" customWidth="1"/>
    <col min="11" max="11" width="12.140625" customWidth="1"/>
    <col min="12" max="1025" width="8.42578125" customWidth="1"/>
  </cols>
  <sheetData>
    <row r="1" spans="1:11" x14ac:dyDescent="0.2">
      <c r="G1" s="256" t="s">
        <v>394</v>
      </c>
    </row>
    <row r="2" spans="1:11" ht="15.75" x14ac:dyDescent="0.25">
      <c r="A2" s="949" t="s">
        <v>766</v>
      </c>
      <c r="B2" s="949"/>
      <c r="C2" s="949"/>
      <c r="D2" s="949"/>
      <c r="E2" s="949"/>
      <c r="F2" s="949"/>
      <c r="G2" s="949"/>
    </row>
    <row r="3" spans="1:11" ht="15.75" x14ac:dyDescent="0.25">
      <c r="A3" s="949" t="s">
        <v>243</v>
      </c>
      <c r="B3" s="949"/>
      <c r="C3" s="949"/>
      <c r="D3" s="949"/>
      <c r="E3" s="949"/>
      <c r="F3" s="949"/>
      <c r="G3" s="949"/>
    </row>
    <row r="4" spans="1:11" ht="20.25" customHeight="1" thickBot="1" x14ac:dyDescent="0.25">
      <c r="G4" s="741" t="s">
        <v>395</v>
      </c>
    </row>
    <row r="5" spans="1:11" ht="19.5" customHeight="1" thickBot="1" x14ac:dyDescent="0.25">
      <c r="A5" s="950" t="s">
        <v>396</v>
      </c>
      <c r="B5" s="950"/>
      <c r="C5" s="950"/>
      <c r="D5" s="950"/>
      <c r="E5" s="950"/>
      <c r="F5" s="950"/>
      <c r="G5" s="950"/>
    </row>
    <row r="6" spans="1:11" s="159" customFormat="1" ht="19.5" customHeight="1" thickBot="1" x14ac:dyDescent="0.25">
      <c r="A6" s="158"/>
      <c r="B6" s="158"/>
      <c r="C6" s="158"/>
      <c r="D6" s="158"/>
      <c r="E6" s="158"/>
      <c r="F6" s="158"/>
      <c r="G6" s="158"/>
      <c r="I6" s="160"/>
      <c r="J6" s="160"/>
    </row>
    <row r="7" spans="1:11" ht="24.75" customHeight="1" thickBot="1" x14ac:dyDescent="0.25">
      <c r="A7" s="951" t="s">
        <v>397</v>
      </c>
      <c r="B7" s="951"/>
      <c r="C7" s="951"/>
      <c r="D7" s="951"/>
      <c r="E7" s="951"/>
      <c r="F7" s="951"/>
      <c r="G7" s="951"/>
    </row>
    <row r="8" spans="1:11" ht="15.75" customHeight="1" thickBot="1" x14ac:dyDescent="0.25">
      <c r="A8" s="942" t="s">
        <v>398</v>
      </c>
      <c r="B8" s="943" t="s">
        <v>399</v>
      </c>
      <c r="C8" s="944">
        <v>2019</v>
      </c>
      <c r="D8" s="945"/>
      <c r="E8" s="945"/>
      <c r="F8" s="946"/>
      <c r="G8" s="947" t="s">
        <v>767</v>
      </c>
    </row>
    <row r="9" spans="1:11" ht="24.75" customHeight="1" thickBot="1" x14ac:dyDescent="0.25">
      <c r="A9" s="942"/>
      <c r="B9" s="943"/>
      <c r="C9" s="161" t="s">
        <v>401</v>
      </c>
      <c r="D9" s="161" t="s">
        <v>400</v>
      </c>
      <c r="E9" s="161" t="s">
        <v>402</v>
      </c>
      <c r="F9" s="161" t="s">
        <v>403</v>
      </c>
      <c r="G9" s="947"/>
    </row>
    <row r="10" spans="1:11" ht="24.75" customHeight="1" x14ac:dyDescent="0.2">
      <c r="A10" s="162" t="s">
        <v>404</v>
      </c>
      <c r="B10" s="163" t="s">
        <v>405</v>
      </c>
      <c r="C10" s="742">
        <v>0</v>
      </c>
      <c r="D10" s="164">
        <v>0</v>
      </c>
      <c r="E10" s="165">
        <f>G10-D10</f>
        <v>0</v>
      </c>
      <c r="F10" s="166"/>
      <c r="G10" s="167">
        <v>0</v>
      </c>
    </row>
    <row r="11" spans="1:11" ht="34.5" customHeight="1" x14ac:dyDescent="0.2">
      <c r="A11" s="173" t="s">
        <v>406</v>
      </c>
      <c r="B11" s="168" t="s">
        <v>407</v>
      </c>
      <c r="C11" s="290">
        <v>0</v>
      </c>
      <c r="D11" s="169">
        <v>273099</v>
      </c>
      <c r="E11" s="165">
        <f t="shared" ref="E11:E24" si="0">G11-D11</f>
        <v>0</v>
      </c>
      <c r="F11" s="166">
        <f t="shared" ref="F11:F33" si="1">G11/D11*100</f>
        <v>100</v>
      </c>
      <c r="G11" s="170">
        <v>273099</v>
      </c>
      <c r="I11" s="157" t="s">
        <v>408</v>
      </c>
    </row>
    <row r="12" spans="1:11" ht="22.5" customHeight="1" x14ac:dyDescent="0.2">
      <c r="A12" s="173" t="s">
        <v>409</v>
      </c>
      <c r="B12" s="168" t="s">
        <v>345</v>
      </c>
      <c r="C12" s="290">
        <v>0</v>
      </c>
      <c r="D12" s="169">
        <v>0</v>
      </c>
      <c r="E12" s="165">
        <f t="shared" si="0"/>
        <v>0</v>
      </c>
      <c r="F12" s="166"/>
      <c r="G12" s="170">
        <v>0</v>
      </c>
    </row>
    <row r="13" spans="1:11" ht="33.75" customHeight="1" x14ac:dyDescent="0.2">
      <c r="A13" s="173" t="s">
        <v>410</v>
      </c>
      <c r="B13" s="168" t="s">
        <v>411</v>
      </c>
      <c r="C13" s="290">
        <v>0</v>
      </c>
      <c r="D13" s="169">
        <v>0</v>
      </c>
      <c r="E13" s="165">
        <f t="shared" si="0"/>
        <v>0</v>
      </c>
      <c r="F13" s="166"/>
      <c r="G13" s="170">
        <v>0</v>
      </c>
      <c r="I13" s="160"/>
      <c r="J13" s="160"/>
      <c r="K13" s="171"/>
    </row>
    <row r="14" spans="1:11" ht="12.75" customHeight="1" x14ac:dyDescent="0.2">
      <c r="A14" s="173" t="s">
        <v>412</v>
      </c>
      <c r="B14" s="168" t="s">
        <v>413</v>
      </c>
      <c r="C14" s="290">
        <v>0</v>
      </c>
      <c r="D14" s="169">
        <v>0</v>
      </c>
      <c r="E14" s="165">
        <f t="shared" si="0"/>
        <v>0</v>
      </c>
      <c r="F14" s="166"/>
      <c r="G14" s="170">
        <v>0</v>
      </c>
    </row>
    <row r="15" spans="1:11" ht="12.75" customHeight="1" x14ac:dyDescent="0.2">
      <c r="A15" s="173" t="s">
        <v>414</v>
      </c>
      <c r="B15" s="168" t="s">
        <v>218</v>
      </c>
      <c r="C15" s="290">
        <v>350000</v>
      </c>
      <c r="D15" s="169">
        <v>350000</v>
      </c>
      <c r="E15" s="165">
        <f t="shared" si="0"/>
        <v>0</v>
      </c>
      <c r="F15" s="166">
        <f t="shared" ref="F15:F25" si="2">G15/D15*100</f>
        <v>100</v>
      </c>
      <c r="G15" s="170">
        <v>350000</v>
      </c>
    </row>
    <row r="16" spans="1:11" ht="12.75" customHeight="1" x14ac:dyDescent="0.2">
      <c r="A16" s="172" t="s">
        <v>415</v>
      </c>
      <c r="B16" s="168" t="s">
        <v>353</v>
      </c>
      <c r="C16" s="290">
        <v>300000</v>
      </c>
      <c r="D16" s="169">
        <v>300000</v>
      </c>
      <c r="E16" s="165">
        <f t="shared" si="0"/>
        <v>0</v>
      </c>
      <c r="F16" s="166">
        <f t="shared" si="1"/>
        <v>100</v>
      </c>
      <c r="G16" s="170">
        <v>300000</v>
      </c>
      <c r="I16" s="157" t="s">
        <v>416</v>
      </c>
    </row>
    <row r="17" spans="1:12" ht="12.75" customHeight="1" x14ac:dyDescent="0.2">
      <c r="A17" s="952" t="s">
        <v>417</v>
      </c>
      <c r="B17" s="168" t="s">
        <v>354</v>
      </c>
      <c r="C17" s="290">
        <v>38000000</v>
      </c>
      <c r="D17" s="169">
        <v>38000000</v>
      </c>
      <c r="E17" s="165">
        <f t="shared" si="0"/>
        <v>0</v>
      </c>
      <c r="F17" s="166">
        <f t="shared" si="1"/>
        <v>100</v>
      </c>
      <c r="G17" s="170">
        <v>38000000</v>
      </c>
      <c r="I17" s="157" t="s">
        <v>768</v>
      </c>
      <c r="K17" t="s">
        <v>418</v>
      </c>
    </row>
    <row r="18" spans="1:12" ht="12.75" customHeight="1" x14ac:dyDescent="0.2">
      <c r="A18" s="952"/>
      <c r="B18" s="174" t="s">
        <v>419</v>
      </c>
      <c r="C18" s="743"/>
      <c r="D18" s="169"/>
      <c r="E18" s="165">
        <f t="shared" si="0"/>
        <v>0</v>
      </c>
      <c r="F18" s="166"/>
      <c r="G18" s="170"/>
    </row>
    <row r="19" spans="1:12" ht="12.75" customHeight="1" x14ac:dyDescent="0.2">
      <c r="A19" s="173" t="s">
        <v>420</v>
      </c>
      <c r="B19" s="168" t="s">
        <v>356</v>
      </c>
      <c r="C19" s="290">
        <v>0</v>
      </c>
      <c r="D19" s="169">
        <v>0</v>
      </c>
      <c r="E19" s="165">
        <f t="shared" si="0"/>
        <v>0</v>
      </c>
      <c r="F19" s="166"/>
      <c r="G19" s="170">
        <v>0</v>
      </c>
    </row>
    <row r="20" spans="1:12" ht="12.75" customHeight="1" x14ac:dyDescent="0.2">
      <c r="A20" s="173" t="s">
        <v>421</v>
      </c>
      <c r="B20" s="168" t="s">
        <v>357</v>
      </c>
      <c r="C20" s="290">
        <v>500000</v>
      </c>
      <c r="D20" s="169">
        <v>500000</v>
      </c>
      <c r="E20" s="165">
        <f t="shared" si="0"/>
        <v>0</v>
      </c>
      <c r="F20" s="166">
        <f t="shared" si="2"/>
        <v>100</v>
      </c>
      <c r="G20" s="170">
        <v>500000</v>
      </c>
      <c r="H20" s="157"/>
    </row>
    <row r="21" spans="1:12" ht="12.75" customHeight="1" x14ac:dyDescent="0.2">
      <c r="A21" s="173" t="s">
        <v>422</v>
      </c>
      <c r="B21" s="168" t="s">
        <v>358</v>
      </c>
      <c r="C21" s="290">
        <v>200000</v>
      </c>
      <c r="D21" s="169">
        <v>200000</v>
      </c>
      <c r="E21" s="165">
        <f t="shared" si="0"/>
        <v>0</v>
      </c>
      <c r="F21" s="166">
        <f t="shared" si="1"/>
        <v>100</v>
      </c>
      <c r="G21" s="170">
        <v>200000</v>
      </c>
    </row>
    <row r="22" spans="1:12" ht="12.75" customHeight="1" x14ac:dyDescent="0.2">
      <c r="A22" s="173" t="s">
        <v>423</v>
      </c>
      <c r="B22" s="168" t="s">
        <v>424</v>
      </c>
      <c r="C22" s="290">
        <v>0</v>
      </c>
      <c r="D22" s="169">
        <v>3000</v>
      </c>
      <c r="E22" s="165">
        <f t="shared" si="0"/>
        <v>0</v>
      </c>
      <c r="F22" s="166">
        <f t="shared" si="1"/>
        <v>100</v>
      </c>
      <c r="G22" s="170">
        <v>3000</v>
      </c>
    </row>
    <row r="23" spans="1:12" ht="12.75" customHeight="1" x14ac:dyDescent="0.2">
      <c r="A23" s="175" t="s">
        <v>423</v>
      </c>
      <c r="B23" s="168" t="s">
        <v>425</v>
      </c>
      <c r="C23" s="290">
        <v>0</v>
      </c>
      <c r="D23" s="169">
        <v>0</v>
      </c>
      <c r="E23" s="165">
        <f t="shared" si="0"/>
        <v>0</v>
      </c>
      <c r="F23" s="166"/>
      <c r="G23" s="170">
        <v>0</v>
      </c>
    </row>
    <row r="24" spans="1:12" ht="12.75" customHeight="1" x14ac:dyDescent="0.2">
      <c r="A24" s="176" t="s">
        <v>426</v>
      </c>
      <c r="B24" s="177" t="s">
        <v>427</v>
      </c>
      <c r="C24" s="744">
        <v>26000000</v>
      </c>
      <c r="D24" s="178">
        <v>53827200</v>
      </c>
      <c r="E24" s="165">
        <f t="shared" si="0"/>
        <v>0</v>
      </c>
      <c r="F24" s="166">
        <f t="shared" si="1"/>
        <v>100</v>
      </c>
      <c r="G24" s="179">
        <f>G25+G27+G26+G28+G29</f>
        <v>53827200</v>
      </c>
      <c r="K24" s="180"/>
      <c r="L24" s="157"/>
    </row>
    <row r="25" spans="1:12" ht="12.75" customHeight="1" x14ac:dyDescent="0.2">
      <c r="A25" s="181"/>
      <c r="B25" s="182" t="s">
        <v>428</v>
      </c>
      <c r="C25" s="745"/>
      <c r="D25" s="746">
        <v>5221200</v>
      </c>
      <c r="E25" s="165"/>
      <c r="F25" s="166">
        <f t="shared" si="2"/>
        <v>100</v>
      </c>
      <c r="G25" s="183">
        <v>5221200</v>
      </c>
      <c r="I25" s="157" t="s">
        <v>429</v>
      </c>
      <c r="K25" s="180"/>
      <c r="L25" s="157"/>
    </row>
    <row r="26" spans="1:12" ht="12.75" customHeight="1" x14ac:dyDescent="0.2">
      <c r="A26" s="181"/>
      <c r="B26" s="182" t="s">
        <v>430</v>
      </c>
      <c r="C26" s="745"/>
      <c r="D26" s="746">
        <v>606000</v>
      </c>
      <c r="E26" s="165"/>
      <c r="F26" s="166">
        <f t="shared" si="1"/>
        <v>100</v>
      </c>
      <c r="G26" s="183">
        <v>606000</v>
      </c>
      <c r="I26" s="157" t="s">
        <v>431</v>
      </c>
      <c r="K26" s="180"/>
      <c r="L26" s="157"/>
    </row>
    <row r="27" spans="1:12" ht="12.75" customHeight="1" x14ac:dyDescent="0.2">
      <c r="A27" s="181"/>
      <c r="B27" s="182" t="s">
        <v>432</v>
      </c>
      <c r="C27" s="745"/>
      <c r="D27" s="746">
        <v>35000000</v>
      </c>
      <c r="E27" s="165"/>
      <c r="F27" s="166">
        <f t="shared" si="1"/>
        <v>100</v>
      </c>
      <c r="G27" s="183">
        <v>35000000</v>
      </c>
      <c r="K27" s="180"/>
      <c r="L27" s="157"/>
    </row>
    <row r="28" spans="1:12" ht="12.75" customHeight="1" x14ac:dyDescent="0.2">
      <c r="A28" s="181"/>
      <c r="B28" s="182" t="s">
        <v>433</v>
      </c>
      <c r="C28" s="745"/>
      <c r="D28" s="746">
        <v>11000000</v>
      </c>
      <c r="E28" s="165"/>
      <c r="F28" s="166">
        <f t="shared" si="1"/>
        <v>100</v>
      </c>
      <c r="G28" s="183">
        <v>11000000</v>
      </c>
      <c r="K28" s="180"/>
      <c r="L28" s="157"/>
    </row>
    <row r="29" spans="1:12" ht="12.75" customHeight="1" x14ac:dyDescent="0.2">
      <c r="A29" s="181"/>
      <c r="B29" s="182" t="s">
        <v>434</v>
      </c>
      <c r="C29" s="745"/>
      <c r="D29" s="746">
        <v>2000000</v>
      </c>
      <c r="E29" s="165"/>
      <c r="F29" s="166">
        <f t="shared" si="1"/>
        <v>100</v>
      </c>
      <c r="G29" s="183">
        <v>2000000</v>
      </c>
      <c r="K29" s="180"/>
      <c r="L29" s="157"/>
    </row>
    <row r="30" spans="1:12" ht="12.75" customHeight="1" x14ac:dyDescent="0.2">
      <c r="A30" s="184"/>
      <c r="B30" s="182"/>
      <c r="C30" s="745"/>
      <c r="D30" s="169"/>
      <c r="E30" s="165"/>
      <c r="F30" s="166"/>
      <c r="G30" s="183"/>
      <c r="K30" s="180"/>
      <c r="L30" s="157"/>
    </row>
    <row r="31" spans="1:12" ht="26.25" customHeight="1" x14ac:dyDescent="0.2">
      <c r="A31" s="184" t="s">
        <v>435</v>
      </c>
      <c r="B31" s="168" t="s">
        <v>436</v>
      </c>
      <c r="C31" s="290">
        <v>0</v>
      </c>
      <c r="D31" s="169">
        <v>277000</v>
      </c>
      <c r="E31" s="165">
        <f>G31-D31</f>
        <v>0</v>
      </c>
      <c r="F31" s="166">
        <f t="shared" si="1"/>
        <v>100</v>
      </c>
      <c r="G31" s="170">
        <v>277000</v>
      </c>
      <c r="I31" s="157" t="s">
        <v>437</v>
      </c>
      <c r="K31" s="180"/>
    </row>
    <row r="32" spans="1:12" ht="20.25" customHeight="1" x14ac:dyDescent="0.2">
      <c r="A32" s="173" t="s">
        <v>438</v>
      </c>
      <c r="B32" s="168" t="s">
        <v>439</v>
      </c>
      <c r="C32" s="290"/>
      <c r="D32" s="169"/>
      <c r="E32" s="165">
        <f t="shared" ref="E32:E33" si="3">G32-D32</f>
        <v>0</v>
      </c>
      <c r="F32" s="166"/>
      <c r="G32" s="170"/>
    </row>
    <row r="33" spans="1:9" ht="23.25" customHeight="1" thickBot="1" x14ac:dyDescent="0.25">
      <c r="A33" s="175" t="s">
        <v>440</v>
      </c>
      <c r="B33" s="185" t="s">
        <v>441</v>
      </c>
      <c r="C33" s="747">
        <v>220000</v>
      </c>
      <c r="D33" s="186">
        <v>220000</v>
      </c>
      <c r="E33" s="165">
        <f t="shared" si="3"/>
        <v>0</v>
      </c>
      <c r="F33" s="166">
        <f t="shared" si="1"/>
        <v>100</v>
      </c>
      <c r="G33" s="187">
        <v>220000</v>
      </c>
      <c r="H33" s="159"/>
      <c r="I33" s="157" t="s">
        <v>442</v>
      </c>
    </row>
    <row r="34" spans="1:9" ht="19.5" customHeight="1" thickBot="1" x14ac:dyDescent="0.25">
      <c r="A34" s="939" t="s">
        <v>443</v>
      </c>
      <c r="B34" s="939"/>
      <c r="C34" s="188">
        <f>SUM(C10:C33)</f>
        <v>65570000</v>
      </c>
      <c r="D34" s="188">
        <v>93950299</v>
      </c>
      <c r="E34" s="188">
        <f>SUM(E10:E33)</f>
        <v>0</v>
      </c>
      <c r="F34" s="189">
        <f>G34/D34*100</f>
        <v>100</v>
      </c>
      <c r="G34" s="748">
        <f>G11+G15+G16+G17+G19+G20+G21+G22+G24+G31+G33</f>
        <v>93950299</v>
      </c>
    </row>
    <row r="35" spans="1:9" ht="24" customHeight="1" thickBot="1" x14ac:dyDescent="0.25">
      <c r="A35" s="953" t="s">
        <v>444</v>
      </c>
      <c r="B35" s="953"/>
      <c r="C35" s="953"/>
      <c r="D35" s="953"/>
      <c r="E35" s="953"/>
      <c r="F35" s="953"/>
      <c r="G35" s="953"/>
    </row>
    <row r="36" spans="1:9" ht="17.25" customHeight="1" thickBot="1" x14ac:dyDescent="0.25">
      <c r="A36" s="942" t="s">
        <v>398</v>
      </c>
      <c r="B36" s="943" t="s">
        <v>399</v>
      </c>
      <c r="C36" s="944">
        <v>2019</v>
      </c>
      <c r="D36" s="945"/>
      <c r="E36" s="945"/>
      <c r="F36" s="946"/>
      <c r="G36" s="947" t="s">
        <v>767</v>
      </c>
    </row>
    <row r="37" spans="1:9" ht="26.25" customHeight="1" thickBot="1" x14ac:dyDescent="0.25">
      <c r="A37" s="942"/>
      <c r="B37" s="943"/>
      <c r="C37" s="161" t="s">
        <v>401</v>
      </c>
      <c r="D37" s="161" t="s">
        <v>400</v>
      </c>
      <c r="E37" s="161" t="s">
        <v>402</v>
      </c>
      <c r="F37" s="161" t="s">
        <v>403</v>
      </c>
      <c r="G37" s="947"/>
    </row>
    <row r="38" spans="1:9" ht="16.5" customHeight="1" x14ac:dyDescent="0.2">
      <c r="A38" s="190" t="s">
        <v>417</v>
      </c>
      <c r="B38" s="191" t="s">
        <v>354</v>
      </c>
      <c r="C38" s="191">
        <v>1880000</v>
      </c>
      <c r="D38" s="191">
        <v>1880000</v>
      </c>
      <c r="E38" s="191">
        <f>G38-D38</f>
        <v>0</v>
      </c>
      <c r="F38" s="749">
        <f>G38/D38*100</f>
        <v>100</v>
      </c>
      <c r="G38" s="192">
        <v>1880000</v>
      </c>
    </row>
    <row r="39" spans="1:9" ht="16.5" customHeight="1" thickBot="1" x14ac:dyDescent="0.25">
      <c r="A39" s="193" t="s">
        <v>423</v>
      </c>
      <c r="B39" s="194" t="s">
        <v>425</v>
      </c>
      <c r="C39" s="194">
        <v>1440000</v>
      </c>
      <c r="D39" s="195">
        <v>1440000</v>
      </c>
      <c r="E39" s="263">
        <f>G39-D39</f>
        <v>0</v>
      </c>
      <c r="F39" s="264">
        <f>G39/D39*100</f>
        <v>100</v>
      </c>
      <c r="G39" s="197">
        <v>1440000</v>
      </c>
    </row>
    <row r="40" spans="1:9" ht="18" customHeight="1" thickBot="1" x14ac:dyDescent="0.25">
      <c r="A40" s="954" t="s">
        <v>443</v>
      </c>
      <c r="B40" s="954"/>
      <c r="C40" s="188">
        <f>C38+C39</f>
        <v>3320000</v>
      </c>
      <c r="D40" s="188">
        <v>3320000</v>
      </c>
      <c r="E40" s="188">
        <f>E38</f>
        <v>0</v>
      </c>
      <c r="F40" s="189">
        <f>F38</f>
        <v>100</v>
      </c>
      <c r="G40" s="748">
        <f>SUM(G38:G39)</f>
        <v>3320000</v>
      </c>
    </row>
    <row r="41" spans="1:9" ht="24" customHeight="1" thickBot="1" x14ac:dyDescent="0.25">
      <c r="A41" s="953" t="s">
        <v>445</v>
      </c>
      <c r="B41" s="953"/>
      <c r="C41" s="953"/>
      <c r="D41" s="953"/>
      <c r="E41" s="953"/>
      <c r="F41" s="953"/>
      <c r="G41" s="953"/>
    </row>
    <row r="42" spans="1:9" ht="15.75" customHeight="1" thickBot="1" x14ac:dyDescent="0.25">
      <c r="A42" s="942" t="s">
        <v>398</v>
      </c>
      <c r="B42" s="943" t="s">
        <v>399</v>
      </c>
      <c r="C42" s="944">
        <v>2019</v>
      </c>
      <c r="D42" s="945"/>
      <c r="E42" s="945"/>
      <c r="F42" s="946"/>
      <c r="G42" s="947" t="s">
        <v>767</v>
      </c>
    </row>
    <row r="43" spans="1:9" ht="27.75" customHeight="1" thickBot="1" x14ac:dyDescent="0.25">
      <c r="A43" s="942"/>
      <c r="B43" s="943"/>
      <c r="C43" s="161" t="s">
        <v>401</v>
      </c>
      <c r="D43" s="161" t="s">
        <v>400</v>
      </c>
      <c r="E43" s="161" t="s">
        <v>402</v>
      </c>
      <c r="F43" s="161" t="s">
        <v>403</v>
      </c>
      <c r="G43" s="947"/>
    </row>
    <row r="44" spans="1:9" ht="27" customHeight="1" x14ac:dyDescent="0.2">
      <c r="A44" s="198" t="s">
        <v>446</v>
      </c>
      <c r="B44" s="199" t="s">
        <v>341</v>
      </c>
      <c r="C44" s="750">
        <v>68882406</v>
      </c>
      <c r="D44" s="200">
        <v>70891556</v>
      </c>
      <c r="E44" s="200">
        <f>G44-D44</f>
        <v>0</v>
      </c>
      <c r="F44" s="201">
        <f>G44/D44*100</f>
        <v>100</v>
      </c>
      <c r="G44" s="202">
        <f>SUM(G45:G52)</f>
        <v>70891556</v>
      </c>
    </row>
    <row r="45" spans="1:9" ht="27" customHeight="1" x14ac:dyDescent="0.2">
      <c r="A45" s="203" t="s">
        <v>446</v>
      </c>
      <c r="B45" s="174" t="s">
        <v>447</v>
      </c>
      <c r="C45" s="751">
        <v>57295800</v>
      </c>
      <c r="D45" s="204">
        <v>59188800</v>
      </c>
      <c r="E45" s="205">
        <f>G45-D45</f>
        <v>0</v>
      </c>
      <c r="F45" s="208">
        <f>G45/D45*100</f>
        <v>100</v>
      </c>
      <c r="G45" s="206">
        <f>57295800+1893000</f>
        <v>59188800</v>
      </c>
    </row>
    <row r="46" spans="1:9" ht="27" customHeight="1" x14ac:dyDescent="0.2">
      <c r="A46" s="207" t="s">
        <v>446</v>
      </c>
      <c r="B46" s="174" t="s">
        <v>448</v>
      </c>
      <c r="C46" s="752">
        <v>1446835</v>
      </c>
      <c r="D46" s="205">
        <v>1446835</v>
      </c>
      <c r="E46" s="205">
        <f>G46-D46</f>
        <v>0</v>
      </c>
      <c r="F46" s="208">
        <f>G46/D46*100</f>
        <v>100</v>
      </c>
      <c r="G46" s="209">
        <v>1446835</v>
      </c>
    </row>
    <row r="47" spans="1:9" ht="20.100000000000001" customHeight="1" x14ac:dyDescent="0.2">
      <c r="A47" s="207" t="s">
        <v>446</v>
      </c>
      <c r="B47" s="174" t="s">
        <v>449</v>
      </c>
      <c r="C47" s="752">
        <v>5056000</v>
      </c>
      <c r="D47" s="210">
        <v>5056000</v>
      </c>
      <c r="E47" s="205">
        <f t="shared" ref="E47:E52" si="4">G47-D47</f>
        <v>0</v>
      </c>
      <c r="F47" s="208">
        <f t="shared" ref="F47:F52" si="5">G47/D47*100</f>
        <v>100</v>
      </c>
      <c r="G47" s="209">
        <v>5056000</v>
      </c>
    </row>
    <row r="48" spans="1:9" ht="20.100000000000001" customHeight="1" x14ac:dyDescent="0.2">
      <c r="A48" s="207" t="s">
        <v>446</v>
      </c>
      <c r="B48" s="174" t="s">
        <v>450</v>
      </c>
      <c r="C48" s="752">
        <v>718911</v>
      </c>
      <c r="D48" s="211">
        <v>718911</v>
      </c>
      <c r="E48" s="205">
        <f t="shared" si="4"/>
        <v>0</v>
      </c>
      <c r="F48" s="208">
        <f t="shared" si="5"/>
        <v>100</v>
      </c>
      <c r="G48" s="209">
        <v>718911</v>
      </c>
    </row>
    <row r="49" spans="1:12" ht="20.100000000000001" customHeight="1" x14ac:dyDescent="0.2">
      <c r="A49" s="207" t="s">
        <v>446</v>
      </c>
      <c r="B49" s="174" t="s">
        <v>451</v>
      </c>
      <c r="C49" s="752">
        <v>3252910</v>
      </c>
      <c r="D49" s="211">
        <v>3252910</v>
      </c>
      <c r="E49" s="205">
        <f t="shared" si="4"/>
        <v>0</v>
      </c>
      <c r="F49" s="208">
        <f t="shared" si="5"/>
        <v>100</v>
      </c>
      <c r="G49" s="209">
        <v>3252910</v>
      </c>
    </row>
    <row r="50" spans="1:12" ht="20.100000000000001" customHeight="1" x14ac:dyDescent="0.2">
      <c r="A50" s="207" t="s">
        <v>446</v>
      </c>
      <c r="B50" s="174" t="s">
        <v>452</v>
      </c>
      <c r="C50" s="752">
        <v>139550</v>
      </c>
      <c r="D50" s="212">
        <v>139550</v>
      </c>
      <c r="E50" s="205">
        <f t="shared" si="4"/>
        <v>0</v>
      </c>
      <c r="F50" s="208">
        <f t="shared" si="5"/>
        <v>100</v>
      </c>
      <c r="G50" s="209">
        <v>139550</v>
      </c>
    </row>
    <row r="51" spans="1:12" ht="20.100000000000001" customHeight="1" x14ac:dyDescent="0.2">
      <c r="A51" s="207" t="s">
        <v>446</v>
      </c>
      <c r="B51" s="174" t="s">
        <v>453</v>
      </c>
      <c r="C51" s="752">
        <v>972400</v>
      </c>
      <c r="D51" s="212">
        <v>972400</v>
      </c>
      <c r="E51" s="205">
        <f t="shared" si="4"/>
        <v>0</v>
      </c>
      <c r="F51" s="208">
        <f t="shared" si="5"/>
        <v>100</v>
      </c>
      <c r="G51" s="209">
        <v>972400</v>
      </c>
    </row>
    <row r="52" spans="1:12" ht="20.100000000000001" customHeight="1" x14ac:dyDescent="0.2">
      <c r="A52" s="207"/>
      <c r="B52" s="174" t="s">
        <v>454</v>
      </c>
      <c r="C52" s="752">
        <v>0</v>
      </c>
      <c r="D52" s="212">
        <v>116150</v>
      </c>
      <c r="E52" s="205">
        <f t="shared" si="4"/>
        <v>0</v>
      </c>
      <c r="F52" s="208">
        <f t="shared" si="5"/>
        <v>100</v>
      </c>
      <c r="G52" s="209">
        <v>116150</v>
      </c>
    </row>
    <row r="53" spans="1:12" ht="27" customHeight="1" x14ac:dyDescent="0.2">
      <c r="A53" s="214" t="s">
        <v>455</v>
      </c>
      <c r="B53" s="215" t="s">
        <v>456</v>
      </c>
      <c r="C53" s="753">
        <v>41735600</v>
      </c>
      <c r="D53" s="216">
        <v>42904433</v>
      </c>
      <c r="E53" s="217">
        <f>G53-D53</f>
        <v>0</v>
      </c>
      <c r="F53" s="218">
        <f>G53/D53*100</f>
        <v>100</v>
      </c>
      <c r="G53" s="219">
        <f>42124433+780000</f>
        <v>42904433</v>
      </c>
    </row>
    <row r="54" spans="1:12" ht="27" customHeight="1" x14ac:dyDescent="0.2">
      <c r="A54" s="220" t="s">
        <v>455</v>
      </c>
      <c r="B54" s="221" t="s">
        <v>457</v>
      </c>
      <c r="C54" s="754">
        <v>1689000</v>
      </c>
      <c r="D54" s="217">
        <v>1689000</v>
      </c>
      <c r="E54" s="217">
        <f t="shared" ref="E54:E55" si="6">G54-D54</f>
        <v>0</v>
      </c>
      <c r="F54" s="218">
        <f t="shared" ref="F54:F55" si="7">G54/D54*100</f>
        <v>100</v>
      </c>
      <c r="G54" s="222">
        <v>1689000</v>
      </c>
    </row>
    <row r="55" spans="1:12" ht="34.5" customHeight="1" x14ac:dyDescent="0.2">
      <c r="A55" s="223" t="s">
        <v>458</v>
      </c>
      <c r="B55" s="221" t="s">
        <v>343</v>
      </c>
      <c r="C55" s="754">
        <v>32311987</v>
      </c>
      <c r="D55" s="217">
        <v>33359198</v>
      </c>
      <c r="E55" s="216">
        <f t="shared" si="6"/>
        <v>0</v>
      </c>
      <c r="F55" s="218">
        <f t="shared" si="7"/>
        <v>100</v>
      </c>
      <c r="G55" s="222">
        <f>G56+G57+G58+G59+G60+G61</f>
        <v>33359198</v>
      </c>
    </row>
    <row r="56" spans="1:12" ht="20.100000000000001" customHeight="1" x14ac:dyDescent="0.2">
      <c r="A56" s="207" t="s">
        <v>458</v>
      </c>
      <c r="B56" s="174" t="s">
        <v>459</v>
      </c>
      <c r="C56" s="752">
        <v>8347000</v>
      </c>
      <c r="D56" s="212">
        <v>8347000</v>
      </c>
      <c r="E56" s="212">
        <f>G56-D56</f>
        <v>0</v>
      </c>
      <c r="F56" s="208">
        <f>G56/D56*100</f>
        <v>100</v>
      </c>
      <c r="G56" s="209">
        <v>8347000</v>
      </c>
    </row>
    <row r="57" spans="1:12" ht="24" customHeight="1" x14ac:dyDescent="0.2">
      <c r="A57" s="224" t="s">
        <v>458</v>
      </c>
      <c r="B57" s="174" t="s">
        <v>460</v>
      </c>
      <c r="C57" s="752">
        <v>9025000</v>
      </c>
      <c r="D57" s="205">
        <v>9975000</v>
      </c>
      <c r="E57" s="212">
        <f t="shared" ref="E57:E60" si="8">G57-D57</f>
        <v>0</v>
      </c>
      <c r="F57" s="208">
        <f t="shared" ref="F57:F60" si="9">G57/D57*100</f>
        <v>100</v>
      </c>
      <c r="G57" s="209">
        <f>9025000+950000</f>
        <v>9975000</v>
      </c>
    </row>
    <row r="58" spans="1:12" ht="20.100000000000001" customHeight="1" x14ac:dyDescent="0.2">
      <c r="A58" s="207" t="s">
        <v>458</v>
      </c>
      <c r="B58" s="174" t="s">
        <v>461</v>
      </c>
      <c r="C58" s="752">
        <v>5436841</v>
      </c>
      <c r="D58" s="210">
        <v>5424663</v>
      </c>
      <c r="E58" s="212">
        <f t="shared" si="8"/>
        <v>0</v>
      </c>
      <c r="F58" s="208">
        <f t="shared" si="9"/>
        <v>100</v>
      </c>
      <c r="G58" s="209">
        <v>5424663</v>
      </c>
    </row>
    <row r="59" spans="1:12" ht="20.100000000000001" customHeight="1" x14ac:dyDescent="0.2">
      <c r="A59" s="224" t="s">
        <v>458</v>
      </c>
      <c r="B59" s="174" t="s">
        <v>462</v>
      </c>
      <c r="C59" s="752">
        <v>34146</v>
      </c>
      <c r="D59" s="210">
        <v>0</v>
      </c>
      <c r="E59" s="212">
        <f t="shared" si="8"/>
        <v>0</v>
      </c>
      <c r="F59" s="208"/>
      <c r="G59" s="209">
        <v>0</v>
      </c>
    </row>
    <row r="60" spans="1:12" ht="22.5" customHeight="1" x14ac:dyDescent="0.2">
      <c r="A60" s="203" t="s">
        <v>458</v>
      </c>
      <c r="B60" s="225" t="s">
        <v>463</v>
      </c>
      <c r="C60" s="751">
        <v>9469000</v>
      </c>
      <c r="D60" s="226">
        <v>9469000</v>
      </c>
      <c r="E60" s="204">
        <f t="shared" si="8"/>
        <v>0</v>
      </c>
      <c r="F60" s="208">
        <f t="shared" si="9"/>
        <v>100</v>
      </c>
      <c r="G60" s="206">
        <v>9469000</v>
      </c>
    </row>
    <row r="61" spans="1:12" ht="22.5" customHeight="1" x14ac:dyDescent="0.2">
      <c r="A61" s="203" t="s">
        <v>458</v>
      </c>
      <c r="B61" s="225" t="s">
        <v>464</v>
      </c>
      <c r="C61" s="751">
        <v>0</v>
      </c>
      <c r="D61" s="226">
        <v>143535</v>
      </c>
      <c r="E61" s="204"/>
      <c r="F61" s="208"/>
      <c r="G61" s="206">
        <v>143535</v>
      </c>
    </row>
    <row r="62" spans="1:12" ht="27.75" customHeight="1" x14ac:dyDescent="0.2">
      <c r="A62" s="227" t="s">
        <v>465</v>
      </c>
      <c r="B62" s="199" t="s">
        <v>344</v>
      </c>
      <c r="C62" s="750">
        <v>3017740</v>
      </c>
      <c r="D62" s="200">
        <v>3119740</v>
      </c>
      <c r="E62" s="200">
        <f>G62-D62</f>
        <v>0</v>
      </c>
      <c r="F62" s="201">
        <f>G62/D62*100</f>
        <v>100</v>
      </c>
      <c r="G62" s="202">
        <f>3017740+102000</f>
        <v>3119740</v>
      </c>
      <c r="L62" s="157"/>
    </row>
    <row r="63" spans="1:12" ht="27.75" customHeight="1" x14ac:dyDescent="0.2">
      <c r="A63" s="172" t="s">
        <v>465</v>
      </c>
      <c r="B63" s="168" t="s">
        <v>466</v>
      </c>
      <c r="C63" s="755">
        <v>0</v>
      </c>
      <c r="D63" s="228">
        <v>0</v>
      </c>
      <c r="E63" s="228">
        <f>G63-D63</f>
        <v>0</v>
      </c>
      <c r="F63" s="228"/>
      <c r="G63" s="229">
        <v>0</v>
      </c>
      <c r="L63" s="157"/>
    </row>
    <row r="64" spans="1:12" ht="27.75" customHeight="1" x14ac:dyDescent="0.2">
      <c r="A64" s="193" t="s">
        <v>467</v>
      </c>
      <c r="B64" s="230" t="s">
        <v>468</v>
      </c>
      <c r="C64" s="756">
        <v>0</v>
      </c>
      <c r="D64" s="231">
        <v>9507600</v>
      </c>
      <c r="E64" s="228">
        <f t="shared" ref="E64:E70" si="10">G64-D64</f>
        <v>0</v>
      </c>
      <c r="F64" s="213">
        <f>G64/D64*100</f>
        <v>100</v>
      </c>
      <c r="G64" s="219">
        <v>9507600</v>
      </c>
    </row>
    <row r="65" spans="1:10" ht="26.25" customHeight="1" x14ac:dyDescent="0.2">
      <c r="A65" s="176" t="s">
        <v>467</v>
      </c>
      <c r="B65" s="185" t="s">
        <v>469</v>
      </c>
      <c r="C65" s="757">
        <v>0</v>
      </c>
      <c r="D65" s="232">
        <v>0</v>
      </c>
      <c r="E65" s="228">
        <f t="shared" si="10"/>
        <v>1813560</v>
      </c>
      <c r="F65" s="213"/>
      <c r="G65" s="758">
        <v>1813560</v>
      </c>
    </row>
    <row r="66" spans="1:10" ht="26.25" customHeight="1" x14ac:dyDescent="0.2">
      <c r="A66" s="172" t="s">
        <v>467</v>
      </c>
      <c r="B66" s="185" t="s">
        <v>470</v>
      </c>
      <c r="C66" s="757">
        <v>0</v>
      </c>
      <c r="D66" s="228">
        <v>0</v>
      </c>
      <c r="E66" s="228">
        <f t="shared" si="10"/>
        <v>0</v>
      </c>
      <c r="F66" s="213"/>
      <c r="G66" s="229">
        <v>0</v>
      </c>
    </row>
    <row r="67" spans="1:10" ht="26.25" customHeight="1" x14ac:dyDescent="0.2">
      <c r="A67" s="175" t="s">
        <v>471</v>
      </c>
      <c r="B67" s="185" t="s">
        <v>472</v>
      </c>
      <c r="C67" s="757">
        <v>0</v>
      </c>
      <c r="D67" s="232">
        <v>329091</v>
      </c>
      <c r="E67" s="228">
        <f t="shared" si="10"/>
        <v>0</v>
      </c>
      <c r="F67" s="213">
        <f t="shared" ref="F67:F70" si="11">G67/D67*100</f>
        <v>100</v>
      </c>
      <c r="G67" s="233">
        <v>329091</v>
      </c>
    </row>
    <row r="68" spans="1:10" ht="26.25" customHeight="1" x14ac:dyDescent="0.2">
      <c r="A68" s="175" t="s">
        <v>409</v>
      </c>
      <c r="B68" s="185" t="s">
        <v>473</v>
      </c>
      <c r="C68" s="757">
        <v>0</v>
      </c>
      <c r="D68" s="232">
        <v>1828592</v>
      </c>
      <c r="E68" s="228">
        <f t="shared" si="10"/>
        <v>0</v>
      </c>
      <c r="F68" s="213">
        <f t="shared" si="11"/>
        <v>100</v>
      </c>
      <c r="G68" s="233">
        <v>1828592</v>
      </c>
      <c r="H68" s="234"/>
    </row>
    <row r="69" spans="1:10" ht="26.25" customHeight="1" x14ac:dyDescent="0.2">
      <c r="A69" s="175" t="s">
        <v>474</v>
      </c>
      <c r="B69" s="185" t="s">
        <v>475</v>
      </c>
      <c r="C69" s="757">
        <v>0</v>
      </c>
      <c r="D69" s="232">
        <v>0</v>
      </c>
      <c r="E69" s="228">
        <f t="shared" si="10"/>
        <v>0</v>
      </c>
      <c r="F69" s="213"/>
      <c r="G69" s="233">
        <v>0</v>
      </c>
    </row>
    <row r="70" spans="1:10" ht="26.25" customHeight="1" thickBot="1" x14ac:dyDescent="0.25">
      <c r="A70" s="759" t="s">
        <v>476</v>
      </c>
      <c r="B70" s="235" t="s">
        <v>477</v>
      </c>
      <c r="C70" s="760">
        <v>0</v>
      </c>
      <c r="D70" s="761">
        <v>684633</v>
      </c>
      <c r="E70" s="228">
        <f t="shared" si="10"/>
        <v>0</v>
      </c>
      <c r="F70" s="213">
        <f t="shared" si="11"/>
        <v>100</v>
      </c>
      <c r="G70" s="762">
        <v>684633</v>
      </c>
    </row>
    <row r="71" spans="1:10" ht="23.25" customHeight="1" thickBot="1" x14ac:dyDescent="0.25">
      <c r="A71" s="939" t="s">
        <v>443</v>
      </c>
      <c r="B71" s="939"/>
      <c r="C71" s="763">
        <v>147636733</v>
      </c>
      <c r="D71" s="236">
        <v>164313843</v>
      </c>
      <c r="E71" s="236">
        <f>E44+E53+E54+E55+E62+E63+E64+E65+E66+E68++E69+E70</f>
        <v>1813560</v>
      </c>
      <c r="F71" s="237">
        <f>G71/D71*100</f>
        <v>101.10371711043238</v>
      </c>
      <c r="G71" s="764">
        <f>G44+G53+G55+G62+G65+G54+G64+G68+G69+G63+G66+G70+G67</f>
        <v>166127403</v>
      </c>
    </row>
    <row r="72" spans="1:10" ht="23.25" customHeight="1" thickBot="1" x14ac:dyDescent="0.25">
      <c r="A72" s="953" t="s">
        <v>478</v>
      </c>
      <c r="B72" s="953"/>
      <c r="C72" s="953"/>
      <c r="D72" s="953"/>
      <c r="E72" s="953"/>
      <c r="F72" s="953"/>
      <c r="G72" s="953"/>
    </row>
    <row r="73" spans="1:10" ht="17.25" customHeight="1" thickBot="1" x14ac:dyDescent="0.25">
      <c r="A73" s="942" t="s">
        <v>398</v>
      </c>
      <c r="B73" s="943" t="s">
        <v>399</v>
      </c>
      <c r="C73" s="944">
        <v>2019</v>
      </c>
      <c r="D73" s="945"/>
      <c r="E73" s="945"/>
      <c r="F73" s="946"/>
      <c r="G73" s="947" t="s">
        <v>767</v>
      </c>
    </row>
    <row r="74" spans="1:10" ht="27.75" customHeight="1" thickBot="1" x14ac:dyDescent="0.25">
      <c r="A74" s="942"/>
      <c r="B74" s="943"/>
      <c r="C74" s="161" t="s">
        <v>401</v>
      </c>
      <c r="D74" s="161" t="s">
        <v>400</v>
      </c>
      <c r="E74" s="161" t="s">
        <v>402</v>
      </c>
      <c r="F74" s="161" t="s">
        <v>403</v>
      </c>
      <c r="G74" s="947"/>
    </row>
    <row r="75" spans="1:10" ht="23.25" customHeight="1" x14ac:dyDescent="0.2">
      <c r="A75" s="173" t="s">
        <v>467</v>
      </c>
      <c r="B75" s="168" t="s">
        <v>479</v>
      </c>
      <c r="C75" s="168"/>
      <c r="D75" s="238"/>
      <c r="E75" s="238"/>
      <c r="F75" s="238"/>
      <c r="G75" s="239"/>
    </row>
    <row r="76" spans="1:10" ht="24" customHeight="1" thickBot="1" x14ac:dyDescent="0.25">
      <c r="A76" s="176" t="s">
        <v>480</v>
      </c>
      <c r="B76" s="185" t="s">
        <v>481</v>
      </c>
      <c r="C76" s="244">
        <v>111000000</v>
      </c>
      <c r="D76" s="240">
        <v>112562520</v>
      </c>
      <c r="E76" s="240">
        <f>G76-D76</f>
        <v>0</v>
      </c>
      <c r="F76" s="241">
        <f>G76/D76*100</f>
        <v>100</v>
      </c>
      <c r="G76" s="242">
        <v>112562520</v>
      </c>
      <c r="H76" s="159"/>
      <c r="J76" s="243"/>
    </row>
    <row r="77" spans="1:10" ht="18.75" customHeight="1" thickBot="1" x14ac:dyDescent="0.25">
      <c r="A77" s="939" t="s">
        <v>443</v>
      </c>
      <c r="B77" s="939"/>
      <c r="C77" s="188">
        <f>C76</f>
        <v>111000000</v>
      </c>
      <c r="D77" s="188">
        <f>D76</f>
        <v>112562520</v>
      </c>
      <c r="E77" s="188">
        <f>E76</f>
        <v>0</v>
      </c>
      <c r="F77" s="189">
        <f>F76</f>
        <v>100</v>
      </c>
      <c r="G77" s="748">
        <f>SUM(G75:G76)</f>
        <v>112562520</v>
      </c>
    </row>
    <row r="78" spans="1:10" ht="21" customHeight="1" thickBot="1" x14ac:dyDescent="0.25">
      <c r="A78" s="953" t="s">
        <v>482</v>
      </c>
      <c r="B78" s="953"/>
      <c r="C78" s="953"/>
      <c r="D78" s="953"/>
      <c r="E78" s="953"/>
      <c r="F78" s="953"/>
      <c r="G78" s="953"/>
    </row>
    <row r="79" spans="1:10" ht="17.25" customHeight="1" thickBot="1" x14ac:dyDescent="0.25">
      <c r="A79" s="942" t="s">
        <v>398</v>
      </c>
      <c r="B79" s="943" t="s">
        <v>399</v>
      </c>
      <c r="C79" s="944">
        <v>2019</v>
      </c>
      <c r="D79" s="945"/>
      <c r="E79" s="945"/>
      <c r="F79" s="946"/>
      <c r="G79" s="947" t="s">
        <v>767</v>
      </c>
    </row>
    <row r="80" spans="1:10" ht="24.75" customHeight="1" thickBot="1" x14ac:dyDescent="0.25">
      <c r="A80" s="942"/>
      <c r="B80" s="943"/>
      <c r="C80" s="161" t="s">
        <v>401</v>
      </c>
      <c r="D80" s="161" t="s">
        <v>400</v>
      </c>
      <c r="E80" s="161" t="s">
        <v>402</v>
      </c>
      <c r="F80" s="161" t="s">
        <v>403</v>
      </c>
      <c r="G80" s="947"/>
    </row>
    <row r="81" spans="1:12" ht="25.5" customHeight="1" thickBot="1" x14ac:dyDescent="0.25">
      <c r="A81" s="176" t="s">
        <v>409</v>
      </c>
      <c r="B81" s="185" t="s">
        <v>345</v>
      </c>
      <c r="C81" s="244">
        <v>0</v>
      </c>
      <c r="D81" s="244">
        <v>1280000</v>
      </c>
      <c r="E81" s="244">
        <f>G81-D81</f>
        <v>185826</v>
      </c>
      <c r="F81" s="245">
        <f>G81/D81*100</f>
        <v>114.51765625000002</v>
      </c>
      <c r="G81" s="765">
        <f>1466250-424</f>
        <v>1465826</v>
      </c>
      <c r="L81" s="3"/>
    </row>
    <row r="82" spans="1:12" ht="18.75" customHeight="1" thickBot="1" x14ac:dyDescent="0.25">
      <c r="A82" s="955" t="s">
        <v>443</v>
      </c>
      <c r="B82" s="955"/>
      <c r="C82" s="246">
        <f>C81</f>
        <v>0</v>
      </c>
      <c r="D82" s="246">
        <f>D81</f>
        <v>1280000</v>
      </c>
      <c r="E82" s="246">
        <f>SUM(E81)</f>
        <v>185826</v>
      </c>
      <c r="F82" s="247">
        <f>SUM(F81)</f>
        <v>114.51765625000002</v>
      </c>
      <c r="G82" s="766">
        <f>G81</f>
        <v>1465826</v>
      </c>
      <c r="L82" s="3"/>
    </row>
    <row r="83" spans="1:12" ht="18.75" customHeight="1" thickBot="1" x14ac:dyDescent="0.25">
      <c r="A83" s="953" t="s">
        <v>483</v>
      </c>
      <c r="B83" s="953"/>
      <c r="C83" s="953"/>
      <c r="D83" s="953"/>
      <c r="E83" s="953"/>
      <c r="F83" s="953"/>
      <c r="G83" s="953"/>
      <c r="L83" s="3"/>
    </row>
    <row r="84" spans="1:12" ht="18.75" customHeight="1" thickBot="1" x14ac:dyDescent="0.25">
      <c r="A84" s="942" t="s">
        <v>398</v>
      </c>
      <c r="B84" s="943" t="s">
        <v>399</v>
      </c>
      <c r="C84" s="944">
        <v>2019</v>
      </c>
      <c r="D84" s="945"/>
      <c r="E84" s="945"/>
      <c r="F84" s="946"/>
      <c r="G84" s="947" t="s">
        <v>767</v>
      </c>
      <c r="L84" s="3"/>
    </row>
    <row r="85" spans="1:12" ht="18.75" customHeight="1" thickBot="1" x14ac:dyDescent="0.25">
      <c r="A85" s="942"/>
      <c r="B85" s="943"/>
      <c r="C85" s="161" t="s">
        <v>401</v>
      </c>
      <c r="D85" s="161" t="s">
        <v>400</v>
      </c>
      <c r="E85" s="161" t="s">
        <v>402</v>
      </c>
      <c r="F85" s="161" t="s">
        <v>403</v>
      </c>
      <c r="G85" s="947"/>
      <c r="L85" s="3"/>
    </row>
    <row r="86" spans="1:12" ht="24.75" customHeight="1" thickBot="1" x14ac:dyDescent="0.25">
      <c r="A86" s="176" t="s">
        <v>409</v>
      </c>
      <c r="B86" s="185" t="s">
        <v>345</v>
      </c>
      <c r="C86" s="185">
        <v>0</v>
      </c>
      <c r="D86" s="244">
        <v>1220000</v>
      </c>
      <c r="E86" s="244">
        <f>G86-D86</f>
        <v>0</v>
      </c>
      <c r="F86" s="245">
        <f>G86/D86*100</f>
        <v>100</v>
      </c>
      <c r="G86" s="765">
        <v>1220000</v>
      </c>
      <c r="L86" s="3"/>
    </row>
    <row r="87" spans="1:12" ht="18.75" customHeight="1" thickBot="1" x14ac:dyDescent="0.25">
      <c r="A87" s="955" t="s">
        <v>443</v>
      </c>
      <c r="B87" s="955"/>
      <c r="C87" s="246">
        <f>C86</f>
        <v>0</v>
      </c>
      <c r="D87" s="246">
        <f>D86</f>
        <v>1220000</v>
      </c>
      <c r="E87" s="246">
        <f>SUM(E86)</f>
        <v>0</v>
      </c>
      <c r="F87" s="247">
        <f>SUM(F86)</f>
        <v>100</v>
      </c>
      <c r="G87" s="766">
        <f>G86</f>
        <v>1220000</v>
      </c>
      <c r="L87" s="3"/>
    </row>
    <row r="88" spans="1:12" ht="24" customHeight="1" thickBot="1" x14ac:dyDescent="0.25">
      <c r="A88" s="953" t="s">
        <v>484</v>
      </c>
      <c r="B88" s="953"/>
      <c r="C88" s="953"/>
      <c r="D88" s="953"/>
      <c r="E88" s="953"/>
      <c r="F88" s="953"/>
      <c r="G88" s="953"/>
    </row>
    <row r="89" spans="1:12" ht="17.25" customHeight="1" thickBot="1" x14ac:dyDescent="0.25">
      <c r="A89" s="942" t="s">
        <v>398</v>
      </c>
      <c r="B89" s="943" t="s">
        <v>399</v>
      </c>
      <c r="C89" s="944">
        <v>2019</v>
      </c>
      <c r="D89" s="945"/>
      <c r="E89" s="945"/>
      <c r="F89" s="946"/>
      <c r="G89" s="947" t="s">
        <v>767</v>
      </c>
    </row>
    <row r="90" spans="1:12" ht="26.25" customHeight="1" thickBot="1" x14ac:dyDescent="0.25">
      <c r="A90" s="942"/>
      <c r="B90" s="943"/>
      <c r="C90" s="161" t="s">
        <v>401</v>
      </c>
      <c r="D90" s="161" t="s">
        <v>400</v>
      </c>
      <c r="E90" s="161" t="s">
        <v>402</v>
      </c>
      <c r="F90" s="161" t="s">
        <v>403</v>
      </c>
      <c r="G90" s="947"/>
    </row>
    <row r="91" spans="1:12" ht="16.5" customHeight="1" x14ac:dyDescent="0.2">
      <c r="A91" s="173" t="s">
        <v>417</v>
      </c>
      <c r="B91" s="168" t="s">
        <v>354</v>
      </c>
      <c r="C91" s="290">
        <v>7217000</v>
      </c>
      <c r="D91" s="238">
        <v>14407420</v>
      </c>
      <c r="E91" s="238">
        <f>G91-D91</f>
        <v>0</v>
      </c>
      <c r="F91" s="248">
        <f>G91/D91*100</f>
        <v>100</v>
      </c>
      <c r="G91" s="239">
        <v>14407420</v>
      </c>
    </row>
    <row r="92" spans="1:12" ht="18" customHeight="1" thickBot="1" x14ac:dyDescent="0.25">
      <c r="A92" s="176" t="s">
        <v>485</v>
      </c>
      <c r="B92" s="185" t="s">
        <v>356</v>
      </c>
      <c r="C92" s="747">
        <v>0</v>
      </c>
      <c r="D92" s="244">
        <v>3890004</v>
      </c>
      <c r="E92" s="238">
        <f>G92-D92</f>
        <v>0</v>
      </c>
      <c r="F92" s="248">
        <f>G92/D92*100</f>
        <v>100</v>
      </c>
      <c r="G92" s="249">
        <v>3890004</v>
      </c>
    </row>
    <row r="93" spans="1:12" ht="18.75" customHeight="1" thickBot="1" x14ac:dyDescent="0.25">
      <c r="A93" s="955" t="s">
        <v>443</v>
      </c>
      <c r="B93" s="955"/>
      <c r="C93" s="767">
        <v>7217000</v>
      </c>
      <c r="D93" s="246">
        <v>18297424</v>
      </c>
      <c r="E93" s="246">
        <f>SUM(E91:E92)</f>
        <v>0</v>
      </c>
      <c r="F93" s="247">
        <f>G93/D93*100</f>
        <v>100</v>
      </c>
      <c r="G93" s="250">
        <f>SUM(G91:G92)</f>
        <v>18297424</v>
      </c>
    </row>
    <row r="94" spans="1:12" ht="18.75" customHeight="1" thickBot="1" x14ac:dyDescent="0.25">
      <c r="A94" s="956" t="s">
        <v>769</v>
      </c>
      <c r="B94" s="957"/>
      <c r="C94" s="957"/>
      <c r="D94" s="957"/>
      <c r="E94" s="957"/>
      <c r="F94" s="957"/>
      <c r="G94" s="958"/>
    </row>
    <row r="95" spans="1:12" ht="18.75" customHeight="1" thickBot="1" x14ac:dyDescent="0.25">
      <c r="A95" s="942" t="s">
        <v>398</v>
      </c>
      <c r="B95" s="943" t="s">
        <v>399</v>
      </c>
      <c r="C95" s="944">
        <v>2019</v>
      </c>
      <c r="D95" s="945"/>
      <c r="E95" s="945"/>
      <c r="F95" s="946"/>
      <c r="G95" s="947" t="s">
        <v>767</v>
      </c>
    </row>
    <row r="96" spans="1:12" ht="18.75" customHeight="1" thickBot="1" x14ac:dyDescent="0.25">
      <c r="A96" s="942"/>
      <c r="B96" s="943"/>
      <c r="C96" s="161" t="s">
        <v>401</v>
      </c>
      <c r="D96" s="161" t="s">
        <v>400</v>
      </c>
      <c r="E96" s="161" t="s">
        <v>402</v>
      </c>
      <c r="F96" s="161" t="s">
        <v>403</v>
      </c>
      <c r="G96" s="947"/>
    </row>
    <row r="97" spans="1:11" ht="26.25" customHeight="1" thickBot="1" x14ac:dyDescent="0.25">
      <c r="A97" s="175" t="s">
        <v>409</v>
      </c>
      <c r="B97" s="185" t="s">
        <v>691</v>
      </c>
      <c r="C97" s="768">
        <v>0</v>
      </c>
      <c r="D97" s="244">
        <v>0</v>
      </c>
      <c r="E97" s="244">
        <f>G97-D97</f>
        <v>25285270</v>
      </c>
      <c r="F97" s="245"/>
      <c r="G97" s="249">
        <v>25285270</v>
      </c>
    </row>
    <row r="98" spans="1:11" ht="18.75" customHeight="1" thickBot="1" x14ac:dyDescent="0.25">
      <c r="A98" s="939" t="s">
        <v>443</v>
      </c>
      <c r="B98" s="939"/>
      <c r="C98" s="769">
        <v>0</v>
      </c>
      <c r="D98" s="188">
        <v>0</v>
      </c>
      <c r="E98" s="188">
        <f>SUM(E97)</f>
        <v>25285270</v>
      </c>
      <c r="F98" s="189"/>
      <c r="G98" s="748">
        <f>SUM(G97)</f>
        <v>25285270</v>
      </c>
    </row>
    <row r="99" spans="1:11" ht="18.75" customHeight="1" thickBot="1" x14ac:dyDescent="0.25">
      <c r="A99" s="959" t="s">
        <v>486</v>
      </c>
      <c r="B99" s="960"/>
      <c r="C99" s="960"/>
      <c r="D99" s="960"/>
      <c r="E99" s="960"/>
      <c r="F99" s="960"/>
      <c r="G99" s="961"/>
    </row>
    <row r="100" spans="1:11" ht="18.75" customHeight="1" thickBot="1" x14ac:dyDescent="0.25">
      <c r="A100" s="942" t="s">
        <v>398</v>
      </c>
      <c r="B100" s="943" t="s">
        <v>399</v>
      </c>
      <c r="C100" s="944">
        <v>2019</v>
      </c>
      <c r="D100" s="945"/>
      <c r="E100" s="945"/>
      <c r="F100" s="946"/>
      <c r="G100" s="947" t="s">
        <v>767</v>
      </c>
    </row>
    <row r="101" spans="1:11" ht="18.75" customHeight="1" thickBot="1" x14ac:dyDescent="0.25">
      <c r="A101" s="942"/>
      <c r="B101" s="943"/>
      <c r="C101" s="161" t="s">
        <v>401</v>
      </c>
      <c r="D101" s="161" t="s">
        <v>400</v>
      </c>
      <c r="E101" s="161" t="s">
        <v>402</v>
      </c>
      <c r="F101" s="161" t="s">
        <v>403</v>
      </c>
      <c r="G101" s="947"/>
    </row>
    <row r="102" spans="1:11" ht="24.75" customHeight="1" thickBot="1" x14ac:dyDescent="0.25">
      <c r="A102" s="175" t="s">
        <v>409</v>
      </c>
      <c r="B102" s="185" t="s">
        <v>487</v>
      </c>
      <c r="C102" s="768">
        <v>0</v>
      </c>
      <c r="D102" s="244">
        <v>466050</v>
      </c>
      <c r="E102" s="244">
        <f>G102-D102</f>
        <v>240000</v>
      </c>
      <c r="F102" s="245">
        <f>G102/D102*100</f>
        <v>151.49662053427744</v>
      </c>
      <c r="G102" s="249">
        <v>706050</v>
      </c>
    </row>
    <row r="103" spans="1:11" ht="18.75" customHeight="1" thickBot="1" x14ac:dyDescent="0.25">
      <c r="A103" s="939" t="s">
        <v>443</v>
      </c>
      <c r="B103" s="939"/>
      <c r="C103" s="769">
        <v>0</v>
      </c>
      <c r="D103" s="188">
        <v>466050</v>
      </c>
      <c r="E103" s="188">
        <f>SUM(E102)</f>
        <v>240000</v>
      </c>
      <c r="F103" s="189">
        <f>SUM(F102)</f>
        <v>151.49662053427744</v>
      </c>
      <c r="G103" s="748">
        <f>SUM(G102)</f>
        <v>706050</v>
      </c>
    </row>
    <row r="104" spans="1:11" ht="25.5" customHeight="1" thickBot="1" x14ac:dyDescent="0.25">
      <c r="A104" s="959" t="s">
        <v>488</v>
      </c>
      <c r="B104" s="960"/>
      <c r="C104" s="960"/>
      <c r="D104" s="960"/>
      <c r="E104" s="960"/>
      <c r="F104" s="960"/>
      <c r="G104" s="961"/>
    </row>
    <row r="105" spans="1:11" ht="18.75" customHeight="1" thickBot="1" x14ac:dyDescent="0.25">
      <c r="A105" s="942" t="s">
        <v>398</v>
      </c>
      <c r="B105" s="943" t="s">
        <v>399</v>
      </c>
      <c r="C105" s="944">
        <v>2019</v>
      </c>
      <c r="D105" s="945"/>
      <c r="E105" s="945"/>
      <c r="F105" s="946"/>
      <c r="G105" s="947" t="s">
        <v>767</v>
      </c>
    </row>
    <row r="106" spans="1:11" ht="26.25" customHeight="1" thickBot="1" x14ac:dyDescent="0.25">
      <c r="A106" s="942"/>
      <c r="B106" s="943"/>
      <c r="C106" s="161" t="s">
        <v>401</v>
      </c>
      <c r="D106" s="161" t="s">
        <v>400</v>
      </c>
      <c r="E106" s="161" t="s">
        <v>402</v>
      </c>
      <c r="F106" s="161" t="s">
        <v>403</v>
      </c>
      <c r="G106" s="947"/>
    </row>
    <row r="107" spans="1:11" ht="27" customHeight="1" thickBot="1" x14ac:dyDescent="0.25">
      <c r="A107" s="176" t="s">
        <v>409</v>
      </c>
      <c r="B107" s="185" t="s">
        <v>489</v>
      </c>
      <c r="C107" s="747">
        <v>5136000</v>
      </c>
      <c r="D107" s="244">
        <v>5136000</v>
      </c>
      <c r="E107" s="244">
        <f>G107-D107</f>
        <v>153000</v>
      </c>
      <c r="F107" s="245">
        <f>G107/D107*100</f>
        <v>102.97897196261682</v>
      </c>
      <c r="G107" s="249">
        <v>5289000</v>
      </c>
      <c r="K107" s="3"/>
    </row>
    <row r="108" spans="1:11" ht="18" customHeight="1" thickBot="1" x14ac:dyDescent="0.25">
      <c r="A108" s="939" t="s">
        <v>443</v>
      </c>
      <c r="B108" s="939"/>
      <c r="C108" s="770">
        <v>5136000</v>
      </c>
      <c r="D108" s="188">
        <f>D107</f>
        <v>5136000</v>
      </c>
      <c r="E108" s="188">
        <f>SUM(E107)</f>
        <v>153000</v>
      </c>
      <c r="F108" s="189">
        <f>SUM(F107)</f>
        <v>102.97897196261682</v>
      </c>
      <c r="G108" s="748">
        <f>SUM(G107)</f>
        <v>5289000</v>
      </c>
    </row>
    <row r="109" spans="1:11" ht="22.5" customHeight="1" thickBot="1" x14ac:dyDescent="0.25">
      <c r="A109" s="953" t="s">
        <v>490</v>
      </c>
      <c r="B109" s="953"/>
      <c r="C109" s="953"/>
      <c r="D109" s="953"/>
      <c r="E109" s="953"/>
      <c r="F109" s="953"/>
      <c r="G109" s="953"/>
    </row>
    <row r="110" spans="1:11" ht="18" customHeight="1" thickBot="1" x14ac:dyDescent="0.25">
      <c r="A110" s="942" t="s">
        <v>398</v>
      </c>
      <c r="B110" s="943" t="s">
        <v>399</v>
      </c>
      <c r="C110" s="944">
        <v>2019</v>
      </c>
      <c r="D110" s="945"/>
      <c r="E110" s="945"/>
      <c r="F110" s="946"/>
      <c r="G110" s="947" t="s">
        <v>767</v>
      </c>
    </row>
    <row r="111" spans="1:11" ht="26.25" customHeight="1" thickBot="1" x14ac:dyDescent="0.25">
      <c r="A111" s="942"/>
      <c r="B111" s="943"/>
      <c r="C111" s="161" t="s">
        <v>401</v>
      </c>
      <c r="D111" s="161" t="s">
        <v>400</v>
      </c>
      <c r="E111" s="161" t="s">
        <v>402</v>
      </c>
      <c r="F111" s="161" t="s">
        <v>403</v>
      </c>
      <c r="G111" s="947"/>
    </row>
    <row r="112" spans="1:11" ht="32.25" thickBot="1" x14ac:dyDescent="0.25">
      <c r="A112" s="172" t="s">
        <v>491</v>
      </c>
      <c r="B112" s="168" t="s">
        <v>492</v>
      </c>
      <c r="C112" s="771">
        <v>0</v>
      </c>
      <c r="D112" s="238">
        <v>6180000</v>
      </c>
      <c r="E112" s="238">
        <f>G112-D112</f>
        <v>0</v>
      </c>
      <c r="F112" s="248">
        <f>G112/D112*100</f>
        <v>100</v>
      </c>
      <c r="G112" s="239">
        <v>6180000</v>
      </c>
    </row>
    <row r="113" spans="1:7" ht="18.75" customHeight="1" thickBot="1" x14ac:dyDescent="0.25">
      <c r="A113" s="939" t="s">
        <v>443</v>
      </c>
      <c r="B113" s="939"/>
      <c r="C113" s="769">
        <v>0</v>
      </c>
      <c r="D113" s="188">
        <v>6180000</v>
      </c>
      <c r="E113" s="188">
        <f>SUM(E112:E112)</f>
        <v>0</v>
      </c>
      <c r="F113" s="189">
        <f>G113/D113*100</f>
        <v>100</v>
      </c>
      <c r="G113" s="748">
        <f>SUM(G112:G112)</f>
        <v>6180000</v>
      </c>
    </row>
    <row r="114" spans="1:7" ht="24" customHeight="1" thickBot="1" x14ac:dyDescent="0.25">
      <c r="A114" s="948" t="s">
        <v>493</v>
      </c>
      <c r="B114" s="948"/>
      <c r="C114" s="948"/>
      <c r="D114" s="948"/>
      <c r="E114" s="948"/>
      <c r="F114" s="948"/>
      <c r="G114" s="948"/>
    </row>
    <row r="115" spans="1:7" ht="19.5" customHeight="1" thickBot="1" x14ac:dyDescent="0.25">
      <c r="A115" s="942" t="s">
        <v>398</v>
      </c>
      <c r="B115" s="943" t="s">
        <v>399</v>
      </c>
      <c r="C115" s="944">
        <v>2019</v>
      </c>
      <c r="D115" s="945"/>
      <c r="E115" s="945"/>
      <c r="F115" s="946"/>
      <c r="G115" s="947" t="s">
        <v>767</v>
      </c>
    </row>
    <row r="116" spans="1:7" ht="24" customHeight="1" thickBot="1" x14ac:dyDescent="0.25">
      <c r="A116" s="942"/>
      <c r="B116" s="943"/>
      <c r="C116" s="161" t="s">
        <v>401</v>
      </c>
      <c r="D116" s="161" t="s">
        <v>400</v>
      </c>
      <c r="E116" s="161" t="s">
        <v>402</v>
      </c>
      <c r="F116" s="161" t="s">
        <v>403</v>
      </c>
      <c r="G116" s="947"/>
    </row>
    <row r="117" spans="1:7" ht="12.75" customHeight="1" x14ac:dyDescent="0.2">
      <c r="A117" s="173" t="s">
        <v>494</v>
      </c>
      <c r="B117" s="168" t="s">
        <v>355</v>
      </c>
      <c r="C117" s="290">
        <v>4753311</v>
      </c>
      <c r="D117" s="238">
        <v>4186383</v>
      </c>
      <c r="E117" s="238">
        <f>G117-D117</f>
        <v>0</v>
      </c>
      <c r="F117" s="248">
        <f>G117/D117*100</f>
        <v>100</v>
      </c>
      <c r="G117" s="239">
        <v>4186383</v>
      </c>
    </row>
    <row r="118" spans="1:7" ht="12.75" customHeight="1" thickBot="1" x14ac:dyDescent="0.25">
      <c r="A118" s="176" t="s">
        <v>485</v>
      </c>
      <c r="B118" s="185" t="s">
        <v>356</v>
      </c>
      <c r="C118" s="747">
        <v>1283394</v>
      </c>
      <c r="D118" s="244">
        <v>1130322</v>
      </c>
      <c r="E118" s="238">
        <f>G118-D118</f>
        <v>0</v>
      </c>
      <c r="F118" s="248">
        <f>G118/D118*100</f>
        <v>100</v>
      </c>
      <c r="G118" s="249">
        <v>1130322</v>
      </c>
    </row>
    <row r="119" spans="1:7" ht="18" customHeight="1" thickBot="1" x14ac:dyDescent="0.25">
      <c r="A119" s="939" t="s">
        <v>443</v>
      </c>
      <c r="B119" s="939"/>
      <c r="C119" s="770">
        <v>6036705</v>
      </c>
      <c r="D119" s="188">
        <v>5316705</v>
      </c>
      <c r="E119" s="188">
        <f>SUM(E117:E118)</f>
        <v>0</v>
      </c>
      <c r="F119" s="189">
        <f>G119/D119*100</f>
        <v>100</v>
      </c>
      <c r="G119" s="748">
        <f>SUM(G117:G118)</f>
        <v>5316705</v>
      </c>
    </row>
    <row r="120" spans="1:7" ht="18" customHeight="1" thickBot="1" x14ac:dyDescent="0.25">
      <c r="A120" s="948" t="s">
        <v>495</v>
      </c>
      <c r="B120" s="948"/>
      <c r="C120" s="948"/>
      <c r="D120" s="948"/>
      <c r="E120" s="948"/>
      <c r="F120" s="948"/>
      <c r="G120" s="948"/>
    </row>
    <row r="121" spans="1:7" ht="18" customHeight="1" thickBot="1" x14ac:dyDescent="0.25">
      <c r="A121" s="942" t="s">
        <v>398</v>
      </c>
      <c r="B121" s="943" t="s">
        <v>399</v>
      </c>
      <c r="C121" s="944">
        <v>2019</v>
      </c>
      <c r="D121" s="945"/>
      <c r="E121" s="945"/>
      <c r="F121" s="946"/>
      <c r="G121" s="947" t="s">
        <v>767</v>
      </c>
    </row>
    <row r="122" spans="1:7" ht="18" customHeight="1" thickBot="1" x14ac:dyDescent="0.25">
      <c r="A122" s="942"/>
      <c r="B122" s="943"/>
      <c r="C122" s="161" t="s">
        <v>401</v>
      </c>
      <c r="D122" s="161" t="s">
        <v>400</v>
      </c>
      <c r="E122" s="161" t="s">
        <v>402</v>
      </c>
      <c r="F122" s="161" t="s">
        <v>403</v>
      </c>
      <c r="G122" s="947"/>
    </row>
    <row r="123" spans="1:7" ht="18" customHeight="1" x14ac:dyDescent="0.2">
      <c r="A123" s="173" t="s">
        <v>494</v>
      </c>
      <c r="B123" s="168" t="s">
        <v>355</v>
      </c>
      <c r="C123" s="771">
        <v>0</v>
      </c>
      <c r="D123" s="238">
        <v>283464</v>
      </c>
      <c r="E123" s="238">
        <f>G123-D123</f>
        <v>0</v>
      </c>
      <c r="F123" s="248">
        <f>G123/D123*100</f>
        <v>100</v>
      </c>
      <c r="G123" s="239">
        <v>283464</v>
      </c>
    </row>
    <row r="124" spans="1:7" ht="18" customHeight="1" thickBot="1" x14ac:dyDescent="0.25">
      <c r="A124" s="176" t="s">
        <v>485</v>
      </c>
      <c r="B124" s="185" t="s">
        <v>356</v>
      </c>
      <c r="C124" s="768">
        <v>0</v>
      </c>
      <c r="D124" s="244">
        <v>76536</v>
      </c>
      <c r="E124" s="238">
        <f>G124-D124</f>
        <v>0</v>
      </c>
      <c r="F124" s="248">
        <f>G124/D124*100</f>
        <v>100</v>
      </c>
      <c r="G124" s="249">
        <v>76536</v>
      </c>
    </row>
    <row r="125" spans="1:7" ht="18" customHeight="1" thickBot="1" x14ac:dyDescent="0.25">
      <c r="A125" s="939" t="s">
        <v>443</v>
      </c>
      <c r="B125" s="939"/>
      <c r="C125" s="769">
        <v>0</v>
      </c>
      <c r="D125" s="188">
        <v>360000</v>
      </c>
      <c r="E125" s="188">
        <f>SUM(E123:E124)</f>
        <v>0</v>
      </c>
      <c r="F125" s="189">
        <f>G125/D125*100</f>
        <v>100</v>
      </c>
      <c r="G125" s="748">
        <f>SUM(G123:G124)</f>
        <v>360000</v>
      </c>
    </row>
    <row r="126" spans="1:7" ht="18" customHeight="1" thickBot="1" x14ac:dyDescent="0.25">
      <c r="A126" s="948" t="s">
        <v>496</v>
      </c>
      <c r="B126" s="948"/>
      <c r="C126" s="948"/>
      <c r="D126" s="948"/>
      <c r="E126" s="948"/>
      <c r="F126" s="948"/>
      <c r="G126" s="948"/>
    </row>
    <row r="127" spans="1:7" ht="18" customHeight="1" thickBot="1" x14ac:dyDescent="0.25">
      <c r="A127" s="942" t="s">
        <v>398</v>
      </c>
      <c r="B127" s="943" t="s">
        <v>399</v>
      </c>
      <c r="C127" s="944">
        <v>2019</v>
      </c>
      <c r="D127" s="945"/>
      <c r="E127" s="945"/>
      <c r="F127" s="946"/>
      <c r="G127" s="947" t="s">
        <v>767</v>
      </c>
    </row>
    <row r="128" spans="1:7" ht="18" customHeight="1" thickBot="1" x14ac:dyDescent="0.25">
      <c r="A128" s="942"/>
      <c r="B128" s="943"/>
      <c r="C128" s="161" t="s">
        <v>401</v>
      </c>
      <c r="D128" s="161" t="s">
        <v>400</v>
      </c>
      <c r="E128" s="161" t="s">
        <v>402</v>
      </c>
      <c r="F128" s="161" t="s">
        <v>403</v>
      </c>
      <c r="G128" s="947"/>
    </row>
    <row r="129" spans="1:7" ht="18" customHeight="1" x14ac:dyDescent="0.2">
      <c r="A129" s="173" t="s">
        <v>494</v>
      </c>
      <c r="B129" s="168" t="s">
        <v>355</v>
      </c>
      <c r="C129" s="771">
        <v>0</v>
      </c>
      <c r="D129" s="238">
        <v>283464</v>
      </c>
      <c r="E129" s="238">
        <f>G129-D129</f>
        <v>0</v>
      </c>
      <c r="F129" s="248">
        <f>G129/D129*100</f>
        <v>100</v>
      </c>
      <c r="G129" s="239">
        <v>283464</v>
      </c>
    </row>
    <row r="130" spans="1:7" ht="18" customHeight="1" thickBot="1" x14ac:dyDescent="0.25">
      <c r="A130" s="176" t="s">
        <v>485</v>
      </c>
      <c r="B130" s="185" t="s">
        <v>356</v>
      </c>
      <c r="C130" s="768">
        <v>0</v>
      </c>
      <c r="D130" s="244">
        <v>73539</v>
      </c>
      <c r="E130" s="238">
        <f>G130-D130</f>
        <v>0</v>
      </c>
      <c r="F130" s="248">
        <f>G130/D130*100</f>
        <v>100</v>
      </c>
      <c r="G130" s="249">
        <f>76536-2997</f>
        <v>73539</v>
      </c>
    </row>
    <row r="131" spans="1:7" ht="18" customHeight="1" thickBot="1" x14ac:dyDescent="0.25">
      <c r="A131" s="939" t="s">
        <v>443</v>
      </c>
      <c r="B131" s="939"/>
      <c r="C131" s="769">
        <v>0</v>
      </c>
      <c r="D131" s="188">
        <v>357003</v>
      </c>
      <c r="E131" s="188">
        <f>SUM(E129:E130)</f>
        <v>0</v>
      </c>
      <c r="F131" s="189">
        <f>G131/D131*100</f>
        <v>100</v>
      </c>
      <c r="G131" s="748">
        <f>SUM(G129:G130)</f>
        <v>357003</v>
      </c>
    </row>
    <row r="132" spans="1:7" ht="25.5" customHeight="1" thickBot="1" x14ac:dyDescent="0.25">
      <c r="A132" s="941" t="s">
        <v>497</v>
      </c>
      <c r="B132" s="941"/>
      <c r="C132" s="941"/>
      <c r="D132" s="941"/>
      <c r="E132" s="941"/>
      <c r="F132" s="941"/>
      <c r="G132" s="941"/>
    </row>
    <row r="133" spans="1:7" ht="15.75" customHeight="1" thickBot="1" x14ac:dyDescent="0.25">
      <c r="A133" s="942" t="s">
        <v>398</v>
      </c>
      <c r="B133" s="943" t="s">
        <v>399</v>
      </c>
      <c r="C133" s="944">
        <v>2019</v>
      </c>
      <c r="D133" s="945"/>
      <c r="E133" s="945"/>
      <c r="F133" s="946"/>
      <c r="G133" s="947" t="s">
        <v>767</v>
      </c>
    </row>
    <row r="134" spans="1:7" ht="26.25" customHeight="1" thickBot="1" x14ac:dyDescent="0.25">
      <c r="A134" s="942"/>
      <c r="B134" s="943"/>
      <c r="C134" s="161" t="s">
        <v>401</v>
      </c>
      <c r="D134" s="161" t="s">
        <v>400</v>
      </c>
      <c r="E134" s="161" t="s">
        <v>402</v>
      </c>
      <c r="F134" s="161" t="s">
        <v>403</v>
      </c>
      <c r="G134" s="947"/>
    </row>
    <row r="135" spans="1:7" ht="21" customHeight="1" x14ac:dyDescent="0.2">
      <c r="A135" s="173" t="s">
        <v>498</v>
      </c>
      <c r="B135" s="168" t="s">
        <v>346</v>
      </c>
      <c r="C135" s="290">
        <v>6000000</v>
      </c>
      <c r="D135" s="238">
        <v>6000000</v>
      </c>
      <c r="E135" s="238">
        <f t="shared" ref="E135:E144" si="12">G135-D135</f>
        <v>0</v>
      </c>
      <c r="F135" s="248">
        <f t="shared" ref="F135:F141" si="13">G135/D135*100</f>
        <v>100</v>
      </c>
      <c r="G135" s="239">
        <v>6000000</v>
      </c>
    </row>
    <row r="136" spans="1:7" ht="22.5" customHeight="1" x14ac:dyDescent="0.2">
      <c r="A136" s="173" t="s">
        <v>499</v>
      </c>
      <c r="B136" s="168" t="s">
        <v>347</v>
      </c>
      <c r="C136" s="290">
        <v>67000000</v>
      </c>
      <c r="D136" s="251">
        <v>67000000</v>
      </c>
      <c r="E136" s="238">
        <f t="shared" si="12"/>
        <v>0</v>
      </c>
      <c r="F136" s="248">
        <f t="shared" si="13"/>
        <v>100</v>
      </c>
      <c r="G136" s="252">
        <v>67000000</v>
      </c>
    </row>
    <row r="137" spans="1:7" ht="24.75" customHeight="1" x14ac:dyDescent="0.2">
      <c r="A137" s="173" t="s">
        <v>500</v>
      </c>
      <c r="B137" s="168" t="s">
        <v>348</v>
      </c>
      <c r="C137" s="290">
        <v>6000000</v>
      </c>
      <c r="D137" s="238">
        <v>6000000</v>
      </c>
      <c r="E137" s="238">
        <f t="shared" si="12"/>
        <v>0</v>
      </c>
      <c r="F137" s="248">
        <f t="shared" si="13"/>
        <v>100</v>
      </c>
      <c r="G137" s="239">
        <v>6000000</v>
      </c>
    </row>
    <row r="138" spans="1:7" ht="22.5" customHeight="1" x14ac:dyDescent="0.2">
      <c r="A138" s="172" t="s">
        <v>501</v>
      </c>
      <c r="B138" s="168" t="s">
        <v>502</v>
      </c>
      <c r="C138" s="290">
        <v>300000</v>
      </c>
      <c r="D138" s="238">
        <v>300000</v>
      </c>
      <c r="E138" s="238">
        <f t="shared" si="12"/>
        <v>0</v>
      </c>
      <c r="F138" s="248">
        <f t="shared" si="13"/>
        <v>100</v>
      </c>
      <c r="G138" s="239">
        <v>300000</v>
      </c>
    </row>
    <row r="139" spans="1:7" ht="33" customHeight="1" x14ac:dyDescent="0.2">
      <c r="A139" s="173" t="s">
        <v>503</v>
      </c>
      <c r="B139" s="168" t="s">
        <v>351</v>
      </c>
      <c r="C139" s="290"/>
      <c r="D139" s="238"/>
      <c r="E139" s="238">
        <f t="shared" si="12"/>
        <v>0</v>
      </c>
      <c r="F139" s="248"/>
      <c r="G139" s="239"/>
    </row>
    <row r="140" spans="1:7" ht="12.75" customHeight="1" x14ac:dyDescent="0.2">
      <c r="A140" s="173" t="s">
        <v>504</v>
      </c>
      <c r="B140" s="168" t="s">
        <v>505</v>
      </c>
      <c r="C140" s="290"/>
      <c r="D140" s="238"/>
      <c r="E140" s="238">
        <f t="shared" si="12"/>
        <v>0</v>
      </c>
      <c r="F140" s="248"/>
      <c r="G140" s="239"/>
    </row>
    <row r="141" spans="1:7" ht="12.75" customHeight="1" x14ac:dyDescent="0.2">
      <c r="A141" s="173" t="s">
        <v>506</v>
      </c>
      <c r="B141" s="168" t="s">
        <v>507</v>
      </c>
      <c r="C141" s="290">
        <v>200000</v>
      </c>
      <c r="D141" s="238">
        <v>200000</v>
      </c>
      <c r="E141" s="238">
        <f t="shared" si="12"/>
        <v>0</v>
      </c>
      <c r="F141" s="248">
        <f t="shared" si="13"/>
        <v>100</v>
      </c>
      <c r="G141" s="239">
        <v>200000</v>
      </c>
    </row>
    <row r="142" spans="1:7" ht="12.75" customHeight="1" x14ac:dyDescent="0.2">
      <c r="A142" s="173" t="s">
        <v>508</v>
      </c>
      <c r="B142" s="168" t="s">
        <v>509</v>
      </c>
      <c r="C142" s="290"/>
      <c r="D142" s="238"/>
      <c r="E142" s="238">
        <f t="shared" si="12"/>
        <v>0</v>
      </c>
      <c r="F142" s="248"/>
      <c r="G142" s="239"/>
    </row>
    <row r="143" spans="1:7" ht="12.75" customHeight="1" x14ac:dyDescent="0.2">
      <c r="A143" s="173" t="s">
        <v>422</v>
      </c>
      <c r="B143" s="168" t="s">
        <v>358</v>
      </c>
      <c r="C143" s="290"/>
      <c r="D143" s="238"/>
      <c r="E143" s="238">
        <f t="shared" si="12"/>
        <v>0</v>
      </c>
      <c r="F143" s="248"/>
      <c r="G143" s="239"/>
    </row>
    <row r="144" spans="1:7" ht="21.75" thickBot="1" x14ac:dyDescent="0.25">
      <c r="A144" s="176" t="s">
        <v>510</v>
      </c>
      <c r="B144" s="185" t="s">
        <v>511</v>
      </c>
      <c r="C144" s="747"/>
      <c r="D144" s="244"/>
      <c r="E144" s="238">
        <f t="shared" si="12"/>
        <v>0</v>
      </c>
      <c r="F144" s="248"/>
      <c r="G144" s="249"/>
    </row>
    <row r="145" spans="1:7" ht="17.25" customHeight="1" thickBot="1" x14ac:dyDescent="0.25">
      <c r="A145" s="939" t="s">
        <v>443</v>
      </c>
      <c r="B145" s="939"/>
      <c r="C145" s="770">
        <v>79500000</v>
      </c>
      <c r="D145" s="188">
        <v>79500000</v>
      </c>
      <c r="E145" s="188">
        <f>SUM(E135:E144)</f>
        <v>0</v>
      </c>
      <c r="F145" s="189">
        <f>G145/D145*100</f>
        <v>100</v>
      </c>
      <c r="G145" s="748">
        <f>SUM(G135:G144)</f>
        <v>79500000</v>
      </c>
    </row>
    <row r="146" spans="1:7" ht="17.25" customHeight="1" thickBot="1" x14ac:dyDescent="0.25">
      <c r="A146" s="948" t="s">
        <v>512</v>
      </c>
      <c r="B146" s="948"/>
      <c r="C146" s="948"/>
      <c r="D146" s="948"/>
      <c r="E146" s="948"/>
      <c r="F146" s="948"/>
      <c r="G146" s="948"/>
    </row>
    <row r="147" spans="1:7" ht="16.5" customHeight="1" thickBot="1" x14ac:dyDescent="0.25">
      <c r="A147" s="942" t="s">
        <v>398</v>
      </c>
      <c r="B147" s="943" t="s">
        <v>399</v>
      </c>
      <c r="C147" s="944">
        <v>2019</v>
      </c>
      <c r="D147" s="945"/>
      <c r="E147" s="945"/>
      <c r="F147" s="946"/>
      <c r="G147" s="947" t="s">
        <v>767</v>
      </c>
    </row>
    <row r="148" spans="1:7" ht="18" customHeight="1" thickBot="1" x14ac:dyDescent="0.25">
      <c r="A148" s="942"/>
      <c r="B148" s="943"/>
      <c r="C148" s="161" t="s">
        <v>401</v>
      </c>
      <c r="D148" s="161" t="s">
        <v>400</v>
      </c>
      <c r="E148" s="161" t="s">
        <v>402</v>
      </c>
      <c r="F148" s="161" t="s">
        <v>403</v>
      </c>
      <c r="G148" s="947"/>
    </row>
    <row r="149" spans="1:7" ht="28.5" customHeight="1" thickBot="1" x14ac:dyDescent="0.25">
      <c r="A149" s="175" t="s">
        <v>409</v>
      </c>
      <c r="B149" s="185" t="s">
        <v>513</v>
      </c>
      <c r="C149" s="768">
        <v>0</v>
      </c>
      <c r="D149" s="244">
        <v>103500</v>
      </c>
      <c r="E149" s="238">
        <f>G149-D149</f>
        <v>0</v>
      </c>
      <c r="F149" s="248">
        <f>G149/D149*100</f>
        <v>100</v>
      </c>
      <c r="G149" s="249">
        <v>103500</v>
      </c>
    </row>
    <row r="150" spans="1:7" ht="17.25" customHeight="1" thickBot="1" x14ac:dyDescent="0.25">
      <c r="A150" s="939" t="s">
        <v>443</v>
      </c>
      <c r="B150" s="939"/>
      <c r="C150" s="769">
        <v>0</v>
      </c>
      <c r="D150" s="188">
        <v>103500</v>
      </c>
      <c r="E150" s="188">
        <f>SUM(E149:E149)</f>
        <v>0</v>
      </c>
      <c r="F150" s="189">
        <f>G150/D150*100</f>
        <v>100</v>
      </c>
      <c r="G150" s="748">
        <f>SUM(G149:G149)</f>
        <v>103500</v>
      </c>
    </row>
    <row r="151" spans="1:7" ht="21.75" customHeight="1" thickBot="1" x14ac:dyDescent="0.25">
      <c r="D151" s="3"/>
      <c r="E151" s="3"/>
      <c r="F151" s="3"/>
      <c r="G151" s="772"/>
    </row>
    <row r="152" spans="1:7" ht="20.25" customHeight="1" thickBot="1" x14ac:dyDescent="0.25">
      <c r="A152" s="940" t="s">
        <v>514</v>
      </c>
      <c r="B152" s="940"/>
      <c r="C152" s="773">
        <f>C34+C40+C71+C77+C82+C93+C108+C113+C119+C145+C150+C131+C125+C103+C87</f>
        <v>425416438</v>
      </c>
      <c r="D152" s="773">
        <f>D34+D40+D71+D77+D82+D93+D108+D113+D119+D145+D150+D131+D125+D103+D87</f>
        <v>492363344</v>
      </c>
      <c r="E152" s="773">
        <f>E34+E40+E71+E77+E82+E93+E108+E113+E119+E145+E150+E131+E125+E103+E87+E67+E98</f>
        <v>27677656</v>
      </c>
      <c r="F152" s="774">
        <f>G152/D152*100</f>
        <v>105.62138841919962</v>
      </c>
      <c r="G152" s="775">
        <f>G34+G40+G71+G77+G82+G93+G108+G113+G119+G145+G150+G131+G125+G103+G87+G98</f>
        <v>520041000</v>
      </c>
    </row>
    <row r="155" spans="1:7" x14ac:dyDescent="0.2">
      <c r="G155" s="777">
        <f>G152-'[1]Kiadások részletes COFOG'!F439</f>
        <v>6.9999992847442627E-2</v>
      </c>
    </row>
    <row r="156" spans="1:7" x14ac:dyDescent="0.2">
      <c r="B156" s="253"/>
      <c r="C156" s="253"/>
      <c r="D156" s="253"/>
      <c r="E156" s="254"/>
    </row>
    <row r="157" spans="1:7" x14ac:dyDescent="0.2">
      <c r="E157" s="3"/>
    </row>
    <row r="158" spans="1:7" x14ac:dyDescent="0.2">
      <c r="E158" s="3"/>
    </row>
    <row r="159" spans="1:7" x14ac:dyDescent="0.2">
      <c r="E159" s="3"/>
      <c r="F159" s="255"/>
    </row>
    <row r="160" spans="1:7" x14ac:dyDescent="0.2">
      <c r="E160" s="3"/>
    </row>
  </sheetData>
  <mergeCells count="101">
    <mergeCell ref="A103:B103"/>
    <mergeCell ref="A105:A106"/>
    <mergeCell ref="B105:B106"/>
    <mergeCell ref="A104:G104"/>
    <mergeCell ref="C105:F105"/>
    <mergeCell ref="G105:G106"/>
    <mergeCell ref="A108:B108"/>
    <mergeCell ref="A110:A111"/>
    <mergeCell ref="B110:B111"/>
    <mergeCell ref="A109:G109"/>
    <mergeCell ref="C110:F110"/>
    <mergeCell ref="G110:G111"/>
    <mergeCell ref="A93:B93"/>
    <mergeCell ref="A95:A96"/>
    <mergeCell ref="B95:B96"/>
    <mergeCell ref="A94:G94"/>
    <mergeCell ref="C95:F95"/>
    <mergeCell ref="G95:G96"/>
    <mergeCell ref="A98:B98"/>
    <mergeCell ref="A100:A101"/>
    <mergeCell ref="B100:B101"/>
    <mergeCell ref="A99:G99"/>
    <mergeCell ref="C100:F100"/>
    <mergeCell ref="G100:G101"/>
    <mergeCell ref="A82:B82"/>
    <mergeCell ref="A84:A85"/>
    <mergeCell ref="B84:B85"/>
    <mergeCell ref="A83:G83"/>
    <mergeCell ref="C84:F84"/>
    <mergeCell ref="G84:G85"/>
    <mergeCell ref="A87:B87"/>
    <mergeCell ref="A89:A90"/>
    <mergeCell ref="B89:B90"/>
    <mergeCell ref="A88:G88"/>
    <mergeCell ref="C89:F89"/>
    <mergeCell ref="G89:G90"/>
    <mergeCell ref="A71:B71"/>
    <mergeCell ref="A73:A74"/>
    <mergeCell ref="B73:B74"/>
    <mergeCell ref="A72:G72"/>
    <mergeCell ref="C73:F73"/>
    <mergeCell ref="G73:G74"/>
    <mergeCell ref="A77:B77"/>
    <mergeCell ref="A79:A80"/>
    <mergeCell ref="B79:B80"/>
    <mergeCell ref="A78:G78"/>
    <mergeCell ref="C79:F79"/>
    <mergeCell ref="G79:G80"/>
    <mergeCell ref="A34:B34"/>
    <mergeCell ref="A36:A37"/>
    <mergeCell ref="B36:B37"/>
    <mergeCell ref="A35:G35"/>
    <mergeCell ref="C36:F36"/>
    <mergeCell ref="G36:G37"/>
    <mergeCell ref="A40:B40"/>
    <mergeCell ref="A42:A43"/>
    <mergeCell ref="B42:B43"/>
    <mergeCell ref="A41:G41"/>
    <mergeCell ref="C42:F42"/>
    <mergeCell ref="G42:G43"/>
    <mergeCell ref="A8:A9"/>
    <mergeCell ref="B8:B9"/>
    <mergeCell ref="A2:G2"/>
    <mergeCell ref="A3:G3"/>
    <mergeCell ref="A5:G5"/>
    <mergeCell ref="A7:G7"/>
    <mergeCell ref="C8:F8"/>
    <mergeCell ref="G8:G9"/>
    <mergeCell ref="A17:A18"/>
    <mergeCell ref="A119:B119"/>
    <mergeCell ref="A120:G120"/>
    <mergeCell ref="A121:A122"/>
    <mergeCell ref="B121:B122"/>
    <mergeCell ref="C121:F121"/>
    <mergeCell ref="G121:G122"/>
    <mergeCell ref="A113:B113"/>
    <mergeCell ref="A114:G114"/>
    <mergeCell ref="A115:A116"/>
    <mergeCell ref="B115:B116"/>
    <mergeCell ref="C115:F115"/>
    <mergeCell ref="G115:G116"/>
    <mergeCell ref="A150:B150"/>
    <mergeCell ref="A152:B152"/>
    <mergeCell ref="A131:B131"/>
    <mergeCell ref="A132:G132"/>
    <mergeCell ref="A133:A134"/>
    <mergeCell ref="B133:B134"/>
    <mergeCell ref="C133:F133"/>
    <mergeCell ref="G133:G134"/>
    <mergeCell ref="A125:B125"/>
    <mergeCell ref="A126:G126"/>
    <mergeCell ref="A127:A128"/>
    <mergeCell ref="B127:B128"/>
    <mergeCell ref="C127:F127"/>
    <mergeCell ref="G127:G128"/>
    <mergeCell ref="A145:B145"/>
    <mergeCell ref="A146:G146"/>
    <mergeCell ref="A147:A148"/>
    <mergeCell ref="B147:B148"/>
    <mergeCell ref="C147:F147"/>
    <mergeCell ref="G147:G14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27"/>
  <sheetViews>
    <sheetView topLeftCell="A4" workbookViewId="0">
      <selection activeCell="B19" sqref="B19"/>
    </sheetView>
  </sheetViews>
  <sheetFormatPr defaultRowHeight="12.75" x14ac:dyDescent="0.2"/>
  <cols>
    <col min="1" max="1" width="43.28515625" customWidth="1"/>
    <col min="2" max="4" width="12.7109375" customWidth="1"/>
    <col min="5" max="5" width="46.42578125" customWidth="1"/>
    <col min="6" max="8" width="12.7109375" customWidth="1"/>
    <col min="9" max="9" width="12.5703125" bestFit="1" customWidth="1"/>
    <col min="10" max="10" width="13.7109375" bestFit="1" customWidth="1"/>
  </cols>
  <sheetData>
    <row r="1" spans="1:9" ht="15" customHeight="1" x14ac:dyDescent="0.2">
      <c r="A1" s="1053" t="s">
        <v>377</v>
      </c>
      <c r="B1" s="1053"/>
      <c r="C1" s="1053"/>
      <c r="D1" s="1053"/>
      <c r="E1" s="1053"/>
      <c r="F1" s="1053"/>
      <c r="G1" s="1053"/>
      <c r="H1" s="1053"/>
    </row>
    <row r="2" spans="1:9" ht="15.75" customHeight="1" x14ac:dyDescent="0.2">
      <c r="B2" s="1062"/>
      <c r="C2" s="963"/>
      <c r="D2" s="963"/>
      <c r="E2" s="963"/>
      <c r="F2" s="963"/>
      <c r="G2" s="6"/>
      <c r="H2" s="6"/>
      <c r="I2" s="6"/>
    </row>
    <row r="3" spans="1:9" s="1" customFormat="1" ht="16.5" customHeight="1" x14ac:dyDescent="0.25">
      <c r="A3" s="1060" t="s">
        <v>243</v>
      </c>
      <c r="B3" s="1060"/>
      <c r="C3" s="1060"/>
      <c r="D3" s="1060"/>
      <c r="E3" s="1060"/>
      <c r="F3" s="1060"/>
      <c r="G3" s="1060"/>
      <c r="H3" s="1060"/>
    </row>
    <row r="4" spans="1:9" ht="24" customHeight="1" x14ac:dyDescent="0.2">
      <c r="A4" s="1061" t="s">
        <v>371</v>
      </c>
      <c r="B4" s="1061"/>
      <c r="C4" s="1061"/>
      <c r="D4" s="1061"/>
      <c r="E4" s="1061"/>
      <c r="F4" s="1061"/>
      <c r="G4" s="1061"/>
      <c r="H4" s="1061"/>
    </row>
    <row r="5" spans="1:9" ht="23.25" customHeight="1" thickBot="1" x14ac:dyDescent="0.3">
      <c r="A5" s="123"/>
      <c r="B5" s="123"/>
      <c r="C5" s="123"/>
      <c r="D5" s="123"/>
      <c r="E5" s="123"/>
      <c r="G5" s="4"/>
      <c r="H5" s="1" t="s">
        <v>11</v>
      </c>
    </row>
    <row r="6" spans="1:9" ht="27" customHeight="1" thickBot="1" x14ac:dyDescent="0.25">
      <c r="A6" s="1056" t="s">
        <v>1</v>
      </c>
      <c r="B6" s="1057"/>
      <c r="C6" s="1057"/>
      <c r="D6" s="1058"/>
      <c r="E6" s="1059" t="s">
        <v>2</v>
      </c>
      <c r="F6" s="1057"/>
      <c r="G6" s="1057"/>
      <c r="H6" s="1058"/>
    </row>
    <row r="7" spans="1:9" ht="27" customHeight="1" thickBot="1" x14ac:dyDescent="0.3">
      <c r="A7" s="466"/>
      <c r="B7" s="890" t="s">
        <v>299</v>
      </c>
      <c r="C7" s="896" t="s">
        <v>300</v>
      </c>
      <c r="D7" s="890" t="s">
        <v>301</v>
      </c>
      <c r="E7" s="467"/>
      <c r="F7" s="890" t="s">
        <v>299</v>
      </c>
      <c r="G7" s="896" t="s">
        <v>300</v>
      </c>
      <c r="H7" s="890" t="s">
        <v>301</v>
      </c>
    </row>
    <row r="8" spans="1:9" ht="20.100000000000001" customHeight="1" x14ac:dyDescent="0.25">
      <c r="A8" s="124" t="s">
        <v>302</v>
      </c>
      <c r="B8" s="891">
        <f>C8+D8</f>
        <v>163614.17800000001</v>
      </c>
      <c r="C8" s="887">
        <f>('Önk.bev.'!G44+'Önk.bev.'!G54+'Önk.bev.'!G53+'Önk.bev.'!G55+'Önk.bev.'!G62+'Önk.bev.'!G64+'Önk.bev.'!G65+'Önk.bev.'!G67)/1000</f>
        <v>163614.17800000001</v>
      </c>
      <c r="D8" s="891">
        <v>0</v>
      </c>
      <c r="E8" s="152" t="s">
        <v>196</v>
      </c>
      <c r="F8" s="125">
        <f>G8+H8</f>
        <v>158298.261</v>
      </c>
      <c r="G8" s="906">
        <f>(39470130+64202280+7150000+47475851)/1000</f>
        <v>158298.261</v>
      </c>
      <c r="H8" s="913">
        <v>0</v>
      </c>
    </row>
    <row r="9" spans="1:9" ht="20.100000000000001" customHeight="1" x14ac:dyDescent="0.25">
      <c r="A9" s="473" t="s">
        <v>205</v>
      </c>
      <c r="B9" s="891">
        <f t="shared" ref="B9:B11" si="0">C9+D9</f>
        <v>42677.453000000001</v>
      </c>
      <c r="C9" s="888">
        <f>('Önk.bev.'!G11+'Önk.bev.'!G68+'Önk.bev.'!G81+'Önk.bev.'!G86+'Önk.bev.'!G97+'Önk.bev.'!G102+'Önk.bev.'!G107+'Önk.bev.'!G149+'Hiv.bev.'!G17+'Hiv.bev.'!G24)/1000</f>
        <v>42677.453000000001</v>
      </c>
      <c r="D9" s="901">
        <v>0</v>
      </c>
      <c r="E9" s="468" t="s">
        <v>197</v>
      </c>
      <c r="F9" s="125">
        <f t="shared" ref="F9:F15" si="1">G9+H9</f>
        <v>29841.736000000001</v>
      </c>
      <c r="G9" s="907">
        <f>(9359550+1367900+12089552+7024734)/1000</f>
        <v>29841.736000000001</v>
      </c>
      <c r="H9" s="914">
        <v>0</v>
      </c>
    </row>
    <row r="10" spans="1:9" ht="20.100000000000001" customHeight="1" x14ac:dyDescent="0.25">
      <c r="A10" s="473" t="s">
        <v>206</v>
      </c>
      <c r="B10" s="891">
        <f t="shared" si="0"/>
        <v>79500</v>
      </c>
      <c r="C10" s="888">
        <f>79500000/1000</f>
        <v>79500</v>
      </c>
      <c r="D10" s="901">
        <v>0</v>
      </c>
      <c r="E10" s="468" t="s">
        <v>198</v>
      </c>
      <c r="F10" s="125">
        <f t="shared" si="1"/>
        <v>87432.506999999998</v>
      </c>
      <c r="G10" s="907">
        <f>(72970240+3528168+4234500+6699599-2000000)/1000</f>
        <v>85432.506999999998</v>
      </c>
      <c r="H10" s="914">
        <f>2000000/1000</f>
        <v>2000</v>
      </c>
    </row>
    <row r="11" spans="1:9" ht="20.100000000000001" customHeight="1" x14ac:dyDescent="0.25">
      <c r="A11" s="473" t="s">
        <v>207</v>
      </c>
      <c r="B11" s="891">
        <f t="shared" si="0"/>
        <v>68599.671000000002</v>
      </c>
      <c r="C11" s="888">
        <f>(67004132+93000+5616+97400+1511+28000+1370012)/1000</f>
        <v>68599.671000000002</v>
      </c>
      <c r="D11" s="901">
        <v>0</v>
      </c>
      <c r="E11" s="468" t="s">
        <v>199</v>
      </c>
      <c r="F11" s="125">
        <f t="shared" si="1"/>
        <v>10810.5</v>
      </c>
      <c r="G11" s="907">
        <f>(('Önk.kiad.'!G255+'Önk.kiad.'!G272+'Önk.kiad.'!G273+'Önk.kiad.'!G274)-2463500)/1000</f>
        <v>8347</v>
      </c>
      <c r="H11" s="914">
        <f>(('Önk.kiad.'!G272+'Önk.kiad.'!G273+'Önk.kiad.'!G274+'Önk.kiad.'!G255)-8347000)/1000</f>
        <v>2463.5</v>
      </c>
    </row>
    <row r="12" spans="1:9" ht="20.100000000000001" customHeight="1" x14ac:dyDescent="0.25">
      <c r="A12" s="127" t="s">
        <v>304</v>
      </c>
      <c r="B12" s="891">
        <f>C12+D12</f>
        <v>277</v>
      </c>
      <c r="C12" s="888">
        <f>277000/1000</f>
        <v>277</v>
      </c>
      <c r="D12" s="901">
        <v>0</v>
      </c>
      <c r="E12" s="468" t="s">
        <v>200</v>
      </c>
      <c r="F12" s="125">
        <f t="shared" si="1"/>
        <v>7156</v>
      </c>
      <c r="G12" s="907">
        <f>7156000/1000</f>
        <v>7156</v>
      </c>
      <c r="H12" s="914">
        <v>0</v>
      </c>
    </row>
    <row r="13" spans="1:9" ht="20.100000000000001" customHeight="1" x14ac:dyDescent="0.25">
      <c r="A13" s="475" t="s">
        <v>212</v>
      </c>
      <c r="B13" s="892">
        <f>C13+D13</f>
        <v>149377.101</v>
      </c>
      <c r="C13" s="897">
        <f>('Hiv.bev.'!G9+'Művh.bev.'!G11+Ovibev.!G12)/1000</f>
        <v>149377.101</v>
      </c>
      <c r="D13" s="884">
        <v>0</v>
      </c>
      <c r="E13" s="468" t="s">
        <v>201</v>
      </c>
      <c r="F13" s="125">
        <f t="shared" si="1"/>
        <v>6207</v>
      </c>
      <c r="G13" s="907">
        <v>0</v>
      </c>
      <c r="H13" s="914">
        <f>6207000/1000</f>
        <v>6207</v>
      </c>
    </row>
    <row r="14" spans="1:9" ht="20.100000000000001" customHeight="1" x14ac:dyDescent="0.25">
      <c r="A14" s="475" t="s">
        <v>739</v>
      </c>
      <c r="B14" s="884">
        <f>C14+D14</f>
        <v>6180</v>
      </c>
      <c r="C14" s="897">
        <f>6180000/1000</f>
        <v>6180</v>
      </c>
      <c r="D14" s="884"/>
      <c r="E14" s="469" t="s">
        <v>260</v>
      </c>
      <c r="F14" s="129">
        <f t="shared" si="1"/>
        <v>6042.2659999999996</v>
      </c>
      <c r="G14" s="908">
        <f>'Önk.kiad.'!G92/1000</f>
        <v>6042.2659999999996</v>
      </c>
      <c r="H14" s="915">
        <v>0</v>
      </c>
    </row>
    <row r="15" spans="1:9" ht="20.100000000000001" customHeight="1" thickBot="1" x14ac:dyDescent="0.3">
      <c r="A15" s="886"/>
      <c r="B15" s="893"/>
      <c r="C15" s="898"/>
      <c r="D15" s="893"/>
      <c r="E15" s="468" t="s">
        <v>204</v>
      </c>
      <c r="F15" s="905">
        <f t="shared" si="1"/>
        <v>149377.101</v>
      </c>
      <c r="G15" s="907">
        <f>'Önk.kiad.'!G97/1000</f>
        <v>149377.101</v>
      </c>
      <c r="H15" s="914">
        <v>0</v>
      </c>
    </row>
    <row r="16" spans="1:9" ht="20.100000000000001" customHeight="1" thickBot="1" x14ac:dyDescent="0.25">
      <c r="A16" s="474" t="s">
        <v>9</v>
      </c>
      <c r="B16" s="885">
        <f>SUM(B8:B14)</f>
        <v>510225.40300000005</v>
      </c>
      <c r="C16" s="889">
        <f>SUM(C8:C14)</f>
        <v>510225.40300000005</v>
      </c>
      <c r="D16" s="885">
        <f>SUM(D8:D14)</f>
        <v>0</v>
      </c>
      <c r="E16" s="470" t="s">
        <v>10</v>
      </c>
      <c r="F16" s="130">
        <f>SUM(F8:F15)</f>
        <v>455165.37100000004</v>
      </c>
      <c r="G16" s="909">
        <f>SUM(G8:G15)</f>
        <v>444494.87100000004</v>
      </c>
      <c r="H16" s="130">
        <f>SUM(H8:H15)</f>
        <v>10670.5</v>
      </c>
    </row>
    <row r="17" spans="1:9" ht="20.100000000000001" customHeight="1" x14ac:dyDescent="0.25">
      <c r="A17" s="473" t="s">
        <v>208</v>
      </c>
      <c r="B17" s="891">
        <v>53827.199999999997</v>
      </c>
      <c r="C17" s="888">
        <v>0</v>
      </c>
      <c r="D17" s="901">
        <v>53827.199999999997</v>
      </c>
      <c r="E17" s="152" t="s">
        <v>203</v>
      </c>
      <c r="F17" s="125">
        <f>G17+H17</f>
        <v>9592.5</v>
      </c>
      <c r="G17" s="910">
        <f>(2363000+389500+2614000+1636000+'Művh.kiad.'!G56+Ovikiad.!G56)/1000</f>
        <v>9592.5</v>
      </c>
      <c r="H17" s="913">
        <v>0</v>
      </c>
    </row>
    <row r="18" spans="1:9" ht="20.100000000000001" customHeight="1" x14ac:dyDescent="0.25">
      <c r="A18" s="473" t="s">
        <v>209</v>
      </c>
      <c r="B18" s="891">
        <v>220</v>
      </c>
      <c r="C18" s="888">
        <v>220</v>
      </c>
      <c r="D18" s="901">
        <v>0</v>
      </c>
      <c r="E18" s="468" t="s">
        <v>303</v>
      </c>
      <c r="F18" s="125">
        <f t="shared" ref="F18:F20" si="2">G18+H18</f>
        <v>179434.139</v>
      </c>
      <c r="G18" s="911">
        <f>(146360000+10863007+22211132)/1000</f>
        <v>179434.139</v>
      </c>
      <c r="H18" s="916">
        <v>0</v>
      </c>
    </row>
    <row r="19" spans="1:9" ht="20.100000000000001" customHeight="1" x14ac:dyDescent="0.25">
      <c r="A19" s="124" t="s">
        <v>210</v>
      </c>
      <c r="B19" s="891">
        <f>C19+D19</f>
        <v>112562.52</v>
      </c>
      <c r="C19" s="887">
        <f>'Önk.bev.'!G76/1000</f>
        <v>112562.52</v>
      </c>
      <c r="D19" s="891">
        <v>0</v>
      </c>
      <c r="E19" s="469" t="s">
        <v>738</v>
      </c>
      <c r="F19" s="125">
        <f t="shared" si="2"/>
        <v>1263</v>
      </c>
      <c r="G19" s="908">
        <f>1263000/1000</f>
        <v>1263</v>
      </c>
      <c r="H19" s="915">
        <v>0</v>
      </c>
    </row>
    <row r="20" spans="1:9" ht="20.100000000000001" customHeight="1" x14ac:dyDescent="0.25">
      <c r="A20" s="473" t="s">
        <v>211</v>
      </c>
      <c r="B20" s="891">
        <f t="shared" ref="B20:B23" si="3">C20+D20</f>
        <v>298.68700000000001</v>
      </c>
      <c r="C20" s="888">
        <f>Ovibev.!G11/1000</f>
        <v>298.68700000000001</v>
      </c>
      <c r="D20" s="901">
        <v>0</v>
      </c>
      <c r="E20" s="469" t="s">
        <v>202</v>
      </c>
      <c r="F20" s="129">
        <f t="shared" si="2"/>
        <v>33283.39</v>
      </c>
      <c r="G20" s="908">
        <f>('Önk.kiad.'!G40+'Önk.kiad.'!G41)/1000</f>
        <v>33283.39</v>
      </c>
      <c r="H20" s="915">
        <v>0</v>
      </c>
    </row>
    <row r="21" spans="1:9" ht="20.100000000000001" customHeight="1" x14ac:dyDescent="0.25">
      <c r="A21" s="475" t="s">
        <v>305</v>
      </c>
      <c r="B21" s="892">
        <f t="shared" si="3"/>
        <v>103.089</v>
      </c>
      <c r="C21" s="897">
        <f>'Művh.bev.'!G10/1000</f>
        <v>103.089</v>
      </c>
      <c r="D21" s="884">
        <v>0</v>
      </c>
      <c r="E21" s="469"/>
      <c r="F21" s="903"/>
      <c r="G21" s="908"/>
      <c r="H21" s="915"/>
      <c r="I21" s="147"/>
    </row>
    <row r="22" spans="1:9" ht="20.100000000000001" customHeight="1" x14ac:dyDescent="0.25">
      <c r="A22" s="904" t="s">
        <v>259</v>
      </c>
      <c r="B22" s="901">
        <f t="shared" si="3"/>
        <v>816.86800000000005</v>
      </c>
      <c r="C22" s="888">
        <f>'Hiv.bev.'!G8/1000</f>
        <v>816.86800000000005</v>
      </c>
      <c r="D22" s="901">
        <v>0</v>
      </c>
      <c r="E22" s="898"/>
      <c r="F22" s="893"/>
      <c r="G22" s="898"/>
      <c r="H22" s="893"/>
    </row>
    <row r="23" spans="1:9" ht="20.100000000000001" customHeight="1" thickBot="1" x14ac:dyDescent="0.3">
      <c r="A23" s="918" t="s">
        <v>740</v>
      </c>
      <c r="B23" s="884">
        <f t="shared" si="3"/>
        <v>684.63300000000004</v>
      </c>
      <c r="C23" s="897">
        <f>'Önk.bev.'!G70/1000</f>
        <v>684.63300000000004</v>
      </c>
      <c r="D23" s="884">
        <v>0</v>
      </c>
      <c r="E23" s="899"/>
      <c r="F23" s="894"/>
      <c r="G23" s="899"/>
      <c r="H23" s="894"/>
    </row>
    <row r="24" spans="1:9" ht="20.100000000000001" customHeight="1" thickBot="1" x14ac:dyDescent="0.25">
      <c r="A24" s="474" t="s">
        <v>7</v>
      </c>
      <c r="B24" s="895">
        <f>SUM(B16:B23)</f>
        <v>678738.40000000014</v>
      </c>
      <c r="C24" s="470">
        <f>SUM(C16:C22)</f>
        <v>624226.56700000016</v>
      </c>
      <c r="D24" s="895">
        <f>SUM(D16:D23)</f>
        <v>53827.199999999997</v>
      </c>
      <c r="E24" s="470" t="s">
        <v>7</v>
      </c>
      <c r="F24" s="126">
        <f>SUM(F16:F20)</f>
        <v>678738.4</v>
      </c>
      <c r="G24" s="919">
        <f>SUM(G16:G20)</f>
        <v>668067.9</v>
      </c>
      <c r="H24" s="126">
        <f>SUM(H16:H20)</f>
        <v>10670.5</v>
      </c>
      <c r="I24" s="3"/>
    </row>
    <row r="25" spans="1:9" ht="20.100000000000001" customHeight="1" thickBot="1" x14ac:dyDescent="0.3">
      <c r="A25" s="127" t="s">
        <v>189</v>
      </c>
      <c r="B25" s="128">
        <f>C25+D25</f>
        <v>-149377.101</v>
      </c>
      <c r="C25" s="900">
        <f>-C13</f>
        <v>-149377.101</v>
      </c>
      <c r="D25" s="902">
        <v>0</v>
      </c>
      <c r="E25" s="471" t="s">
        <v>189</v>
      </c>
      <c r="F25" s="129">
        <f>G25+H25</f>
        <v>-149377.101</v>
      </c>
      <c r="G25" s="912">
        <f>-G15</f>
        <v>-149377.101</v>
      </c>
      <c r="H25" s="917"/>
    </row>
    <row r="26" spans="1:9" ht="20.100000000000001" customHeight="1" thickBot="1" x14ac:dyDescent="0.25">
      <c r="A26" s="474" t="s">
        <v>190</v>
      </c>
      <c r="B26" s="895">
        <f>SUM(B24:B25)</f>
        <v>529361.29900000012</v>
      </c>
      <c r="C26" s="470">
        <f t="shared" ref="C26:D26" si="4">SUM(C24:C25)</f>
        <v>474849.46600000013</v>
      </c>
      <c r="D26" s="895">
        <f t="shared" si="4"/>
        <v>53827.199999999997</v>
      </c>
      <c r="E26" s="472" t="s">
        <v>190</v>
      </c>
      <c r="F26" s="130">
        <f>SUM(F24:F25)</f>
        <v>529361.299</v>
      </c>
      <c r="G26" s="909">
        <f t="shared" ref="G26:H26" si="5">SUM(G24:G25)</f>
        <v>518690.799</v>
      </c>
      <c r="H26" s="130">
        <f t="shared" si="5"/>
        <v>10670.5</v>
      </c>
    </row>
    <row r="27" spans="1:9" x14ac:dyDescent="0.2">
      <c r="E27" s="3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D160"/>
  <sheetViews>
    <sheetView view="pageBreakPreview" topLeftCell="A103" zoomScale="60" zoomScaleNormal="100" workbookViewId="0">
      <selection activeCell="J171" sqref="J171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10.7109375" customWidth="1"/>
    <col min="5" max="5" width="11.140625" bestFit="1" customWidth="1"/>
    <col min="6" max="16" width="10.7109375" customWidth="1"/>
    <col min="17" max="17" width="11.140625" bestFit="1" customWidth="1"/>
    <col min="18" max="18" width="8.5703125" bestFit="1" customWidth="1"/>
  </cols>
  <sheetData>
    <row r="1" spans="1:16" ht="15" customHeight="1" x14ac:dyDescent="0.2">
      <c r="A1" s="1089" t="s">
        <v>389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89"/>
      <c r="M1" s="1089"/>
      <c r="N1" s="1089"/>
      <c r="O1" s="1089"/>
      <c r="P1" s="1089"/>
    </row>
    <row r="2" spans="1:16" ht="15" customHeight="1" x14ac:dyDescent="0.2">
      <c r="A2" s="1103" t="s">
        <v>745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</row>
    <row r="3" spans="1:16" ht="12.95" customHeight="1" thickBot="1" x14ac:dyDescent="0.25">
      <c r="A3" s="1090" t="s">
        <v>741</v>
      </c>
      <c r="B3" s="1090"/>
      <c r="C3" s="1090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  <c r="O3" s="1090"/>
      <c r="P3" s="1090"/>
    </row>
    <row r="4" spans="1:16" ht="12.95" customHeight="1" x14ac:dyDescent="0.2">
      <c r="A4" s="1092" t="s">
        <v>35</v>
      </c>
      <c r="B4" s="1094" t="s">
        <v>330</v>
      </c>
      <c r="C4" s="1110" t="s">
        <v>186</v>
      </c>
      <c r="D4" s="1116" t="s">
        <v>191</v>
      </c>
      <c r="E4" s="1076" t="s">
        <v>167</v>
      </c>
      <c r="F4" s="1077"/>
      <c r="G4" s="1077"/>
      <c r="H4" s="1077"/>
      <c r="I4" s="1096"/>
      <c r="J4" s="1097" t="s">
        <v>4</v>
      </c>
      <c r="K4" s="1098"/>
      <c r="L4" s="1099"/>
      <c r="M4" s="1100" t="s">
        <v>360</v>
      </c>
      <c r="N4" s="1101"/>
      <c r="O4" s="1101"/>
      <c r="P4" s="1102"/>
    </row>
    <row r="5" spans="1:16" ht="24.75" customHeight="1" thickBot="1" x14ac:dyDescent="0.25">
      <c r="A5" s="1093"/>
      <c r="B5" s="1095"/>
      <c r="C5" s="1111"/>
      <c r="D5" s="1117"/>
      <c r="E5" s="485" t="s">
        <v>213</v>
      </c>
      <c r="F5" s="486" t="s">
        <v>164</v>
      </c>
      <c r="G5" s="487" t="s">
        <v>165</v>
      </c>
      <c r="H5" s="487" t="s">
        <v>214</v>
      </c>
      <c r="I5" s="488" t="s">
        <v>166</v>
      </c>
      <c r="J5" s="489" t="s">
        <v>215</v>
      </c>
      <c r="K5" s="487" t="s">
        <v>168</v>
      </c>
      <c r="L5" s="488" t="s">
        <v>169</v>
      </c>
      <c r="M5" s="524" t="s">
        <v>170</v>
      </c>
      <c r="N5" s="487" t="s">
        <v>171</v>
      </c>
      <c r="O5" s="487" t="s">
        <v>172</v>
      </c>
      <c r="P5" s="488" t="s">
        <v>173</v>
      </c>
    </row>
    <row r="6" spans="1:16" ht="12.95" customHeight="1" x14ac:dyDescent="0.2">
      <c r="A6" s="1105" t="s">
        <v>742</v>
      </c>
      <c r="B6" s="1106"/>
      <c r="C6" s="519"/>
      <c r="D6" s="520"/>
      <c r="E6" s="521"/>
      <c r="F6" s="521"/>
      <c r="G6" s="522"/>
      <c r="H6" s="522"/>
      <c r="I6" s="523"/>
      <c r="J6" s="525"/>
      <c r="K6" s="522"/>
      <c r="L6" s="523"/>
      <c r="M6" s="525"/>
      <c r="N6" s="522"/>
      <c r="O6" s="522"/>
      <c r="P6" s="526"/>
    </row>
    <row r="7" spans="1:16" ht="12.95" customHeight="1" x14ac:dyDescent="0.2">
      <c r="A7" s="476" t="s">
        <v>15</v>
      </c>
      <c r="B7" s="477" t="s">
        <v>737</v>
      </c>
      <c r="C7" s="478"/>
      <c r="D7" s="509"/>
      <c r="E7" s="516"/>
      <c r="F7" s="516"/>
      <c r="G7" s="510"/>
      <c r="H7" s="510">
        <f>'Önk.bev.'!G93</f>
        <v>18297424</v>
      </c>
      <c r="I7" s="511"/>
      <c r="J7" s="514"/>
      <c r="K7" s="510"/>
      <c r="L7" s="511"/>
      <c r="M7" s="514"/>
      <c r="N7" s="510"/>
      <c r="O7" s="510"/>
      <c r="P7" s="515"/>
    </row>
    <row r="8" spans="1:16" ht="12.95" customHeight="1" x14ac:dyDescent="0.2">
      <c r="A8" s="476" t="s">
        <v>37</v>
      </c>
      <c r="B8" s="479" t="s">
        <v>16</v>
      </c>
      <c r="C8" s="478"/>
      <c r="D8" s="509"/>
      <c r="E8" s="516"/>
      <c r="F8" s="516"/>
      <c r="G8" s="510"/>
      <c r="H8" s="510"/>
      <c r="I8" s="511"/>
      <c r="J8" s="514"/>
      <c r="K8" s="510"/>
      <c r="L8" s="511"/>
      <c r="M8" s="514"/>
      <c r="N8" s="510"/>
      <c r="O8" s="510"/>
      <c r="P8" s="515"/>
    </row>
    <row r="9" spans="1:16" ht="15.75" customHeight="1" x14ac:dyDescent="0.2">
      <c r="A9" s="476" t="s">
        <v>38</v>
      </c>
      <c r="B9" s="480" t="s">
        <v>329</v>
      </c>
      <c r="C9" s="478"/>
      <c r="D9" s="509"/>
      <c r="E9" s="516"/>
      <c r="F9" s="516"/>
      <c r="G9" s="510"/>
      <c r="H9" s="510">
        <f>'Önk.bev.'!G40</f>
        <v>3320000</v>
      </c>
      <c r="I9" s="511"/>
      <c r="J9" s="514"/>
      <c r="K9" s="510"/>
      <c r="L9" s="511"/>
      <c r="M9" s="514"/>
      <c r="N9" s="510"/>
      <c r="O9" s="510"/>
      <c r="P9" s="515"/>
    </row>
    <row r="10" spans="1:16" ht="27" customHeight="1" x14ac:dyDescent="0.2">
      <c r="A10" s="476" t="s">
        <v>39</v>
      </c>
      <c r="B10" s="480" t="s">
        <v>307</v>
      </c>
      <c r="C10" s="481">
        <v>1</v>
      </c>
      <c r="D10" s="517"/>
      <c r="E10" s="527">
        <f>273099+'Önk.bev.'!G98</f>
        <v>25558369</v>
      </c>
      <c r="F10" s="516"/>
      <c r="G10" s="510">
        <v>79500000</v>
      </c>
      <c r="H10" s="510">
        <v>39353000</v>
      </c>
      <c r="I10" s="511"/>
      <c r="J10" s="514">
        <f>53827200</f>
        <v>53827200</v>
      </c>
      <c r="K10" s="510"/>
      <c r="L10" s="511">
        <v>497000</v>
      </c>
      <c r="M10" s="514"/>
      <c r="N10" s="510"/>
      <c r="O10" s="510"/>
      <c r="P10" s="515"/>
    </row>
    <row r="11" spans="1:16" ht="12.95" customHeight="1" x14ac:dyDescent="0.2">
      <c r="A11" s="476" t="s">
        <v>40</v>
      </c>
      <c r="B11" s="477" t="s">
        <v>308</v>
      </c>
      <c r="C11" s="481"/>
      <c r="D11" s="517"/>
      <c r="E11" s="516"/>
      <c r="F11" s="516"/>
      <c r="G11" s="510"/>
      <c r="H11" s="510"/>
      <c r="I11" s="511"/>
      <c r="J11" s="514"/>
      <c r="K11" s="510"/>
      <c r="L11" s="511"/>
      <c r="M11" s="514"/>
      <c r="N11" s="510"/>
      <c r="O11" s="510"/>
      <c r="P11" s="515"/>
    </row>
    <row r="12" spans="1:16" ht="12.95" customHeight="1" x14ac:dyDescent="0.2">
      <c r="A12" s="476" t="s">
        <v>41</v>
      </c>
      <c r="B12" s="479" t="s">
        <v>19</v>
      </c>
      <c r="C12" s="481"/>
      <c r="D12" s="517"/>
      <c r="E12" s="516"/>
      <c r="F12" s="516"/>
      <c r="G12" s="510"/>
      <c r="H12" s="510"/>
      <c r="I12" s="511"/>
      <c r="J12" s="514"/>
      <c r="K12" s="510"/>
      <c r="L12" s="511"/>
      <c r="M12" s="514"/>
      <c r="N12" s="510"/>
      <c r="O12" s="510"/>
      <c r="P12" s="515"/>
    </row>
    <row r="13" spans="1:16" ht="12.95" customHeight="1" x14ac:dyDescent="0.2">
      <c r="A13" s="476" t="s">
        <v>42</v>
      </c>
      <c r="B13" s="479" t="s">
        <v>309</v>
      </c>
      <c r="C13" s="481">
        <v>2</v>
      </c>
      <c r="D13" s="517"/>
      <c r="E13" s="516"/>
      <c r="F13" s="516">
        <f>'Önk.bev.'!G103</f>
        <v>706050</v>
      </c>
      <c r="G13" s="510"/>
      <c r="H13" s="510"/>
      <c r="I13" s="511"/>
      <c r="J13" s="514"/>
      <c r="K13" s="510"/>
      <c r="L13" s="511"/>
      <c r="M13" s="514"/>
      <c r="N13" s="510"/>
      <c r="O13" s="510"/>
      <c r="P13" s="515"/>
    </row>
    <row r="14" spans="1:16" ht="12.95" customHeight="1" x14ac:dyDescent="0.2">
      <c r="A14" s="476" t="s">
        <v>43</v>
      </c>
      <c r="B14" s="479" t="s">
        <v>310</v>
      </c>
      <c r="C14" s="481"/>
      <c r="D14" s="517"/>
      <c r="E14" s="516">
        <f>'Önk.bev.'!G44+'Önk.bev.'!G53+'Önk.bev.'!G54+'Önk.bev.'!G55+'Önk.bev.'!G62</f>
        <v>151963927</v>
      </c>
      <c r="F14" s="516">
        <f>'Önk.bev.'!G64+'Önk.bev.'!G65+'Önk.bev.'!G67+'Önk.bev.'!G68</f>
        <v>13478843</v>
      </c>
      <c r="G14" s="510"/>
      <c r="H14" s="510"/>
      <c r="I14" s="511"/>
      <c r="J14" s="514"/>
      <c r="K14" s="510"/>
      <c r="L14" s="511"/>
      <c r="M14" s="514"/>
      <c r="N14" s="510"/>
      <c r="O14" s="510"/>
      <c r="P14" s="515">
        <v>684633</v>
      </c>
    </row>
    <row r="15" spans="1:16" ht="12.95" customHeight="1" x14ac:dyDescent="0.2">
      <c r="A15" s="476" t="s">
        <v>44</v>
      </c>
      <c r="B15" s="479" t="s">
        <v>324</v>
      </c>
      <c r="C15" s="481"/>
      <c r="D15" s="517"/>
      <c r="E15" s="516"/>
      <c r="F15" s="516"/>
      <c r="G15" s="510"/>
      <c r="H15" s="510"/>
      <c r="I15" s="511"/>
      <c r="J15" s="514"/>
      <c r="K15" s="510"/>
      <c r="L15" s="511"/>
      <c r="M15" s="514"/>
      <c r="N15" s="510"/>
      <c r="O15" s="510"/>
      <c r="P15" s="515">
        <f>'Önk.bev.'!G77</f>
        <v>112562520</v>
      </c>
    </row>
    <row r="16" spans="1:16" ht="12.95" customHeight="1" x14ac:dyDescent="0.2">
      <c r="A16" s="476" t="s">
        <v>45</v>
      </c>
      <c r="B16" s="479" t="s">
        <v>743</v>
      </c>
      <c r="C16" s="481"/>
      <c r="D16" s="517"/>
      <c r="E16" s="516"/>
      <c r="F16" s="516"/>
      <c r="G16" s="510"/>
      <c r="H16" s="510"/>
      <c r="I16" s="511">
        <v>6180000</v>
      </c>
      <c r="J16" s="514"/>
      <c r="K16" s="510"/>
      <c r="L16" s="511"/>
      <c r="M16" s="514"/>
      <c r="N16" s="510"/>
      <c r="O16" s="510"/>
      <c r="P16" s="515"/>
    </row>
    <row r="17" spans="1:16" ht="25.5" customHeight="1" x14ac:dyDescent="0.2">
      <c r="A17" s="476" t="s">
        <v>46</v>
      </c>
      <c r="B17" s="479" t="s">
        <v>312</v>
      </c>
      <c r="C17" s="481"/>
      <c r="D17" s="517"/>
      <c r="E17" s="516"/>
      <c r="F17" s="516"/>
      <c r="G17" s="510"/>
      <c r="H17" s="510"/>
      <c r="I17" s="511"/>
      <c r="J17" s="514"/>
      <c r="K17" s="510"/>
      <c r="L17" s="511"/>
      <c r="M17" s="514"/>
      <c r="N17" s="510"/>
      <c r="O17" s="510"/>
      <c r="P17" s="515"/>
    </row>
    <row r="18" spans="1:16" ht="12.95" customHeight="1" x14ac:dyDescent="0.2">
      <c r="A18" s="476" t="s">
        <v>47</v>
      </c>
      <c r="B18" s="479" t="s">
        <v>744</v>
      </c>
      <c r="C18" s="481"/>
      <c r="D18" s="517"/>
      <c r="E18" s="516"/>
      <c r="F18" s="516"/>
      <c r="G18" s="510"/>
      <c r="H18" s="1129">
        <f>5316705+360000+357003</f>
        <v>6033708</v>
      </c>
      <c r="I18" s="511"/>
      <c r="J18" s="514"/>
      <c r="K18" s="510"/>
      <c r="L18" s="511"/>
      <c r="M18" s="514"/>
      <c r="N18" s="510"/>
      <c r="O18" s="510"/>
      <c r="P18" s="515"/>
    </row>
    <row r="19" spans="1:16" ht="12.95" customHeight="1" x14ac:dyDescent="0.2">
      <c r="A19" s="476" t="s">
        <v>48</v>
      </c>
      <c r="B19" s="479" t="s">
        <v>18</v>
      </c>
      <c r="C19" s="481">
        <v>1</v>
      </c>
      <c r="D19" s="517"/>
      <c r="E19" s="516"/>
      <c r="F19" s="516"/>
      <c r="G19" s="510"/>
      <c r="H19" s="1130"/>
      <c r="I19" s="511"/>
      <c r="J19" s="514"/>
      <c r="K19" s="510"/>
      <c r="L19" s="511"/>
      <c r="M19" s="514"/>
      <c r="N19" s="510"/>
      <c r="O19" s="510"/>
      <c r="P19" s="515"/>
    </row>
    <row r="20" spans="1:16" ht="12.95" customHeight="1" x14ac:dyDescent="0.2">
      <c r="A20" s="476" t="s">
        <v>49</v>
      </c>
      <c r="B20" s="479" t="s">
        <v>244</v>
      </c>
      <c r="C20" s="481"/>
      <c r="D20" s="517"/>
      <c r="E20" s="516"/>
      <c r="F20" s="516"/>
      <c r="G20" s="510"/>
      <c r="H20" s="510"/>
      <c r="I20" s="511"/>
      <c r="J20" s="514"/>
      <c r="K20" s="510"/>
      <c r="L20" s="511"/>
      <c r="M20" s="514"/>
      <c r="N20" s="510"/>
      <c r="O20" s="510"/>
      <c r="P20" s="515"/>
    </row>
    <row r="21" spans="1:16" ht="12.95" customHeight="1" x14ac:dyDescent="0.2">
      <c r="A21" s="476" t="s">
        <v>50</v>
      </c>
      <c r="B21" s="477" t="s">
        <v>20</v>
      </c>
      <c r="C21" s="481">
        <v>1</v>
      </c>
      <c r="D21" s="517"/>
      <c r="E21" s="516">
        <f>'Önk.bev.'!G108</f>
        <v>5289000</v>
      </c>
      <c r="F21" s="516"/>
      <c r="G21" s="510"/>
      <c r="H21" s="510"/>
      <c r="I21" s="511"/>
      <c r="J21" s="514"/>
      <c r="K21" s="510"/>
      <c r="L21" s="511"/>
      <c r="M21" s="514"/>
      <c r="N21" s="510"/>
      <c r="O21" s="510"/>
      <c r="P21" s="515"/>
    </row>
    <row r="22" spans="1:16" ht="14.25" customHeight="1" x14ac:dyDescent="0.2">
      <c r="A22" s="476" t="s">
        <v>51</v>
      </c>
      <c r="B22" s="477" t="s">
        <v>21</v>
      </c>
      <c r="C22" s="481"/>
      <c r="D22" s="517"/>
      <c r="E22" s="516"/>
      <c r="F22" s="516"/>
      <c r="G22" s="510"/>
      <c r="H22" s="510"/>
      <c r="I22" s="511"/>
      <c r="J22" s="514"/>
      <c r="K22" s="510"/>
      <c r="L22" s="511"/>
      <c r="M22" s="514"/>
      <c r="N22" s="510"/>
      <c r="O22" s="510"/>
      <c r="P22" s="515"/>
    </row>
    <row r="23" spans="1:16" ht="12.95" customHeight="1" x14ac:dyDescent="0.2">
      <c r="A23" s="476" t="s">
        <v>52</v>
      </c>
      <c r="B23" s="479" t="s">
        <v>313</v>
      </c>
      <c r="C23" s="478"/>
      <c r="D23" s="509"/>
      <c r="E23" s="516"/>
      <c r="F23" s="510"/>
      <c r="G23" s="510"/>
      <c r="H23" s="510"/>
      <c r="I23" s="511"/>
      <c r="J23" s="514"/>
      <c r="K23" s="510"/>
      <c r="L23" s="511"/>
      <c r="M23" s="514"/>
      <c r="N23" s="510"/>
      <c r="O23" s="510"/>
      <c r="P23" s="515"/>
    </row>
    <row r="24" spans="1:16" ht="12.95" customHeight="1" x14ac:dyDescent="0.2">
      <c r="A24" s="476" t="s">
        <v>53</v>
      </c>
      <c r="B24" s="477" t="s">
        <v>314</v>
      </c>
      <c r="C24" s="478"/>
      <c r="D24" s="509"/>
      <c r="E24" s="516"/>
      <c r="F24" s="516"/>
      <c r="G24" s="510"/>
      <c r="H24" s="510"/>
      <c r="I24" s="511"/>
      <c r="J24" s="514"/>
      <c r="K24" s="510"/>
      <c r="L24" s="511"/>
      <c r="M24" s="514"/>
      <c r="N24" s="510"/>
      <c r="O24" s="510"/>
      <c r="P24" s="515"/>
    </row>
    <row r="25" spans="1:16" ht="12.95" customHeight="1" x14ac:dyDescent="0.2">
      <c r="A25" s="476" t="s">
        <v>54</v>
      </c>
      <c r="B25" s="477" t="s">
        <v>22</v>
      </c>
      <c r="C25" s="478"/>
      <c r="D25" s="509"/>
      <c r="E25" s="516"/>
      <c r="F25" s="516"/>
      <c r="G25" s="510"/>
      <c r="H25" s="510"/>
      <c r="I25" s="511"/>
      <c r="J25" s="514"/>
      <c r="K25" s="510"/>
      <c r="L25" s="511"/>
      <c r="M25" s="514"/>
      <c r="N25" s="510"/>
      <c r="O25" s="510"/>
      <c r="P25" s="515"/>
    </row>
    <row r="26" spans="1:16" ht="12.95" customHeight="1" x14ac:dyDescent="0.2">
      <c r="A26" s="476" t="s">
        <v>55</v>
      </c>
      <c r="B26" s="477" t="s">
        <v>245</v>
      </c>
      <c r="C26" s="481"/>
      <c r="D26" s="517"/>
      <c r="E26" s="516"/>
      <c r="F26" s="516"/>
      <c r="G26" s="510"/>
      <c r="H26" s="510"/>
      <c r="I26" s="511"/>
      <c r="J26" s="514"/>
      <c r="K26" s="510"/>
      <c r="L26" s="511"/>
      <c r="M26" s="514"/>
      <c r="N26" s="510"/>
      <c r="O26" s="510"/>
      <c r="P26" s="515"/>
    </row>
    <row r="27" spans="1:16" ht="12.95" customHeight="1" x14ac:dyDescent="0.2">
      <c r="A27" s="476" t="s">
        <v>56</v>
      </c>
      <c r="B27" s="477" t="s">
        <v>23</v>
      </c>
      <c r="C27" s="478"/>
      <c r="D27" s="509"/>
      <c r="E27" s="516"/>
      <c r="F27" s="516"/>
      <c r="G27" s="510"/>
      <c r="H27" s="510"/>
      <c r="I27" s="511"/>
      <c r="J27" s="514"/>
      <c r="K27" s="510"/>
      <c r="L27" s="511"/>
      <c r="M27" s="514"/>
      <c r="N27" s="510"/>
      <c r="O27" s="510"/>
      <c r="P27" s="515"/>
    </row>
    <row r="28" spans="1:16" ht="12.95" customHeight="1" x14ac:dyDescent="0.2">
      <c r="A28" s="476" t="s">
        <v>57</v>
      </c>
      <c r="B28" s="477" t="s">
        <v>24</v>
      </c>
      <c r="C28" s="478"/>
      <c r="D28" s="509"/>
      <c r="E28" s="516"/>
      <c r="F28" s="516"/>
      <c r="G28" s="510"/>
      <c r="H28" s="510"/>
      <c r="I28" s="511"/>
      <c r="J28" s="514"/>
      <c r="K28" s="510"/>
      <c r="L28" s="511"/>
      <c r="M28" s="514"/>
      <c r="N28" s="510"/>
      <c r="O28" s="510"/>
      <c r="P28" s="515"/>
    </row>
    <row r="29" spans="1:16" ht="12.95" customHeight="1" x14ac:dyDescent="0.2">
      <c r="A29" s="476" t="s">
        <v>58</v>
      </c>
      <c r="B29" s="477" t="s">
        <v>25</v>
      </c>
      <c r="C29" s="478"/>
      <c r="D29" s="509"/>
      <c r="E29" s="516"/>
      <c r="F29" s="516"/>
      <c r="G29" s="510"/>
      <c r="H29" s="510"/>
      <c r="I29" s="511"/>
      <c r="J29" s="514"/>
      <c r="K29" s="510"/>
      <c r="L29" s="511"/>
      <c r="M29" s="514"/>
      <c r="N29" s="510"/>
      <c r="O29" s="510"/>
      <c r="P29" s="515"/>
    </row>
    <row r="30" spans="1:16" ht="12.95" customHeight="1" x14ac:dyDescent="0.2">
      <c r="A30" s="476" t="s">
        <v>59</v>
      </c>
      <c r="B30" s="477" t="s">
        <v>26</v>
      </c>
      <c r="C30" s="478"/>
      <c r="D30" s="509"/>
      <c r="E30" s="516"/>
      <c r="F30" s="516"/>
      <c r="G30" s="510"/>
      <c r="H30" s="510"/>
      <c r="I30" s="511"/>
      <c r="J30" s="514"/>
      <c r="K30" s="510"/>
      <c r="L30" s="511"/>
      <c r="M30" s="514"/>
      <c r="N30" s="510"/>
      <c r="O30" s="510"/>
      <c r="P30" s="515"/>
    </row>
    <row r="31" spans="1:16" ht="12.95" customHeight="1" x14ac:dyDescent="0.2">
      <c r="A31" s="476" t="s">
        <v>60</v>
      </c>
      <c r="B31" s="477" t="s">
        <v>27</v>
      </c>
      <c r="C31" s="478"/>
      <c r="D31" s="509"/>
      <c r="E31" s="516"/>
      <c r="F31" s="516"/>
      <c r="G31" s="510"/>
      <c r="H31" s="510"/>
      <c r="I31" s="511"/>
      <c r="J31" s="514"/>
      <c r="K31" s="510"/>
      <c r="L31" s="511"/>
      <c r="M31" s="514"/>
      <c r="N31" s="510"/>
      <c r="O31" s="510"/>
      <c r="P31" s="515"/>
    </row>
    <row r="32" spans="1:16" ht="12.95" customHeight="1" x14ac:dyDescent="0.2">
      <c r="A32" s="476" t="s">
        <v>61</v>
      </c>
      <c r="B32" s="477" t="s">
        <v>246</v>
      </c>
      <c r="C32" s="478"/>
      <c r="D32" s="509"/>
      <c r="E32" s="516"/>
      <c r="F32" s="516"/>
      <c r="G32" s="510"/>
      <c r="H32" s="510"/>
      <c r="I32" s="511"/>
      <c r="J32" s="514"/>
      <c r="K32" s="510"/>
      <c r="L32" s="511"/>
      <c r="M32" s="514"/>
      <c r="N32" s="510"/>
      <c r="O32" s="510"/>
      <c r="P32" s="515"/>
    </row>
    <row r="33" spans="1:16" ht="12.95" customHeight="1" x14ac:dyDescent="0.2">
      <c r="A33" s="476" t="s">
        <v>62</v>
      </c>
      <c r="B33" s="482" t="s">
        <v>332</v>
      </c>
      <c r="C33" s="478"/>
      <c r="D33" s="509"/>
      <c r="E33" s="516"/>
      <c r="F33" s="516"/>
      <c r="G33" s="510"/>
      <c r="H33" s="510"/>
      <c r="I33" s="511"/>
      <c r="J33" s="514"/>
      <c r="K33" s="510"/>
      <c r="L33" s="511"/>
      <c r="M33" s="514"/>
      <c r="N33" s="510"/>
      <c r="O33" s="510"/>
      <c r="P33" s="515"/>
    </row>
    <row r="34" spans="1:16" ht="12.95" customHeight="1" x14ac:dyDescent="0.2">
      <c r="A34" s="476" t="s">
        <v>63</v>
      </c>
      <c r="B34" s="477" t="s">
        <v>316</v>
      </c>
      <c r="C34" s="478"/>
      <c r="D34" s="509"/>
      <c r="E34" s="516"/>
      <c r="F34" s="516"/>
      <c r="G34" s="510"/>
      <c r="H34" s="510"/>
      <c r="I34" s="511"/>
      <c r="J34" s="514"/>
      <c r="K34" s="510"/>
      <c r="L34" s="511"/>
      <c r="M34" s="514"/>
      <c r="N34" s="510"/>
      <c r="O34" s="510"/>
      <c r="P34" s="515"/>
    </row>
    <row r="35" spans="1:16" ht="12.95" customHeight="1" x14ac:dyDescent="0.2">
      <c r="A35" s="476" t="s">
        <v>64</v>
      </c>
      <c r="B35" s="477" t="s">
        <v>317</v>
      </c>
      <c r="C35" s="478"/>
      <c r="D35" s="509"/>
      <c r="E35" s="516"/>
      <c r="F35" s="516">
        <v>103500</v>
      </c>
      <c r="G35" s="510"/>
      <c r="H35" s="510"/>
      <c r="I35" s="511"/>
      <c r="J35" s="514"/>
      <c r="K35" s="510"/>
      <c r="L35" s="511"/>
      <c r="M35" s="514"/>
      <c r="N35" s="510"/>
      <c r="O35" s="510"/>
      <c r="P35" s="515"/>
    </row>
    <row r="36" spans="1:16" ht="12.95" customHeight="1" x14ac:dyDescent="0.2">
      <c r="A36" s="476" t="s">
        <v>65</v>
      </c>
      <c r="B36" s="477" t="s">
        <v>28</v>
      </c>
      <c r="C36" s="478"/>
      <c r="D36" s="509"/>
      <c r="E36" s="516"/>
      <c r="F36" s="516"/>
      <c r="G36" s="510"/>
      <c r="H36" s="510"/>
      <c r="I36" s="511"/>
      <c r="J36" s="514"/>
      <c r="K36" s="510"/>
      <c r="L36" s="511"/>
      <c r="M36" s="514"/>
      <c r="N36" s="510"/>
      <c r="O36" s="510"/>
      <c r="P36" s="515"/>
    </row>
    <row r="37" spans="1:16" ht="12.95" customHeight="1" x14ac:dyDescent="0.2">
      <c r="A37" s="476" t="s">
        <v>66</v>
      </c>
      <c r="B37" s="477" t="s">
        <v>29</v>
      </c>
      <c r="C37" s="478"/>
      <c r="D37" s="509"/>
      <c r="E37" s="516"/>
      <c r="F37" s="516"/>
      <c r="G37" s="510"/>
      <c r="H37" s="510"/>
      <c r="I37" s="511"/>
      <c r="J37" s="514"/>
      <c r="K37" s="510"/>
      <c r="L37" s="511"/>
      <c r="M37" s="514"/>
      <c r="N37" s="510"/>
      <c r="O37" s="510"/>
      <c r="P37" s="515"/>
    </row>
    <row r="38" spans="1:16" ht="12.95" customHeight="1" x14ac:dyDescent="0.2">
      <c r="A38" s="476" t="s">
        <v>67</v>
      </c>
      <c r="B38" s="477" t="s">
        <v>30</v>
      </c>
      <c r="C38" s="478"/>
      <c r="D38" s="509"/>
      <c r="E38" s="516"/>
      <c r="F38" s="516"/>
      <c r="G38" s="510"/>
      <c r="H38" s="510"/>
      <c r="I38" s="511"/>
      <c r="J38" s="514"/>
      <c r="K38" s="510"/>
      <c r="L38" s="511"/>
      <c r="M38" s="514"/>
      <c r="N38" s="510"/>
      <c r="O38" s="510"/>
      <c r="P38" s="515"/>
    </row>
    <row r="39" spans="1:16" ht="12.95" customHeight="1" x14ac:dyDescent="0.2">
      <c r="A39" s="476" t="s">
        <v>68</v>
      </c>
      <c r="B39" s="477" t="s">
        <v>31</v>
      </c>
      <c r="C39" s="478"/>
      <c r="D39" s="509"/>
      <c r="E39" s="516"/>
      <c r="F39" s="516"/>
      <c r="G39" s="510"/>
      <c r="H39" s="510"/>
      <c r="I39" s="511"/>
      <c r="J39" s="514"/>
      <c r="K39" s="510"/>
      <c r="L39" s="511"/>
      <c r="M39" s="514"/>
      <c r="N39" s="510"/>
      <c r="O39" s="510"/>
      <c r="P39" s="515"/>
    </row>
    <row r="40" spans="1:16" ht="12.95" customHeight="1" x14ac:dyDescent="0.2">
      <c r="A40" s="476" t="s">
        <v>69</v>
      </c>
      <c r="B40" s="477" t="s">
        <v>32</v>
      </c>
      <c r="C40" s="478"/>
      <c r="D40" s="509"/>
      <c r="E40" s="516"/>
      <c r="F40" s="516"/>
      <c r="G40" s="510"/>
      <c r="H40" s="510"/>
      <c r="I40" s="511"/>
      <c r="J40" s="514"/>
      <c r="K40" s="510"/>
      <c r="L40" s="511"/>
      <c r="M40" s="514"/>
      <c r="N40" s="510"/>
      <c r="O40" s="510"/>
      <c r="P40" s="515"/>
    </row>
    <row r="41" spans="1:16" ht="12.95" customHeight="1" thickBot="1" x14ac:dyDescent="0.25">
      <c r="A41" s="476" t="s">
        <v>70</v>
      </c>
      <c r="B41" s="483" t="s">
        <v>247</v>
      </c>
      <c r="C41" s="484"/>
      <c r="D41" s="528"/>
      <c r="E41" s="529"/>
      <c r="F41" s="529"/>
      <c r="G41" s="530"/>
      <c r="H41" s="530"/>
      <c r="I41" s="531"/>
      <c r="J41" s="532"/>
      <c r="K41" s="530"/>
      <c r="L41" s="531"/>
      <c r="M41" s="532"/>
      <c r="N41" s="530"/>
      <c r="O41" s="530"/>
      <c r="P41" s="533"/>
    </row>
    <row r="42" spans="1:16" ht="12.95" customHeight="1" x14ac:dyDescent="0.2">
      <c r="A42" s="1112" t="s">
        <v>35</v>
      </c>
      <c r="B42" s="1114" t="s">
        <v>330</v>
      </c>
      <c r="C42" s="1110" t="s">
        <v>186</v>
      </c>
      <c r="D42" s="1118" t="s">
        <v>191</v>
      </c>
      <c r="E42" s="1076" t="s">
        <v>167</v>
      </c>
      <c r="F42" s="1077"/>
      <c r="G42" s="1077"/>
      <c r="H42" s="1077"/>
      <c r="I42" s="1096"/>
      <c r="J42" s="1107" t="s">
        <v>4</v>
      </c>
      <c r="K42" s="1108"/>
      <c r="L42" s="1109"/>
      <c r="M42" s="1100" t="s">
        <v>360</v>
      </c>
      <c r="N42" s="1101"/>
      <c r="O42" s="1101"/>
      <c r="P42" s="1102"/>
    </row>
    <row r="43" spans="1:16" ht="27.75" customHeight="1" thickBot="1" x14ac:dyDescent="0.25">
      <c r="A43" s="1113"/>
      <c r="B43" s="1115"/>
      <c r="C43" s="1111"/>
      <c r="D43" s="1119"/>
      <c r="E43" s="485" t="s">
        <v>213</v>
      </c>
      <c r="F43" s="486" t="s">
        <v>164</v>
      </c>
      <c r="G43" s="487" t="s">
        <v>165</v>
      </c>
      <c r="H43" s="487" t="s">
        <v>214</v>
      </c>
      <c r="I43" s="488" t="s">
        <v>166</v>
      </c>
      <c r="J43" s="489" t="s">
        <v>215</v>
      </c>
      <c r="K43" s="487" t="s">
        <v>168</v>
      </c>
      <c r="L43" s="488" t="s">
        <v>169</v>
      </c>
      <c r="M43" s="489" t="s">
        <v>170</v>
      </c>
      <c r="N43" s="487" t="s">
        <v>171</v>
      </c>
      <c r="O43" s="487" t="s">
        <v>172</v>
      </c>
      <c r="P43" s="488" t="s">
        <v>173</v>
      </c>
    </row>
    <row r="44" spans="1:16" ht="12.95" customHeight="1" x14ac:dyDescent="0.2">
      <c r="A44" s="490" t="s">
        <v>71</v>
      </c>
      <c r="B44" s="491" t="s">
        <v>248</v>
      </c>
      <c r="C44" s="492"/>
      <c r="D44" s="534"/>
      <c r="E44" s="535"/>
      <c r="F44" s="508"/>
      <c r="G44" s="536"/>
      <c r="H44" s="536"/>
      <c r="I44" s="537"/>
      <c r="J44" s="538"/>
      <c r="K44" s="536"/>
      <c r="L44" s="537"/>
      <c r="M44" s="538"/>
      <c r="N44" s="536"/>
      <c r="O44" s="536"/>
      <c r="P44" s="537"/>
    </row>
    <row r="45" spans="1:16" ht="12.95" customHeight="1" x14ac:dyDescent="0.2">
      <c r="A45" s="476" t="s">
        <v>72</v>
      </c>
      <c r="B45" s="453" t="s">
        <v>249</v>
      </c>
      <c r="C45" s="493"/>
      <c r="D45" s="539"/>
      <c r="E45" s="540"/>
      <c r="F45" s="512"/>
      <c r="G45" s="541"/>
      <c r="H45" s="541"/>
      <c r="I45" s="542"/>
      <c r="J45" s="543"/>
      <c r="K45" s="541"/>
      <c r="L45" s="542"/>
      <c r="M45" s="543"/>
      <c r="N45" s="541"/>
      <c r="O45" s="541"/>
      <c r="P45" s="542"/>
    </row>
    <row r="46" spans="1:16" ht="12.95" customHeight="1" x14ac:dyDescent="0.2">
      <c r="A46" s="476" t="s">
        <v>73</v>
      </c>
      <c r="B46" s="454" t="s">
        <v>318</v>
      </c>
      <c r="C46" s="493"/>
      <c r="D46" s="539"/>
      <c r="E46" s="540"/>
      <c r="F46" s="512"/>
      <c r="G46" s="541"/>
      <c r="H46" s="541"/>
      <c r="I46" s="542"/>
      <c r="J46" s="543"/>
      <c r="K46" s="541"/>
      <c r="L46" s="542"/>
      <c r="M46" s="543"/>
      <c r="N46" s="541"/>
      <c r="O46" s="541"/>
      <c r="P46" s="542"/>
    </row>
    <row r="47" spans="1:16" ht="12.95" customHeight="1" x14ac:dyDescent="0.2">
      <c r="A47" s="476" t="s">
        <v>74</v>
      </c>
      <c r="B47" s="454" t="s">
        <v>319</v>
      </c>
      <c r="C47" s="493">
        <v>4</v>
      </c>
      <c r="D47" s="539"/>
      <c r="E47" s="540">
        <f>'Önk.bev.'!G82</f>
        <v>1465826</v>
      </c>
      <c r="F47" s="512"/>
      <c r="G47" s="541"/>
      <c r="H47" s="541"/>
      <c r="I47" s="542"/>
      <c r="J47" s="543"/>
      <c r="K47" s="541"/>
      <c r="L47" s="542"/>
      <c r="M47" s="543"/>
      <c r="N47" s="541"/>
      <c r="O47" s="541"/>
      <c r="P47" s="542"/>
    </row>
    <row r="48" spans="1:16" ht="12.95" customHeight="1" x14ac:dyDescent="0.2">
      <c r="A48" s="476" t="s">
        <v>75</v>
      </c>
      <c r="B48" s="454" t="s">
        <v>320</v>
      </c>
      <c r="C48" s="494">
        <v>0</v>
      </c>
      <c r="D48" s="544"/>
      <c r="E48" s="540">
        <v>1220000</v>
      </c>
      <c r="F48" s="512"/>
      <c r="G48" s="541"/>
      <c r="H48" s="541"/>
      <c r="I48" s="542"/>
      <c r="J48" s="543"/>
      <c r="K48" s="541"/>
      <c r="L48" s="542"/>
      <c r="M48" s="543"/>
      <c r="N48" s="541"/>
      <c r="O48" s="541"/>
      <c r="P48" s="542"/>
    </row>
    <row r="49" spans="1:16" ht="12.95" customHeight="1" x14ac:dyDescent="0.2">
      <c r="A49" s="476" t="s">
        <v>76</v>
      </c>
      <c r="B49" s="454" t="s">
        <v>250</v>
      </c>
      <c r="C49" s="493"/>
      <c r="D49" s="539"/>
      <c r="E49" s="540"/>
      <c r="F49" s="512"/>
      <c r="G49" s="541"/>
      <c r="H49" s="541"/>
      <c r="I49" s="542"/>
      <c r="J49" s="543"/>
      <c r="K49" s="541"/>
      <c r="L49" s="542"/>
      <c r="M49" s="543"/>
      <c r="N49" s="541"/>
      <c r="O49" s="541"/>
      <c r="P49" s="542"/>
    </row>
    <row r="50" spans="1:16" ht="12.95" customHeight="1" x14ac:dyDescent="0.2">
      <c r="A50" s="476" t="s">
        <v>77</v>
      </c>
      <c r="B50" s="454" t="s">
        <v>251</v>
      </c>
      <c r="C50" s="493"/>
      <c r="D50" s="539"/>
      <c r="E50" s="540"/>
      <c r="F50" s="512"/>
      <c r="G50" s="541"/>
      <c r="H50" s="541"/>
      <c r="I50" s="542"/>
      <c r="J50" s="543"/>
      <c r="K50" s="541"/>
      <c r="L50" s="542"/>
      <c r="M50" s="543"/>
      <c r="N50" s="541"/>
      <c r="O50" s="541"/>
      <c r="P50" s="542"/>
    </row>
    <row r="51" spans="1:16" ht="12.95" customHeight="1" x14ac:dyDescent="0.2">
      <c r="A51" s="476" t="s">
        <v>78</v>
      </c>
      <c r="B51" s="454" t="s">
        <v>252</v>
      </c>
      <c r="C51" s="494"/>
      <c r="D51" s="544"/>
      <c r="E51" s="545"/>
      <c r="F51" s="512"/>
      <c r="G51" s="541"/>
      <c r="H51" s="541"/>
      <c r="I51" s="542"/>
      <c r="J51" s="543"/>
      <c r="K51" s="541"/>
      <c r="L51" s="542"/>
      <c r="M51" s="543"/>
      <c r="N51" s="541"/>
      <c r="O51" s="541"/>
      <c r="P51" s="542"/>
    </row>
    <row r="52" spans="1:16" ht="12.95" customHeight="1" x14ac:dyDescent="0.2">
      <c r="A52" s="476" t="s">
        <v>79</v>
      </c>
      <c r="B52" s="454" t="s">
        <v>253</v>
      </c>
      <c r="C52" s="494"/>
      <c r="D52" s="544"/>
      <c r="E52" s="546"/>
      <c r="F52" s="544"/>
      <c r="G52" s="541"/>
      <c r="H52" s="541"/>
      <c r="I52" s="542"/>
      <c r="J52" s="543"/>
      <c r="K52" s="541"/>
      <c r="L52" s="542"/>
      <c r="M52" s="543"/>
      <c r="N52" s="541"/>
      <c r="O52" s="541"/>
      <c r="P52" s="542"/>
    </row>
    <row r="53" spans="1:16" ht="12.95" customHeight="1" x14ac:dyDescent="0.2">
      <c r="A53" s="476" t="s">
        <v>80</v>
      </c>
      <c r="B53" s="453" t="s">
        <v>34</v>
      </c>
      <c r="C53" s="493"/>
      <c r="D53" s="539"/>
      <c r="E53" s="540"/>
      <c r="F53" s="512"/>
      <c r="G53" s="541"/>
      <c r="H53" s="541"/>
      <c r="I53" s="542"/>
      <c r="J53" s="543"/>
      <c r="K53" s="541"/>
      <c r="L53" s="542"/>
      <c r="M53" s="543"/>
      <c r="N53" s="541"/>
      <c r="O53" s="541"/>
      <c r="P53" s="542"/>
    </row>
    <row r="54" spans="1:16" ht="12.95" customHeight="1" x14ac:dyDescent="0.2">
      <c r="A54" s="476"/>
      <c r="B54" s="495" t="s">
        <v>254</v>
      </c>
      <c r="C54" s="494"/>
      <c r="D54" s="544"/>
      <c r="E54" s="540"/>
      <c r="F54" s="512"/>
      <c r="G54" s="541"/>
      <c r="H54" s="541"/>
      <c r="I54" s="542"/>
      <c r="J54" s="543"/>
      <c r="K54" s="541"/>
      <c r="L54" s="542"/>
      <c r="M54" s="543"/>
      <c r="N54" s="541"/>
      <c r="O54" s="541"/>
      <c r="P54" s="542"/>
    </row>
    <row r="55" spans="1:16" ht="12.95" customHeight="1" x14ac:dyDescent="0.2">
      <c r="A55" s="476" t="s">
        <v>15</v>
      </c>
      <c r="B55" s="455" t="s">
        <v>321</v>
      </c>
      <c r="C55" s="494"/>
      <c r="D55" s="544"/>
      <c r="E55" s="546"/>
      <c r="F55" s="512"/>
      <c r="G55" s="541"/>
      <c r="H55" s="541"/>
      <c r="I55" s="542"/>
      <c r="J55" s="543"/>
      <c r="K55" s="541"/>
      <c r="L55" s="542"/>
      <c r="M55" s="543"/>
      <c r="N55" s="541"/>
      <c r="O55" s="541"/>
      <c r="P55" s="542"/>
    </row>
    <row r="56" spans="1:16" ht="12.95" customHeight="1" x14ac:dyDescent="0.2">
      <c r="A56" s="476" t="s">
        <v>37</v>
      </c>
      <c r="B56" s="453" t="s">
        <v>314</v>
      </c>
      <c r="C56" s="494"/>
      <c r="D56" s="544"/>
      <c r="E56" s="547"/>
      <c r="F56" s="541"/>
      <c r="G56" s="541"/>
      <c r="H56" s="541"/>
      <c r="I56" s="542"/>
      <c r="J56" s="543"/>
      <c r="K56" s="541"/>
      <c r="L56" s="542"/>
      <c r="M56" s="543"/>
      <c r="N56" s="541"/>
      <c r="O56" s="541"/>
      <c r="P56" s="542"/>
    </row>
    <row r="57" spans="1:16" ht="12.95" customHeight="1" x14ac:dyDescent="0.2">
      <c r="A57" s="476" t="s">
        <v>38</v>
      </c>
      <c r="B57" s="453" t="s">
        <v>326</v>
      </c>
      <c r="C57" s="493"/>
      <c r="D57" s="539"/>
      <c r="E57" s="547"/>
      <c r="F57" s="541"/>
      <c r="G57" s="541"/>
      <c r="H57" s="541"/>
      <c r="I57" s="542"/>
      <c r="J57" s="543"/>
      <c r="K57" s="541"/>
      <c r="L57" s="542"/>
      <c r="M57" s="543"/>
      <c r="N57" s="541"/>
      <c r="O57" s="541"/>
      <c r="P57" s="542"/>
    </row>
    <row r="58" spans="1:16" ht="12.95" customHeight="1" x14ac:dyDescent="0.2">
      <c r="A58" s="476" t="s">
        <v>39</v>
      </c>
      <c r="B58" s="455" t="s">
        <v>255</v>
      </c>
      <c r="C58" s="493"/>
      <c r="D58" s="539"/>
      <c r="E58" s="547"/>
      <c r="F58" s="541"/>
      <c r="G58" s="541"/>
      <c r="H58" s="541"/>
      <c r="I58" s="542"/>
      <c r="J58" s="543"/>
      <c r="K58" s="541"/>
      <c r="L58" s="542"/>
      <c r="M58" s="543"/>
      <c r="N58" s="541"/>
      <c r="O58" s="541"/>
      <c r="P58" s="542"/>
    </row>
    <row r="59" spans="1:16" x14ac:dyDescent="0.2">
      <c r="A59" s="476" t="s">
        <v>40</v>
      </c>
      <c r="B59" s="453" t="s">
        <v>322</v>
      </c>
      <c r="C59" s="493"/>
      <c r="D59" s="539"/>
      <c r="E59" s="547"/>
      <c r="F59" s="548"/>
      <c r="G59" s="541"/>
      <c r="H59" s="541"/>
      <c r="I59" s="542"/>
      <c r="J59" s="543"/>
      <c r="K59" s="541"/>
      <c r="L59" s="542"/>
      <c r="M59" s="543"/>
      <c r="N59" s="541"/>
      <c r="O59" s="541"/>
      <c r="P59" s="542"/>
    </row>
    <row r="60" spans="1:16" ht="25.5" x14ac:dyDescent="0.2">
      <c r="A60" s="476" t="s">
        <v>41</v>
      </c>
      <c r="B60" s="455" t="s">
        <v>307</v>
      </c>
      <c r="C60" s="493">
        <v>13</v>
      </c>
      <c r="D60" s="586">
        <f>'Hiv.bev.'!G9</f>
        <v>72398400</v>
      </c>
      <c r="E60" s="549"/>
      <c r="F60" s="588">
        <f>'Hiv.bev.'!G24</f>
        <v>3006116</v>
      </c>
      <c r="G60" s="550"/>
      <c r="H60" s="588">
        <f>'Hiv.bev.'!G18+'Hiv.bev.'!G19</f>
        <v>98616</v>
      </c>
      <c r="I60" s="587">
        <f>'Hiv.bev.'!G17</f>
        <v>3500000</v>
      </c>
      <c r="J60" s="552"/>
      <c r="K60" s="550"/>
      <c r="L60" s="551"/>
      <c r="M60" s="552"/>
      <c r="N60" s="550"/>
      <c r="O60" s="550"/>
      <c r="P60" s="587">
        <f>'Hiv.bev.'!G8</f>
        <v>816868</v>
      </c>
    </row>
    <row r="61" spans="1:16" x14ac:dyDescent="0.2">
      <c r="A61" s="476" t="s">
        <v>42</v>
      </c>
      <c r="B61" s="453" t="s">
        <v>323</v>
      </c>
      <c r="C61" s="493"/>
      <c r="D61" s="539"/>
      <c r="E61" s="547"/>
      <c r="F61" s="541"/>
      <c r="G61" s="541"/>
      <c r="H61" s="541"/>
      <c r="I61" s="542"/>
      <c r="J61" s="543"/>
      <c r="K61" s="541"/>
      <c r="L61" s="542"/>
      <c r="M61" s="543"/>
      <c r="N61" s="541"/>
      <c r="O61" s="541"/>
      <c r="P61" s="542"/>
    </row>
    <row r="62" spans="1:16" x14ac:dyDescent="0.2">
      <c r="A62" s="476"/>
      <c r="B62" s="495" t="s">
        <v>256</v>
      </c>
      <c r="C62" s="493"/>
      <c r="D62" s="539"/>
      <c r="E62" s="547"/>
      <c r="F62" s="541"/>
      <c r="G62" s="541"/>
      <c r="H62" s="541"/>
      <c r="I62" s="542"/>
      <c r="J62" s="543"/>
      <c r="K62" s="541"/>
      <c r="L62" s="542"/>
      <c r="M62" s="543"/>
      <c r="N62" s="541"/>
      <c r="O62" s="541"/>
      <c r="P62" s="542"/>
    </row>
    <row r="63" spans="1:16" x14ac:dyDescent="0.2">
      <c r="A63" s="476" t="s">
        <v>88</v>
      </c>
      <c r="B63" s="453" t="s">
        <v>257</v>
      </c>
      <c r="C63" s="493"/>
      <c r="D63" s="539"/>
      <c r="E63" s="547"/>
      <c r="F63" s="541"/>
      <c r="G63" s="541"/>
      <c r="H63" s="541"/>
      <c r="I63" s="542"/>
      <c r="J63" s="543"/>
      <c r="K63" s="541"/>
      <c r="L63" s="542"/>
      <c r="M63" s="543"/>
      <c r="N63" s="541"/>
      <c r="O63" s="541"/>
      <c r="P63" s="542"/>
    </row>
    <row r="64" spans="1:16" x14ac:dyDescent="0.2">
      <c r="A64" s="476" t="s">
        <v>37</v>
      </c>
      <c r="B64" s="453" t="s">
        <v>258</v>
      </c>
      <c r="C64" s="493"/>
      <c r="D64" s="539"/>
      <c r="E64" s="547"/>
      <c r="F64" s="541"/>
      <c r="G64" s="541"/>
      <c r="H64" s="541"/>
      <c r="I64" s="542"/>
      <c r="J64" s="543"/>
      <c r="K64" s="541"/>
      <c r="L64" s="542"/>
      <c r="M64" s="543"/>
      <c r="N64" s="541"/>
      <c r="O64" s="541"/>
      <c r="P64" s="542"/>
    </row>
    <row r="65" spans="1:16" x14ac:dyDescent="0.2">
      <c r="A65" s="476" t="s">
        <v>333</v>
      </c>
      <c r="B65" s="453" t="s">
        <v>33</v>
      </c>
      <c r="C65" s="493"/>
      <c r="D65" s="539"/>
      <c r="E65" s="547"/>
      <c r="F65" s="541"/>
      <c r="G65" s="541"/>
      <c r="H65" s="541"/>
      <c r="I65" s="542"/>
      <c r="J65" s="543"/>
      <c r="K65" s="541"/>
      <c r="L65" s="542"/>
      <c r="M65" s="543"/>
      <c r="N65" s="541"/>
      <c r="O65" s="541"/>
      <c r="P65" s="542"/>
    </row>
    <row r="66" spans="1:16" x14ac:dyDescent="0.2">
      <c r="A66" s="476" t="s">
        <v>334</v>
      </c>
      <c r="B66" s="453" t="s">
        <v>331</v>
      </c>
      <c r="C66" s="493">
        <v>2</v>
      </c>
      <c r="D66" s="509">
        <f>'Művh.bev.'!G11</f>
        <v>13566400</v>
      </c>
      <c r="E66" s="547"/>
      <c r="F66" s="541"/>
      <c r="G66" s="541"/>
      <c r="H66" s="548">
        <f>'Művh.bev.'!G8+'Művh.bev.'!G9</f>
        <v>98911</v>
      </c>
      <c r="I66" s="542"/>
      <c r="J66" s="543"/>
      <c r="K66" s="541"/>
      <c r="L66" s="542"/>
      <c r="M66" s="543"/>
      <c r="N66" s="541"/>
      <c r="O66" s="541"/>
      <c r="P66" s="574">
        <f>'Művh.bev.'!G10</f>
        <v>103089</v>
      </c>
    </row>
    <row r="67" spans="1:16" x14ac:dyDescent="0.2">
      <c r="A67" s="476"/>
      <c r="B67" s="495" t="s">
        <v>261</v>
      </c>
      <c r="C67" s="493"/>
      <c r="D67" s="539"/>
      <c r="E67" s="547"/>
      <c r="F67" s="541"/>
      <c r="G67" s="541"/>
      <c r="H67" s="541"/>
      <c r="I67" s="542"/>
      <c r="J67" s="543"/>
      <c r="K67" s="541"/>
      <c r="L67" s="542"/>
      <c r="M67" s="543"/>
      <c r="N67" s="541"/>
      <c r="O67" s="541"/>
      <c r="P67" s="542"/>
    </row>
    <row r="68" spans="1:16" x14ac:dyDescent="0.2">
      <c r="A68" s="476" t="s">
        <v>15</v>
      </c>
      <c r="B68" s="453" t="s">
        <v>327</v>
      </c>
      <c r="C68" s="493">
        <v>6</v>
      </c>
      <c r="D68" s="509">
        <f>Ovibev.!G12</f>
        <v>63412301</v>
      </c>
      <c r="E68" s="547"/>
      <c r="F68" s="541"/>
      <c r="G68" s="541"/>
      <c r="H68" s="541"/>
      <c r="I68" s="542"/>
      <c r="J68" s="543"/>
      <c r="K68" s="541"/>
      <c r="L68" s="542"/>
      <c r="M68" s="543"/>
      <c r="N68" s="541"/>
      <c r="O68" s="541"/>
      <c r="P68" s="574">
        <f>Ovibev.!G11</f>
        <v>298687</v>
      </c>
    </row>
    <row r="69" spans="1:16" x14ac:dyDescent="0.2">
      <c r="A69" s="476" t="s">
        <v>37</v>
      </c>
      <c r="B69" s="453" t="s">
        <v>311</v>
      </c>
      <c r="C69" s="493"/>
      <c r="D69" s="539"/>
      <c r="E69" s="547"/>
      <c r="F69" s="541"/>
      <c r="G69" s="541"/>
      <c r="H69" s="548">
        <f>Ovibev.!G9+Ovibev.!G10</f>
        <v>1398012</v>
      </c>
      <c r="I69" s="542"/>
      <c r="J69" s="543"/>
      <c r="K69" s="541"/>
      <c r="L69" s="542"/>
      <c r="M69" s="543"/>
      <c r="N69" s="541"/>
      <c r="O69" s="541"/>
      <c r="P69" s="542"/>
    </row>
    <row r="70" spans="1:16" x14ac:dyDescent="0.2">
      <c r="A70" s="476" t="s">
        <v>38</v>
      </c>
      <c r="B70" s="453" t="s">
        <v>262</v>
      </c>
      <c r="C70" s="496"/>
      <c r="D70" s="553"/>
      <c r="E70" s="554"/>
      <c r="F70" s="555"/>
      <c r="G70" s="555"/>
      <c r="H70" s="555"/>
      <c r="I70" s="556"/>
      <c r="J70" s="557"/>
      <c r="K70" s="555"/>
      <c r="L70" s="556"/>
      <c r="M70" s="557"/>
      <c r="N70" s="555"/>
      <c r="O70" s="555"/>
      <c r="P70" s="556"/>
    </row>
    <row r="71" spans="1:16" x14ac:dyDescent="0.2">
      <c r="A71" s="476" t="s">
        <v>39</v>
      </c>
      <c r="B71" s="453" t="s">
        <v>328</v>
      </c>
      <c r="C71" s="496">
        <v>3</v>
      </c>
      <c r="D71" s="553"/>
      <c r="E71" s="554"/>
      <c r="F71" s="555"/>
      <c r="G71" s="555"/>
      <c r="H71" s="555"/>
      <c r="I71" s="556"/>
      <c r="J71" s="557"/>
      <c r="K71" s="555"/>
      <c r="L71" s="556"/>
      <c r="M71" s="557"/>
      <c r="N71" s="555"/>
      <c r="O71" s="555"/>
      <c r="P71" s="556"/>
    </row>
    <row r="72" spans="1:16" x14ac:dyDescent="0.2">
      <c r="A72" s="476" t="s">
        <v>40</v>
      </c>
      <c r="B72" s="453" t="s">
        <v>17</v>
      </c>
      <c r="C72" s="496">
        <v>1</v>
      </c>
      <c r="D72" s="553"/>
      <c r="E72" s="554"/>
      <c r="F72" s="555"/>
      <c r="G72" s="555"/>
      <c r="H72" s="555"/>
      <c r="I72" s="556"/>
      <c r="J72" s="557"/>
      <c r="K72" s="555"/>
      <c r="L72" s="556"/>
      <c r="M72" s="557"/>
      <c r="N72" s="555"/>
      <c r="O72" s="555"/>
      <c r="P72" s="556"/>
    </row>
    <row r="73" spans="1:16" ht="13.5" thickBot="1" x14ac:dyDescent="0.25">
      <c r="A73" s="505" t="s">
        <v>41</v>
      </c>
      <c r="B73" s="506" t="s">
        <v>363</v>
      </c>
      <c r="C73" s="496">
        <v>4</v>
      </c>
      <c r="D73" s="553"/>
      <c r="E73" s="554"/>
      <c r="F73" s="555"/>
      <c r="G73" s="555"/>
      <c r="H73" s="555"/>
      <c r="I73" s="556"/>
      <c r="J73" s="557"/>
      <c r="K73" s="555"/>
      <c r="L73" s="556"/>
      <c r="M73" s="557"/>
      <c r="N73" s="555"/>
      <c r="O73" s="555"/>
      <c r="P73" s="556"/>
    </row>
    <row r="74" spans="1:16" ht="13.5" thickBot="1" x14ac:dyDescent="0.25">
      <c r="A74" s="1065" t="s">
        <v>83</v>
      </c>
      <c r="B74" s="1091"/>
      <c r="C74" s="507">
        <f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558">
        <f>SUM(D7:D41)+SUM(D44:D73)</f>
        <v>149377101</v>
      </c>
      <c r="E74" s="558">
        <f t="shared" ref="E74:P74" si="0">SUM(E7:E41)+SUM(E44:E73)</f>
        <v>185497122</v>
      </c>
      <c r="F74" s="558">
        <f t="shared" si="0"/>
        <v>17294509</v>
      </c>
      <c r="G74" s="558">
        <f t="shared" si="0"/>
        <v>79500000</v>
      </c>
      <c r="H74" s="558">
        <f t="shared" si="0"/>
        <v>68599671</v>
      </c>
      <c r="I74" s="558">
        <f t="shared" si="0"/>
        <v>9680000</v>
      </c>
      <c r="J74" s="558">
        <f t="shared" si="0"/>
        <v>53827200</v>
      </c>
      <c r="K74" s="558">
        <f t="shared" si="0"/>
        <v>0</v>
      </c>
      <c r="L74" s="558">
        <f t="shared" si="0"/>
        <v>497000</v>
      </c>
      <c r="M74" s="558">
        <f t="shared" si="0"/>
        <v>0</v>
      </c>
      <c r="N74" s="558">
        <f t="shared" si="0"/>
        <v>0</v>
      </c>
      <c r="O74" s="558">
        <f t="shared" si="0"/>
        <v>0</v>
      </c>
      <c r="P74" s="558">
        <f t="shared" si="0"/>
        <v>114465797</v>
      </c>
    </row>
    <row r="75" spans="1:16" ht="18.75" customHeight="1" thickBot="1" x14ac:dyDescent="0.25">
      <c r="A75" s="1063" t="s">
        <v>174</v>
      </c>
      <c r="B75" s="1064"/>
      <c r="C75" s="498"/>
      <c r="D75" s="1122">
        <f>E74+F74+G74+H74+I74+J74+K74+L74+M74+N74+O74+P74+D74</f>
        <v>678738400</v>
      </c>
      <c r="E75" s="1122"/>
      <c r="F75" s="1122"/>
      <c r="G75" s="1122"/>
      <c r="H75" s="1122"/>
      <c r="I75" s="1122"/>
      <c r="J75" s="1122"/>
      <c r="K75" s="1122"/>
      <c r="L75" s="1122"/>
      <c r="M75" s="1122"/>
      <c r="N75" s="1122"/>
      <c r="O75" s="1122"/>
      <c r="P75" s="1123"/>
    </row>
    <row r="76" spans="1:16" ht="15" customHeight="1" thickBot="1" x14ac:dyDescent="0.25">
      <c r="A76" s="1081" t="s">
        <v>189</v>
      </c>
      <c r="B76" s="1082"/>
      <c r="C76" s="499"/>
      <c r="D76" s="1124">
        <f>-D74</f>
        <v>-149377101</v>
      </c>
      <c r="E76" s="1125"/>
      <c r="F76" s="1125"/>
      <c r="G76" s="1125"/>
      <c r="H76" s="1125"/>
      <c r="I76" s="1125"/>
      <c r="J76" s="1125"/>
      <c r="K76" s="1125"/>
      <c r="L76" s="1125"/>
      <c r="M76" s="1125"/>
      <c r="N76" s="1125"/>
      <c r="O76" s="1125"/>
      <c r="P76" s="1126"/>
    </row>
    <row r="77" spans="1:16" ht="13.5" thickBot="1" x14ac:dyDescent="0.25">
      <c r="A77" s="1083" t="s">
        <v>190</v>
      </c>
      <c r="B77" s="1084"/>
      <c r="C77" s="68"/>
      <c r="D77" s="1122">
        <f>SUM(D75:D76)</f>
        <v>529361299</v>
      </c>
      <c r="E77" s="1127"/>
      <c r="F77" s="1127"/>
      <c r="G77" s="1127"/>
      <c r="H77" s="1127"/>
      <c r="I77" s="1127"/>
      <c r="J77" s="1127"/>
      <c r="K77" s="1127"/>
      <c r="L77" s="1127"/>
      <c r="M77" s="1127"/>
      <c r="N77" s="1127"/>
      <c r="O77" s="1127"/>
      <c r="P77" s="1128"/>
    </row>
    <row r="78" spans="1:16" x14ac:dyDescent="0.2">
      <c r="A78" s="69"/>
      <c r="B78" s="69"/>
    </row>
    <row r="79" spans="1:16" x14ac:dyDescent="0.2">
      <c r="A79" s="69"/>
      <c r="B79" s="69"/>
    </row>
    <row r="80" spans="1:16" x14ac:dyDescent="0.2">
      <c r="A80" s="69"/>
      <c r="B80" s="69"/>
    </row>
    <row r="81" spans="1:16" x14ac:dyDescent="0.2">
      <c r="A81" s="69"/>
      <c r="B81" s="69"/>
    </row>
    <row r="82" spans="1:16" x14ac:dyDescent="0.2">
      <c r="A82" s="69"/>
      <c r="B82" s="69"/>
    </row>
    <row r="83" spans="1:16" ht="13.5" thickBot="1" x14ac:dyDescent="0.25">
      <c r="A83" s="69"/>
      <c r="B83" s="69"/>
    </row>
    <row r="84" spans="1:16" ht="12.75" customHeight="1" x14ac:dyDescent="0.2">
      <c r="A84" s="1133" t="s">
        <v>35</v>
      </c>
      <c r="B84" s="1087" t="s">
        <v>330</v>
      </c>
      <c r="C84" s="1110" t="s">
        <v>186</v>
      </c>
      <c r="D84" s="1120" t="s">
        <v>191</v>
      </c>
      <c r="E84" s="1069" t="s">
        <v>184</v>
      </c>
      <c r="F84" s="1069"/>
      <c r="G84" s="1069"/>
      <c r="H84" s="1069"/>
      <c r="I84" s="1069"/>
      <c r="J84" s="1070"/>
      <c r="K84" s="1071" t="s">
        <v>183</v>
      </c>
      <c r="L84" s="1072"/>
      <c r="M84" s="1072"/>
      <c r="N84" s="1073"/>
      <c r="O84" s="1074" t="s">
        <v>360</v>
      </c>
      <c r="P84" s="1075"/>
    </row>
    <row r="85" spans="1:16" ht="23.25" thickBot="1" x14ac:dyDescent="0.25">
      <c r="A85" s="1134"/>
      <c r="B85" s="1088"/>
      <c r="C85" s="1111"/>
      <c r="D85" s="1121"/>
      <c r="E85" s="485" t="s">
        <v>175</v>
      </c>
      <c r="F85" s="486" t="s">
        <v>176</v>
      </c>
      <c r="G85" s="487" t="s">
        <v>177</v>
      </c>
      <c r="H85" s="487" t="s">
        <v>178</v>
      </c>
      <c r="I85" s="487" t="s">
        <v>179</v>
      </c>
      <c r="J85" s="488" t="s">
        <v>217</v>
      </c>
      <c r="K85" s="489" t="s">
        <v>180</v>
      </c>
      <c r="L85" s="487" t="s">
        <v>181</v>
      </c>
      <c r="M85" s="487" t="s">
        <v>182</v>
      </c>
      <c r="N85" s="488" t="s">
        <v>179</v>
      </c>
      <c r="O85" s="489" t="s">
        <v>216</v>
      </c>
      <c r="P85" s="488" t="s">
        <v>185</v>
      </c>
    </row>
    <row r="86" spans="1:16" ht="15.75" customHeight="1" x14ac:dyDescent="0.2">
      <c r="A86" s="1085" t="s">
        <v>36</v>
      </c>
      <c r="B86" s="1086"/>
      <c r="C86" s="66"/>
      <c r="D86" s="583"/>
      <c r="E86" s="584"/>
      <c r="F86" s="521"/>
      <c r="G86" s="522"/>
      <c r="H86" s="522"/>
      <c r="I86" s="522"/>
      <c r="J86" s="526"/>
      <c r="K86" s="525"/>
      <c r="L86" s="522"/>
      <c r="M86" s="522"/>
      <c r="N86" s="526"/>
      <c r="O86" s="525"/>
      <c r="P86" s="526"/>
    </row>
    <row r="87" spans="1:16" x14ac:dyDescent="0.2">
      <c r="A87" s="500" t="s">
        <v>15</v>
      </c>
      <c r="B87" s="477" t="s">
        <v>737</v>
      </c>
      <c r="C87" s="501"/>
      <c r="D87" s="571"/>
      <c r="E87" s="559"/>
      <c r="F87" s="516"/>
      <c r="G87" s="510"/>
      <c r="H87" s="510"/>
      <c r="I87" s="510"/>
      <c r="J87" s="515"/>
      <c r="K87" s="514">
        <f>'Önk.kiad.'!G136</f>
        <v>13740139</v>
      </c>
      <c r="L87" s="510"/>
      <c r="M87" s="510"/>
      <c r="N87" s="515"/>
      <c r="O87" s="514"/>
      <c r="P87" s="515"/>
    </row>
    <row r="88" spans="1:16" x14ac:dyDescent="0.2">
      <c r="A88" s="500" t="s">
        <v>37</v>
      </c>
      <c r="B88" s="479" t="s">
        <v>16</v>
      </c>
      <c r="C88" s="501"/>
      <c r="D88" s="571"/>
      <c r="E88" s="559"/>
      <c r="F88" s="516"/>
      <c r="G88" s="510">
        <f>'Önk.kiad.'!G121+'Önk.kiad.'!G122+'Önk.kiad.'!G123+'Önk.kiad.'!G125</f>
        <v>3285000</v>
      </c>
      <c r="H88" s="510"/>
      <c r="I88" s="510"/>
      <c r="J88" s="515"/>
      <c r="K88" s="514">
        <f>'Önk.kiad.'!G126+'Önk.kiad.'!G127</f>
        <v>46900000</v>
      </c>
      <c r="L88" s="510"/>
      <c r="M88" s="510"/>
      <c r="N88" s="515"/>
      <c r="O88" s="514"/>
      <c r="P88" s="515"/>
    </row>
    <row r="89" spans="1:16" ht="18" customHeight="1" x14ac:dyDescent="0.2">
      <c r="A89" s="500" t="s">
        <v>38</v>
      </c>
      <c r="B89" s="480" t="s">
        <v>329</v>
      </c>
      <c r="C89" s="501"/>
      <c r="D89" s="571"/>
      <c r="E89" s="559"/>
      <c r="F89" s="516"/>
      <c r="G89" s="510">
        <f>'Önk.kiad.'!G76</f>
        <v>2540000</v>
      </c>
      <c r="H89" s="510"/>
      <c r="I89" s="510"/>
      <c r="J89" s="515"/>
      <c r="K89" s="514"/>
      <c r="L89" s="510"/>
      <c r="M89" s="510"/>
      <c r="N89" s="515"/>
      <c r="O89" s="514"/>
      <c r="P89" s="515"/>
    </row>
    <row r="90" spans="1:16" ht="25.5" x14ac:dyDescent="0.2">
      <c r="A90" s="500" t="s">
        <v>39</v>
      </c>
      <c r="B90" s="480" t="s">
        <v>307</v>
      </c>
      <c r="C90" s="502">
        <v>1</v>
      </c>
      <c r="D90" s="575"/>
      <c r="E90" s="559">
        <f>'Önk.kiad.'!G10+'Önk.kiad.'!G14+'Önk.kiad.'!G15+'Önk.kiad.'!G16</f>
        <v>19362450</v>
      </c>
      <c r="F90" s="516">
        <f>'Önk.kiad.'!G17</f>
        <v>3750000</v>
      </c>
      <c r="G90" s="510">
        <f>'Önk.kiad.'!G19+'Önk.kiad.'!G20+'Önk.kiad.'!G21+'Önk.kiad.'!G22+'Önk.kiad.'!G23+'Önk.kiad.'!G24+'Önk.kiad.'!G25+'Önk.kiad.'!G26+'Önk.kiad.'!G27+'Önk.kiad.'!G28+'Önk.kiad.'!G29+'Önk.kiad.'!G30+'Önk.kiad.'!G32+'Önk.kiad.'!G33+'Önk.kiad.'!G34+'Önk.kiad.'!G35</f>
        <v>29392408</v>
      </c>
      <c r="H90" s="510"/>
      <c r="I90" s="510"/>
      <c r="J90" s="515"/>
      <c r="K90" s="514"/>
      <c r="L90" s="510">
        <f>'Önk.kiad.'!G43+'Önk.kiad.'!G44+'Önk.kiad.'!G45+'Önk.kiad.'!G46</f>
        <v>3755500</v>
      </c>
      <c r="M90" s="510"/>
      <c r="N90" s="515"/>
      <c r="O90" s="514"/>
      <c r="P90" s="515">
        <f>'Önk.kiad.'!G40+'Önk.kiad.'!G41</f>
        <v>33283390</v>
      </c>
    </row>
    <row r="91" spans="1:16" x14ac:dyDescent="0.2">
      <c r="A91" s="500" t="s">
        <v>40</v>
      </c>
      <c r="B91" s="477" t="s">
        <v>308</v>
      </c>
      <c r="C91" s="502"/>
      <c r="D91" s="575"/>
      <c r="E91" s="559">
        <f>'Önk.kiad.'!G80</f>
        <v>300000</v>
      </c>
      <c r="F91" s="516"/>
      <c r="G91" s="510">
        <f>'Önk.kiad.'!G81+'Önk.kiad.'!G83+'Önk.kiad.'!G84+'Önk.kiad.'!G85</f>
        <v>2400000</v>
      </c>
      <c r="H91" s="510"/>
      <c r="I91" s="510"/>
      <c r="J91" s="515"/>
      <c r="K91" s="514"/>
      <c r="L91" s="510"/>
      <c r="M91" s="510"/>
      <c r="N91" s="515"/>
      <c r="O91" s="514"/>
      <c r="P91" s="515"/>
    </row>
    <row r="92" spans="1:16" x14ac:dyDescent="0.2">
      <c r="A92" s="500" t="s">
        <v>41</v>
      </c>
      <c r="B92" s="479" t="s">
        <v>19</v>
      </c>
      <c r="C92" s="502"/>
      <c r="D92" s="575"/>
      <c r="E92" s="559"/>
      <c r="F92" s="516"/>
      <c r="G92" s="510">
        <f>'Önk.kiad.'!G144</f>
        <v>5066147</v>
      </c>
      <c r="H92" s="510"/>
      <c r="I92" s="510"/>
      <c r="J92" s="515"/>
      <c r="K92" s="514"/>
      <c r="L92" s="510"/>
      <c r="M92" s="510"/>
      <c r="N92" s="515"/>
      <c r="O92" s="514"/>
      <c r="P92" s="515"/>
    </row>
    <row r="93" spans="1:16" x14ac:dyDescent="0.2">
      <c r="A93" s="500" t="s">
        <v>42</v>
      </c>
      <c r="B93" s="479" t="s">
        <v>309</v>
      </c>
      <c r="C93" s="502">
        <v>2</v>
      </c>
      <c r="D93" s="575"/>
      <c r="E93" s="559">
        <f>'Önk.kiad.'!G148+'Önk.kiad.'!G150+'Önk.kiad.'!G151</f>
        <v>4687500</v>
      </c>
      <c r="F93" s="516">
        <f>'Önk.kiad.'!G152</f>
        <v>938000</v>
      </c>
      <c r="G93" s="510">
        <f>'Önk.kiad.'!G154+'Önk.kiad.'!G155+'Önk.kiad.'!G157+'Önk.kiad.'!G159+'Önk.kiad.'!G161+'Önk.kiad.'!G162</f>
        <v>6287833</v>
      </c>
      <c r="H93" s="510"/>
      <c r="I93" s="510"/>
      <c r="J93" s="515"/>
      <c r="K93" s="514">
        <f>'Önk.kiad.'!G166+'Önk.kiad.'!G165</f>
        <v>118590000</v>
      </c>
      <c r="L93" s="510">
        <f>'Önk.kiad.'!G164+'Önk.kiad.'!G163</f>
        <v>125000</v>
      </c>
      <c r="M93" s="510">
        <f>'Önk.kiad.'!G167</f>
        <v>1263000</v>
      </c>
      <c r="N93" s="515"/>
      <c r="O93" s="514"/>
      <c r="P93" s="515"/>
    </row>
    <row r="94" spans="1:16" x14ac:dyDescent="0.2">
      <c r="A94" s="500" t="s">
        <v>43</v>
      </c>
      <c r="B94" s="479" t="s">
        <v>310</v>
      </c>
      <c r="C94" s="502"/>
      <c r="D94" s="575"/>
      <c r="E94" s="559"/>
      <c r="F94" s="516"/>
      <c r="G94" s="510"/>
      <c r="H94" s="510">
        <v>6042266</v>
      </c>
      <c r="I94" s="510"/>
      <c r="J94" s="515"/>
      <c r="K94" s="514"/>
      <c r="L94" s="510"/>
      <c r="M94" s="510"/>
      <c r="N94" s="515"/>
      <c r="O94" s="514"/>
      <c r="P94" s="515"/>
    </row>
    <row r="95" spans="1:16" x14ac:dyDescent="0.2">
      <c r="A95" s="500" t="s">
        <v>44</v>
      </c>
      <c r="B95" s="479" t="s">
        <v>324</v>
      </c>
      <c r="C95" s="502"/>
      <c r="D95" s="575"/>
      <c r="E95" s="559"/>
      <c r="F95" s="516"/>
      <c r="G95" s="510"/>
      <c r="H95" s="510"/>
      <c r="I95" s="510">
        <f>'Önk.kiad.'!G96</f>
        <v>7156000</v>
      </c>
      <c r="J95" s="515"/>
      <c r="K95" s="514"/>
      <c r="L95" s="510"/>
      <c r="M95" s="510"/>
      <c r="N95" s="515"/>
      <c r="O95" s="514"/>
      <c r="P95" s="515"/>
    </row>
    <row r="96" spans="1:16" ht="25.5" x14ac:dyDescent="0.2">
      <c r="A96" s="500" t="s">
        <v>45</v>
      </c>
      <c r="B96" s="479" t="s">
        <v>380</v>
      </c>
      <c r="C96" s="502"/>
      <c r="D96" s="575"/>
      <c r="E96" s="559">
        <f>'Önk.kiad.'!G204</f>
        <v>1000000</v>
      </c>
      <c r="F96" s="516">
        <f>'Önk.kiad.'!G205</f>
        <v>195000</v>
      </c>
      <c r="G96" s="510">
        <f>'Önk.kiad.'!G207+'Önk.kiad.'!G208+'Önk.kiad.'!G209</f>
        <v>2184997</v>
      </c>
      <c r="H96" s="510"/>
      <c r="I96" s="510"/>
      <c r="J96" s="515"/>
      <c r="K96" s="514"/>
      <c r="L96" s="510">
        <f>'Önk.kiad.'!G210+'Önk.kiad.'!G211</f>
        <v>2800000</v>
      </c>
      <c r="M96" s="510"/>
      <c r="N96" s="515"/>
      <c r="O96" s="514"/>
      <c r="P96" s="515"/>
    </row>
    <row r="97" spans="1:19" ht="25.5" x14ac:dyDescent="0.2">
      <c r="A97" s="500" t="s">
        <v>46</v>
      </c>
      <c r="B97" s="479" t="s">
        <v>312</v>
      </c>
      <c r="C97" s="502"/>
      <c r="D97" s="575"/>
      <c r="E97" s="559"/>
      <c r="F97" s="516"/>
      <c r="G97" s="510"/>
      <c r="H97" s="510"/>
      <c r="I97" s="510"/>
      <c r="J97" s="515"/>
      <c r="K97" s="514"/>
      <c r="L97" s="510"/>
      <c r="M97" s="510"/>
      <c r="N97" s="515"/>
      <c r="O97" s="514"/>
      <c r="P97" s="515"/>
      <c r="R97" s="154"/>
    </row>
    <row r="98" spans="1:19" x14ac:dyDescent="0.2">
      <c r="A98" s="500" t="s">
        <v>47</v>
      </c>
      <c r="B98" s="479" t="s">
        <v>17</v>
      </c>
      <c r="C98" s="502"/>
      <c r="D98" s="575"/>
      <c r="E98" s="560"/>
      <c r="F98" s="561"/>
      <c r="G98" s="585"/>
      <c r="H98" s="510"/>
      <c r="I98" s="510"/>
      <c r="J98" s="515"/>
      <c r="K98" s="514"/>
      <c r="L98" s="510"/>
      <c r="M98" s="510"/>
      <c r="N98" s="515"/>
      <c r="O98" s="514"/>
      <c r="P98" s="515"/>
    </row>
    <row r="99" spans="1:19" x14ac:dyDescent="0.2">
      <c r="A99" s="500" t="s">
        <v>48</v>
      </c>
      <c r="B99" s="479" t="s">
        <v>18</v>
      </c>
      <c r="C99" s="502">
        <v>1</v>
      </c>
      <c r="D99" s="575"/>
      <c r="E99" s="559">
        <f>'Önk.kiad.'!G221+'Önk.kiad.'!G222+'Önk.kiad.'!G223</f>
        <v>2567420</v>
      </c>
      <c r="F99" s="516">
        <f>'Önk.kiad.'!G224</f>
        <v>513484</v>
      </c>
      <c r="G99" s="510">
        <f>'Önk.kiad.'!G225+'Önk.kiad.'!G226+'Önk.kiad.'!G227+'Önk.kiad.'!G228+'Önk.kiad.'!G229</f>
        <v>14320155</v>
      </c>
      <c r="H99" s="510"/>
      <c r="I99" s="510"/>
      <c r="J99" s="515"/>
      <c r="K99" s="514"/>
      <c r="L99" s="510"/>
      <c r="M99" s="510"/>
      <c r="N99" s="515"/>
      <c r="O99" s="514"/>
      <c r="P99" s="515"/>
    </row>
    <row r="100" spans="1:19" x14ac:dyDescent="0.2">
      <c r="A100" s="500" t="s">
        <v>49</v>
      </c>
      <c r="B100" s="479" t="s">
        <v>390</v>
      </c>
      <c r="C100" s="502"/>
      <c r="D100" s="575"/>
      <c r="E100" s="559"/>
      <c r="F100" s="516"/>
      <c r="G100" s="510">
        <f>'Önk.kiad.'!G245</f>
        <v>1524000</v>
      </c>
      <c r="H100" s="510"/>
      <c r="I100" s="510"/>
      <c r="J100" s="515"/>
      <c r="K100" s="514"/>
      <c r="L100" s="510"/>
      <c r="M100" s="510"/>
      <c r="N100" s="515"/>
      <c r="O100" s="514"/>
      <c r="P100" s="515"/>
    </row>
    <row r="101" spans="1:19" x14ac:dyDescent="0.2">
      <c r="A101" s="500" t="s">
        <v>50</v>
      </c>
      <c r="B101" s="479" t="s">
        <v>391</v>
      </c>
      <c r="C101" s="502"/>
      <c r="D101" s="575"/>
      <c r="E101" s="559"/>
      <c r="F101" s="516"/>
      <c r="G101" s="510">
        <f>'Önk.kiad.'!G251</f>
        <v>34999.93</v>
      </c>
      <c r="H101" s="510"/>
      <c r="I101" s="510"/>
      <c r="J101" s="515"/>
      <c r="K101" s="514"/>
      <c r="L101" s="510"/>
      <c r="M101" s="510"/>
      <c r="N101" s="515"/>
      <c r="O101" s="514"/>
      <c r="P101" s="515"/>
    </row>
    <row r="102" spans="1:19" x14ac:dyDescent="0.2">
      <c r="A102" s="500" t="s">
        <v>51</v>
      </c>
      <c r="B102" s="479" t="s">
        <v>244</v>
      </c>
      <c r="C102" s="502"/>
      <c r="D102" s="575"/>
      <c r="E102" s="559"/>
      <c r="F102" s="516"/>
      <c r="G102" s="510"/>
      <c r="H102" s="510"/>
      <c r="I102" s="510"/>
      <c r="J102" s="515"/>
      <c r="K102" s="514"/>
      <c r="L102" s="510"/>
      <c r="M102" s="510"/>
      <c r="N102" s="515"/>
      <c r="O102" s="514"/>
      <c r="P102" s="515"/>
    </row>
    <row r="103" spans="1:19" x14ac:dyDescent="0.2">
      <c r="A103" s="500" t="s">
        <v>52</v>
      </c>
      <c r="B103" s="477" t="s">
        <v>20</v>
      </c>
      <c r="C103" s="502">
        <v>1</v>
      </c>
      <c r="D103" s="575"/>
      <c r="E103" s="559">
        <f>'Önk.kiad.'!G172+'Önk.kiad.'!G173+'Önk.kiad.'!G174+'Önk.kiad.'!G175+'Önk.kiad.'!G176+'Önk.kiad.'!G177+'Önk.kiad.'!G178</f>
        <v>5474760</v>
      </c>
      <c r="F103" s="516">
        <f>'Önk.kiad.'!G179</f>
        <v>1020000</v>
      </c>
      <c r="G103" s="510">
        <f>'Önk.kiad.'!G181+'Önk.kiad.'!G182+'Önk.kiad.'!G183+'Önk.kiad.'!G184+'Önk.kiad.'!G185+'Önk.kiad.'!G186+'Önk.kiad.'!G187+'Önk.kiad.'!G188+'Önk.kiad.'!G189</f>
        <v>660000</v>
      </c>
      <c r="H103" s="510"/>
      <c r="I103" s="510"/>
      <c r="J103" s="515"/>
      <c r="K103" s="514">
        <f>'Önk.kiad.'!G192+'Önk.kiad.'!G193</f>
        <v>204000</v>
      </c>
      <c r="L103" s="510">
        <f>'Önk.kiad.'!G190+'Önk.kiad.'!G191</f>
        <v>153000</v>
      </c>
      <c r="M103" s="510"/>
      <c r="N103" s="515"/>
      <c r="O103" s="514"/>
      <c r="P103" s="515"/>
    </row>
    <row r="104" spans="1:19" x14ac:dyDescent="0.2">
      <c r="A104" s="500" t="s">
        <v>53</v>
      </c>
      <c r="B104" s="477" t="s">
        <v>21</v>
      </c>
      <c r="C104" s="502"/>
      <c r="D104" s="575"/>
      <c r="E104" s="559"/>
      <c r="F104" s="516"/>
      <c r="G104" s="510">
        <v>90000</v>
      </c>
      <c r="H104" s="510"/>
      <c r="I104" s="510"/>
      <c r="J104" s="515"/>
      <c r="K104" s="514"/>
      <c r="L104" s="510"/>
      <c r="M104" s="510"/>
      <c r="N104" s="515"/>
      <c r="O104" s="514"/>
      <c r="P104" s="515"/>
      <c r="S104" s="154"/>
    </row>
    <row r="105" spans="1:19" x14ac:dyDescent="0.2">
      <c r="A105" s="500" t="s">
        <v>54</v>
      </c>
      <c r="B105" s="479" t="s">
        <v>313</v>
      </c>
      <c r="C105" s="501"/>
      <c r="D105" s="571"/>
      <c r="E105" s="559"/>
      <c r="F105" s="510"/>
      <c r="G105" s="510"/>
      <c r="H105" s="510">
        <v>0</v>
      </c>
      <c r="I105" s="510"/>
      <c r="J105" s="515"/>
      <c r="K105" s="514"/>
      <c r="L105" s="510"/>
      <c r="M105" s="510"/>
      <c r="N105" s="515"/>
      <c r="O105" s="514"/>
      <c r="P105" s="515"/>
    </row>
    <row r="106" spans="1:19" x14ac:dyDescent="0.2">
      <c r="A106" s="500" t="s">
        <v>55</v>
      </c>
      <c r="B106" s="477" t="s">
        <v>314</v>
      </c>
      <c r="C106" s="501"/>
      <c r="D106" s="571"/>
      <c r="E106" s="559"/>
      <c r="F106" s="516"/>
      <c r="G106" s="510"/>
      <c r="H106" s="510"/>
      <c r="I106" s="510"/>
      <c r="J106" s="515"/>
      <c r="K106" s="514"/>
      <c r="L106" s="510"/>
      <c r="M106" s="510"/>
      <c r="N106" s="515"/>
      <c r="O106" s="514"/>
      <c r="P106" s="515"/>
    </row>
    <row r="107" spans="1:19" x14ac:dyDescent="0.2">
      <c r="A107" s="500" t="s">
        <v>56</v>
      </c>
      <c r="B107" s="477" t="s">
        <v>22</v>
      </c>
      <c r="C107" s="501"/>
      <c r="D107" s="571"/>
      <c r="E107" s="559"/>
      <c r="F107" s="516"/>
      <c r="G107" s="510"/>
      <c r="H107" s="510"/>
      <c r="I107" s="510"/>
      <c r="J107" s="515"/>
      <c r="K107" s="514"/>
      <c r="L107" s="510"/>
      <c r="M107" s="510"/>
      <c r="N107" s="515"/>
      <c r="O107" s="514"/>
      <c r="P107" s="515"/>
    </row>
    <row r="108" spans="1:19" x14ac:dyDescent="0.2">
      <c r="A108" s="500" t="s">
        <v>57</v>
      </c>
      <c r="B108" s="477" t="s">
        <v>245</v>
      </c>
      <c r="C108" s="501"/>
      <c r="D108" s="571"/>
      <c r="E108" s="559"/>
      <c r="F108" s="516"/>
      <c r="G108" s="510"/>
      <c r="H108" s="510"/>
      <c r="I108" s="510"/>
      <c r="J108" s="515"/>
      <c r="K108" s="514"/>
      <c r="L108" s="510"/>
      <c r="M108" s="510"/>
      <c r="N108" s="515"/>
      <c r="O108" s="514"/>
      <c r="P108" s="515"/>
    </row>
    <row r="109" spans="1:19" x14ac:dyDescent="0.2">
      <c r="A109" s="500" t="s">
        <v>58</v>
      </c>
      <c r="B109" s="477" t="s">
        <v>23</v>
      </c>
      <c r="C109" s="501"/>
      <c r="D109" s="571"/>
      <c r="E109" s="559"/>
      <c r="F109" s="516"/>
      <c r="G109" s="510"/>
      <c r="H109" s="510"/>
      <c r="I109" s="510"/>
      <c r="J109" s="515"/>
      <c r="K109" s="514"/>
      <c r="L109" s="510"/>
      <c r="M109" s="510"/>
      <c r="N109" s="515"/>
      <c r="O109" s="514"/>
      <c r="P109" s="515"/>
    </row>
    <row r="110" spans="1:19" x14ac:dyDescent="0.2">
      <c r="A110" s="500" t="s">
        <v>59</v>
      </c>
      <c r="B110" s="477" t="s">
        <v>24</v>
      </c>
      <c r="C110" s="501"/>
      <c r="D110" s="571"/>
      <c r="E110" s="559"/>
      <c r="F110" s="516"/>
      <c r="G110" s="510"/>
      <c r="H110" s="510"/>
      <c r="I110" s="510"/>
      <c r="J110" s="515"/>
      <c r="K110" s="514"/>
      <c r="L110" s="510"/>
      <c r="M110" s="510"/>
      <c r="N110" s="515"/>
      <c r="O110" s="514"/>
      <c r="P110" s="515"/>
    </row>
    <row r="111" spans="1:19" x14ac:dyDescent="0.2">
      <c r="A111" s="500" t="s">
        <v>60</v>
      </c>
      <c r="B111" s="477" t="s">
        <v>25</v>
      </c>
      <c r="C111" s="501"/>
      <c r="D111" s="571"/>
      <c r="E111" s="559"/>
      <c r="F111" s="516"/>
      <c r="G111" s="510"/>
      <c r="H111" s="510"/>
      <c r="I111" s="510"/>
      <c r="J111" s="515"/>
      <c r="K111" s="514"/>
      <c r="L111" s="510"/>
      <c r="M111" s="510"/>
      <c r="N111" s="515"/>
      <c r="O111" s="514"/>
      <c r="P111" s="515"/>
    </row>
    <row r="112" spans="1:19" x14ac:dyDescent="0.2">
      <c r="A112" s="500" t="s">
        <v>61</v>
      </c>
      <c r="B112" s="477" t="s">
        <v>26</v>
      </c>
      <c r="C112" s="501"/>
      <c r="D112" s="571"/>
      <c r="E112" s="559"/>
      <c r="F112" s="516"/>
      <c r="G112" s="510"/>
      <c r="H112" s="510"/>
      <c r="I112" s="510"/>
      <c r="J112" s="515"/>
      <c r="K112" s="514"/>
      <c r="L112" s="510"/>
      <c r="M112" s="510"/>
      <c r="N112" s="515"/>
      <c r="O112" s="514"/>
      <c r="P112" s="515"/>
    </row>
    <row r="113" spans="1:30" x14ac:dyDescent="0.2">
      <c r="A113" s="500" t="s">
        <v>62</v>
      </c>
      <c r="B113" s="477" t="s">
        <v>27</v>
      </c>
      <c r="C113" s="501"/>
      <c r="D113" s="571"/>
      <c r="E113" s="559"/>
      <c r="F113" s="516"/>
      <c r="G113" s="510"/>
      <c r="H113" s="510"/>
      <c r="I113" s="510"/>
      <c r="J113" s="515"/>
      <c r="K113" s="514"/>
      <c r="L113" s="510"/>
      <c r="M113" s="510"/>
      <c r="N113" s="515"/>
      <c r="O113" s="514"/>
      <c r="P113" s="515"/>
    </row>
    <row r="114" spans="1:30" x14ac:dyDescent="0.2">
      <c r="A114" s="500" t="s">
        <v>63</v>
      </c>
      <c r="B114" s="477" t="s">
        <v>246</v>
      </c>
      <c r="C114" s="501"/>
      <c r="D114" s="571"/>
      <c r="E114" s="559"/>
      <c r="F114" s="516"/>
      <c r="G114" s="510"/>
      <c r="H114" s="510"/>
      <c r="I114" s="510"/>
      <c r="J114" s="515"/>
      <c r="K114" s="514"/>
      <c r="L114" s="510"/>
      <c r="M114" s="510"/>
      <c r="N114" s="515"/>
      <c r="O114" s="514"/>
      <c r="P114" s="515"/>
    </row>
    <row r="115" spans="1:30" x14ac:dyDescent="0.2">
      <c r="A115" s="500" t="s">
        <v>64</v>
      </c>
      <c r="B115" s="482" t="s">
        <v>332</v>
      </c>
      <c r="C115" s="501"/>
      <c r="D115" s="571"/>
      <c r="E115" s="559"/>
      <c r="F115" s="516"/>
      <c r="G115" s="510">
        <f>'Önk.kiad.'!G268+'Önk.kiad.'!G270+'Önk.kiad.'!G271</f>
        <v>4158000</v>
      </c>
      <c r="H115" s="510"/>
      <c r="I115" s="510"/>
      <c r="J115" s="515">
        <f>'Önk.kiad.'!G272+'Önk.kiad.'!G273+'Önk.kiad.'!G274</f>
        <v>10707000</v>
      </c>
      <c r="K115" s="514"/>
      <c r="L115" s="510"/>
      <c r="M115" s="510"/>
      <c r="N115" s="515"/>
      <c r="O115" s="514"/>
      <c r="P115" s="515"/>
    </row>
    <row r="116" spans="1:30" x14ac:dyDescent="0.2">
      <c r="A116" s="500" t="s">
        <v>65</v>
      </c>
      <c r="B116" s="477" t="s">
        <v>316</v>
      </c>
      <c r="C116" s="501"/>
      <c r="D116" s="571"/>
      <c r="E116" s="559"/>
      <c r="F116" s="516"/>
      <c r="G116" s="510"/>
      <c r="H116" s="510"/>
      <c r="I116" s="510"/>
      <c r="J116" s="515"/>
      <c r="K116" s="514"/>
      <c r="L116" s="510"/>
      <c r="M116" s="510"/>
      <c r="N116" s="515"/>
      <c r="O116" s="514"/>
      <c r="P116" s="515"/>
    </row>
    <row r="117" spans="1:30" x14ac:dyDescent="0.2">
      <c r="A117" s="500" t="s">
        <v>66</v>
      </c>
      <c r="B117" s="477" t="s">
        <v>317</v>
      </c>
      <c r="C117" s="501"/>
      <c r="D117" s="571"/>
      <c r="E117" s="559"/>
      <c r="F117" s="516"/>
      <c r="G117" s="510"/>
      <c r="H117" s="510"/>
      <c r="I117" s="510"/>
      <c r="J117" s="515">
        <v>103500</v>
      </c>
      <c r="K117" s="514"/>
      <c r="L117" s="510"/>
      <c r="M117" s="510"/>
      <c r="N117" s="515"/>
      <c r="O117" s="514"/>
      <c r="P117" s="515"/>
    </row>
    <row r="118" spans="1:30" x14ac:dyDescent="0.2">
      <c r="A118" s="500" t="s">
        <v>67</v>
      </c>
      <c r="B118" s="477" t="s">
        <v>28</v>
      </c>
      <c r="C118" s="501"/>
      <c r="D118" s="571"/>
      <c r="E118" s="559"/>
      <c r="F118" s="516"/>
      <c r="G118" s="510"/>
      <c r="H118" s="510"/>
      <c r="I118" s="510"/>
      <c r="J118" s="515"/>
      <c r="K118" s="514"/>
      <c r="L118" s="510"/>
      <c r="M118" s="510"/>
      <c r="N118" s="515"/>
      <c r="O118" s="514"/>
      <c r="P118" s="515"/>
      <c r="S118" s="62"/>
      <c r="T118" s="62"/>
      <c r="U118" s="62"/>
      <c r="V118" s="62"/>
      <c r="W118" s="62"/>
      <c r="X118" s="62"/>
      <c r="Y118" s="63"/>
      <c r="Z118" s="63"/>
      <c r="AA118" s="63"/>
      <c r="AB118" s="63"/>
    </row>
    <row r="119" spans="1:30" x14ac:dyDescent="0.2">
      <c r="A119" s="500" t="s">
        <v>68</v>
      </c>
      <c r="B119" s="477" t="s">
        <v>29</v>
      </c>
      <c r="C119" s="502"/>
      <c r="D119" s="575"/>
      <c r="E119" s="559"/>
      <c r="F119" s="516"/>
      <c r="G119" s="510"/>
      <c r="H119" s="510"/>
      <c r="I119" s="510"/>
      <c r="J119" s="515"/>
      <c r="K119" s="514"/>
      <c r="L119" s="510"/>
      <c r="M119" s="510"/>
      <c r="N119" s="515"/>
      <c r="O119" s="514"/>
      <c r="P119" s="515"/>
      <c r="S119" s="60"/>
      <c r="T119" s="60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</row>
    <row r="120" spans="1:30" x14ac:dyDescent="0.2">
      <c r="A120" s="500" t="s">
        <v>69</v>
      </c>
      <c r="B120" s="477" t="s">
        <v>30</v>
      </c>
      <c r="C120" s="501"/>
      <c r="D120" s="571"/>
      <c r="E120" s="559"/>
      <c r="F120" s="516"/>
      <c r="G120" s="510"/>
      <c r="H120" s="510"/>
      <c r="I120" s="510"/>
      <c r="J120" s="515"/>
      <c r="K120" s="514"/>
      <c r="L120" s="510"/>
      <c r="M120" s="510"/>
      <c r="N120" s="515"/>
      <c r="O120" s="514"/>
      <c r="P120" s="515"/>
    </row>
    <row r="121" spans="1:30" x14ac:dyDescent="0.2">
      <c r="A121" s="500" t="s">
        <v>70</v>
      </c>
      <c r="B121" s="477" t="s">
        <v>31</v>
      </c>
      <c r="C121" s="501"/>
      <c r="D121" s="571"/>
      <c r="E121" s="559"/>
      <c r="F121" s="516"/>
      <c r="G121" s="510"/>
      <c r="H121" s="510"/>
      <c r="I121" s="510"/>
      <c r="J121" s="515"/>
      <c r="K121" s="514"/>
      <c r="L121" s="510"/>
      <c r="M121" s="510"/>
      <c r="N121" s="515"/>
      <c r="O121" s="514"/>
      <c r="P121" s="515"/>
    </row>
    <row r="122" spans="1:30" x14ac:dyDescent="0.2">
      <c r="A122" s="500" t="s">
        <v>71</v>
      </c>
      <c r="B122" s="477" t="s">
        <v>32</v>
      </c>
      <c r="C122" s="501"/>
      <c r="D122" s="571"/>
      <c r="E122" s="559">
        <f>'Önk.kiad.'!G260</f>
        <v>150000</v>
      </c>
      <c r="F122" s="516">
        <f>'Önk.kiad.'!G261</f>
        <v>26250</v>
      </c>
      <c r="G122" s="510">
        <f>'Önk.kiad.'!G262</f>
        <v>25500</v>
      </c>
      <c r="H122" s="510"/>
      <c r="I122" s="510"/>
      <c r="J122" s="515"/>
      <c r="K122" s="514"/>
      <c r="L122" s="510"/>
      <c r="M122" s="510"/>
      <c r="N122" s="515"/>
      <c r="O122" s="514"/>
      <c r="P122" s="515"/>
    </row>
    <row r="123" spans="1:30" x14ac:dyDescent="0.2">
      <c r="A123" s="500" t="s">
        <v>72</v>
      </c>
      <c r="B123" s="477" t="s">
        <v>339</v>
      </c>
      <c r="C123" s="501"/>
      <c r="D123" s="571"/>
      <c r="E123" s="559"/>
      <c r="F123" s="516"/>
      <c r="G123" s="510"/>
      <c r="H123" s="510"/>
      <c r="I123" s="510"/>
      <c r="J123" s="515"/>
      <c r="K123" s="514"/>
      <c r="L123" s="510"/>
      <c r="M123" s="510"/>
      <c r="N123" s="515"/>
      <c r="O123" s="514"/>
      <c r="P123" s="515"/>
    </row>
    <row r="124" spans="1:30" x14ac:dyDescent="0.2">
      <c r="A124" s="500" t="s">
        <v>73</v>
      </c>
      <c r="B124" s="453" t="s">
        <v>248</v>
      </c>
      <c r="C124" s="501"/>
      <c r="D124" s="571"/>
      <c r="E124" s="559"/>
      <c r="F124" s="516"/>
      <c r="G124" s="510"/>
      <c r="H124" s="510"/>
      <c r="I124" s="510">
        <v>6207000</v>
      </c>
      <c r="J124" s="515"/>
      <c r="K124" s="514"/>
      <c r="L124" s="510"/>
      <c r="M124" s="510"/>
      <c r="N124" s="515"/>
      <c r="O124" s="514"/>
      <c r="P124" s="515"/>
    </row>
    <row r="125" spans="1:30" ht="13.5" thickBot="1" x14ac:dyDescent="0.25">
      <c r="A125" s="589" t="s">
        <v>74</v>
      </c>
      <c r="B125" s="506" t="s">
        <v>249</v>
      </c>
      <c r="C125" s="593"/>
      <c r="D125" s="577"/>
      <c r="E125" s="594"/>
      <c r="F125" s="595"/>
      <c r="G125" s="596"/>
      <c r="H125" s="596"/>
      <c r="I125" s="596"/>
      <c r="J125" s="597"/>
      <c r="K125" s="598"/>
      <c r="L125" s="596"/>
      <c r="M125" s="596"/>
      <c r="N125" s="597"/>
      <c r="O125" s="598"/>
      <c r="P125" s="597"/>
    </row>
    <row r="126" spans="1:30" ht="13.5" thickBot="1" x14ac:dyDescent="0.25">
      <c r="A126" s="503"/>
      <c r="B126" s="604"/>
      <c r="C126" s="605"/>
      <c r="D126" s="606"/>
      <c r="E126" s="607"/>
      <c r="F126" s="608"/>
      <c r="G126" s="609"/>
      <c r="H126" s="609"/>
      <c r="I126" s="609"/>
      <c r="J126" s="610"/>
      <c r="K126" s="611"/>
      <c r="L126" s="609"/>
      <c r="M126" s="609"/>
      <c r="N126" s="610"/>
      <c r="O126" s="611"/>
      <c r="P126" s="612"/>
    </row>
    <row r="127" spans="1:30" ht="12.75" customHeight="1" x14ac:dyDescent="0.2">
      <c r="A127" s="1133" t="s">
        <v>35</v>
      </c>
      <c r="B127" s="1135" t="s">
        <v>330</v>
      </c>
      <c r="C127" s="1110" t="s">
        <v>186</v>
      </c>
      <c r="D127" s="1120" t="s">
        <v>191</v>
      </c>
      <c r="E127" s="1076" t="s">
        <v>184</v>
      </c>
      <c r="F127" s="1077"/>
      <c r="G127" s="1077"/>
      <c r="H127" s="1077"/>
      <c r="I127" s="1077"/>
      <c r="J127" s="1078"/>
      <c r="K127" s="1097" t="s">
        <v>183</v>
      </c>
      <c r="L127" s="1098"/>
      <c r="M127" s="1098"/>
      <c r="N127" s="1143"/>
      <c r="O127" s="1100" t="s">
        <v>360</v>
      </c>
      <c r="P127" s="1102"/>
    </row>
    <row r="128" spans="1:30" ht="23.25" thickBot="1" x14ac:dyDescent="0.25">
      <c r="A128" s="1134"/>
      <c r="B128" s="1136"/>
      <c r="C128" s="1111"/>
      <c r="D128" s="1121"/>
      <c r="E128" s="485" t="s">
        <v>175</v>
      </c>
      <c r="F128" s="486" t="s">
        <v>176</v>
      </c>
      <c r="G128" s="487" t="s">
        <v>177</v>
      </c>
      <c r="H128" s="487" t="s">
        <v>178</v>
      </c>
      <c r="I128" s="487" t="s">
        <v>179</v>
      </c>
      <c r="J128" s="488" t="s">
        <v>217</v>
      </c>
      <c r="K128" s="489" t="s">
        <v>180</v>
      </c>
      <c r="L128" s="487" t="s">
        <v>181</v>
      </c>
      <c r="M128" s="487" t="s">
        <v>182</v>
      </c>
      <c r="N128" s="488" t="s">
        <v>179</v>
      </c>
      <c r="O128" s="489" t="s">
        <v>216</v>
      </c>
      <c r="P128" s="488" t="s">
        <v>185</v>
      </c>
    </row>
    <row r="129" spans="1:18" x14ac:dyDescent="0.2">
      <c r="A129" s="599" t="s">
        <v>75</v>
      </c>
      <c r="B129" s="600" t="s">
        <v>318</v>
      </c>
      <c r="C129" s="601"/>
      <c r="D129" s="562"/>
      <c r="E129" s="563"/>
      <c r="F129" s="520"/>
      <c r="G129" s="564"/>
      <c r="H129" s="564"/>
      <c r="I129" s="564"/>
      <c r="J129" s="565"/>
      <c r="K129" s="602"/>
      <c r="L129" s="564"/>
      <c r="M129" s="564"/>
      <c r="N129" s="603"/>
      <c r="O129" s="602"/>
      <c r="P129" s="603"/>
    </row>
    <row r="130" spans="1:18" x14ac:dyDescent="0.2">
      <c r="A130" s="592" t="s">
        <v>76</v>
      </c>
      <c r="B130" s="454" t="s">
        <v>319</v>
      </c>
      <c r="C130" s="493">
        <v>4</v>
      </c>
      <c r="D130" s="571"/>
      <c r="E130" s="566">
        <f>'Önk.kiad.'!G102</f>
        <v>2670000</v>
      </c>
      <c r="F130" s="517">
        <f>'Önk.kiad.'!G103</f>
        <v>261000</v>
      </c>
      <c r="G130" s="548">
        <f>'Önk.kiad.'!G104+'Önk.kiad.'!G105</f>
        <v>209633</v>
      </c>
      <c r="H130" s="548"/>
      <c r="I130" s="548"/>
      <c r="J130" s="572"/>
      <c r="K130" s="573"/>
      <c r="L130" s="548">
        <f>'Önk.kiad.'!G106+'Önk.kiad.'!G107</f>
        <v>169000</v>
      </c>
      <c r="M130" s="548"/>
      <c r="N130" s="574"/>
      <c r="O130" s="573"/>
      <c r="P130" s="574"/>
    </row>
    <row r="131" spans="1:18" x14ac:dyDescent="0.2">
      <c r="A131" s="592" t="s">
        <v>77</v>
      </c>
      <c r="B131" s="454" t="s">
        <v>320</v>
      </c>
      <c r="C131" s="493">
        <v>0</v>
      </c>
      <c r="D131" s="571"/>
      <c r="E131" s="566">
        <f>'Önk.kiad.'!G112+'Önk.kiad.'!G113</f>
        <v>3258000</v>
      </c>
      <c r="F131" s="517">
        <f>'Önk.kiad.'!G114</f>
        <v>321000</v>
      </c>
      <c r="G131" s="548">
        <f>'Önk.kiad.'!G115+'Önk.kiad.'!G116</f>
        <v>71567</v>
      </c>
      <c r="H131" s="548"/>
      <c r="I131" s="548"/>
      <c r="J131" s="572"/>
      <c r="K131" s="573"/>
      <c r="L131" s="548"/>
      <c r="M131" s="548"/>
      <c r="N131" s="574"/>
      <c r="O131" s="573"/>
      <c r="P131" s="574"/>
    </row>
    <row r="132" spans="1:18" ht="25.5" x14ac:dyDescent="0.2">
      <c r="A132" s="592" t="s">
        <v>78</v>
      </c>
      <c r="B132" s="454" t="s">
        <v>250</v>
      </c>
      <c r="C132" s="493"/>
      <c r="D132" s="571"/>
      <c r="E132" s="566"/>
      <c r="F132" s="517"/>
      <c r="G132" s="548"/>
      <c r="H132" s="548"/>
      <c r="I132" s="548"/>
      <c r="J132" s="572"/>
      <c r="K132" s="573"/>
      <c r="L132" s="548"/>
      <c r="M132" s="548"/>
      <c r="N132" s="574"/>
      <c r="O132" s="573"/>
      <c r="P132" s="574"/>
    </row>
    <row r="133" spans="1:18" x14ac:dyDescent="0.2">
      <c r="A133" s="592" t="s">
        <v>79</v>
      </c>
      <c r="B133" s="454" t="s">
        <v>251</v>
      </c>
      <c r="C133" s="494"/>
      <c r="D133" s="575"/>
      <c r="E133" s="566"/>
      <c r="F133" s="517"/>
      <c r="G133" s="548"/>
      <c r="H133" s="548"/>
      <c r="I133" s="548"/>
      <c r="J133" s="572"/>
      <c r="K133" s="573"/>
      <c r="L133" s="548"/>
      <c r="M133" s="548"/>
      <c r="N133" s="574"/>
      <c r="O133" s="573"/>
      <c r="P133" s="574"/>
    </row>
    <row r="134" spans="1:18" x14ac:dyDescent="0.2">
      <c r="A134" s="592" t="s">
        <v>80</v>
      </c>
      <c r="B134" s="454" t="s">
        <v>252</v>
      </c>
      <c r="C134" s="493"/>
      <c r="D134" s="571"/>
      <c r="E134" s="566"/>
      <c r="F134" s="517"/>
      <c r="G134" s="548"/>
      <c r="H134" s="548"/>
      <c r="I134" s="548"/>
      <c r="J134" s="572"/>
      <c r="K134" s="573"/>
      <c r="L134" s="548"/>
      <c r="M134" s="548"/>
      <c r="N134" s="574"/>
      <c r="O134" s="573"/>
      <c r="P134" s="574"/>
    </row>
    <row r="135" spans="1:18" x14ac:dyDescent="0.2">
      <c r="A135" s="592" t="s">
        <v>81</v>
      </c>
      <c r="B135" s="454" t="s">
        <v>253</v>
      </c>
      <c r="C135" s="493"/>
      <c r="D135" s="571"/>
      <c r="E135" s="566"/>
      <c r="F135" s="517"/>
      <c r="G135" s="548"/>
      <c r="H135" s="548"/>
      <c r="I135" s="548"/>
      <c r="J135" s="572"/>
      <c r="K135" s="573"/>
      <c r="L135" s="548"/>
      <c r="M135" s="548"/>
      <c r="N135" s="574"/>
      <c r="O135" s="573"/>
      <c r="P135" s="574"/>
    </row>
    <row r="136" spans="1:18" x14ac:dyDescent="0.2">
      <c r="A136" s="592" t="s">
        <v>82</v>
      </c>
      <c r="B136" s="453" t="s">
        <v>34</v>
      </c>
      <c r="C136" s="494"/>
      <c r="D136" s="575"/>
      <c r="E136" s="567"/>
      <c r="F136" s="517"/>
      <c r="G136" s="548">
        <f>'Önk.kiad.'!G65</f>
        <v>720000</v>
      </c>
      <c r="H136" s="548"/>
      <c r="I136" s="548"/>
      <c r="J136" s="572"/>
      <c r="K136" s="573"/>
      <c r="L136" s="548"/>
      <c r="M136" s="548"/>
      <c r="N136" s="574"/>
      <c r="O136" s="573"/>
      <c r="P136" s="574"/>
      <c r="R136" s="154"/>
    </row>
    <row r="137" spans="1:18" x14ac:dyDescent="0.2">
      <c r="A137" s="592"/>
      <c r="B137" s="495" t="s">
        <v>254</v>
      </c>
      <c r="C137" s="494"/>
      <c r="D137" s="575"/>
      <c r="E137" s="566"/>
      <c r="F137" s="517"/>
      <c r="G137" s="548"/>
      <c r="H137" s="548"/>
      <c r="I137" s="548"/>
      <c r="J137" s="572"/>
      <c r="K137" s="573"/>
      <c r="L137" s="548"/>
      <c r="M137" s="548"/>
      <c r="N137" s="574"/>
      <c r="O137" s="573"/>
      <c r="P137" s="574"/>
    </row>
    <row r="138" spans="1:18" ht="25.5" x14ac:dyDescent="0.2">
      <c r="A138" s="500" t="s">
        <v>15</v>
      </c>
      <c r="B138" s="455" t="s">
        <v>321</v>
      </c>
      <c r="C138" s="493"/>
      <c r="D138" s="571"/>
      <c r="E138" s="566">
        <f>'Hiv.kiad.'!G42</f>
        <v>2553480</v>
      </c>
      <c r="F138" s="517">
        <f>'Hiv.kiad.'!G45</f>
        <v>484000</v>
      </c>
      <c r="G138" s="548">
        <f>'Hiv.kiad.'!G48</f>
        <v>78000</v>
      </c>
      <c r="H138" s="548"/>
      <c r="I138" s="548"/>
      <c r="J138" s="572"/>
      <c r="K138" s="573"/>
      <c r="L138" s="548"/>
      <c r="M138" s="548"/>
      <c r="N138" s="574"/>
      <c r="O138" s="573"/>
      <c r="P138" s="574"/>
    </row>
    <row r="139" spans="1:18" x14ac:dyDescent="0.2">
      <c r="A139" s="500" t="s">
        <v>37</v>
      </c>
      <c r="B139" s="453" t="s">
        <v>314</v>
      </c>
      <c r="C139" s="494"/>
      <c r="D139" s="575"/>
      <c r="E139" s="566"/>
      <c r="F139" s="517"/>
      <c r="G139" s="548"/>
      <c r="H139" s="548"/>
      <c r="I139" s="548"/>
      <c r="J139" s="572"/>
      <c r="K139" s="573"/>
      <c r="L139" s="548"/>
      <c r="M139" s="548"/>
      <c r="N139" s="574"/>
      <c r="O139" s="573"/>
      <c r="P139" s="574"/>
    </row>
    <row r="140" spans="1:18" x14ac:dyDescent="0.2">
      <c r="A140" s="500" t="s">
        <v>38</v>
      </c>
      <c r="B140" s="453" t="s">
        <v>326</v>
      </c>
      <c r="C140" s="494"/>
      <c r="D140" s="575"/>
      <c r="E140" s="566"/>
      <c r="F140" s="517"/>
      <c r="G140" s="548"/>
      <c r="H140" s="548"/>
      <c r="I140" s="548"/>
      <c r="J140" s="572"/>
      <c r="K140" s="573"/>
      <c r="L140" s="548"/>
      <c r="M140" s="548"/>
      <c r="N140" s="574"/>
      <c r="O140" s="573"/>
      <c r="P140" s="574"/>
    </row>
    <row r="141" spans="1:18" ht="25.5" x14ac:dyDescent="0.2">
      <c r="A141" s="500" t="s">
        <v>39</v>
      </c>
      <c r="B141" s="455" t="s">
        <v>255</v>
      </c>
      <c r="C141" s="494"/>
      <c r="D141" s="575"/>
      <c r="E141" s="576"/>
      <c r="F141" s="548"/>
      <c r="G141" s="548"/>
      <c r="H141" s="548"/>
      <c r="I141" s="548"/>
      <c r="J141" s="572"/>
      <c r="K141" s="573"/>
      <c r="L141" s="548"/>
      <c r="M141" s="548"/>
      <c r="N141" s="574"/>
      <c r="O141" s="573"/>
      <c r="P141" s="574"/>
    </row>
    <row r="142" spans="1:18" x14ac:dyDescent="0.2">
      <c r="A142" s="500" t="s">
        <v>40</v>
      </c>
      <c r="B142" s="453" t="s">
        <v>322</v>
      </c>
      <c r="C142" s="494"/>
      <c r="D142" s="575"/>
      <c r="E142" s="576"/>
      <c r="F142" s="548"/>
      <c r="G142" s="548"/>
      <c r="H142" s="548"/>
      <c r="I142" s="548"/>
      <c r="J142" s="572"/>
      <c r="K142" s="573"/>
      <c r="L142" s="548"/>
      <c r="M142" s="548"/>
      <c r="N142" s="574"/>
      <c r="O142" s="573"/>
      <c r="P142" s="574"/>
    </row>
    <row r="143" spans="1:18" ht="25.5" x14ac:dyDescent="0.2">
      <c r="A143" s="500" t="s">
        <v>41</v>
      </c>
      <c r="B143" s="455" t="s">
        <v>307</v>
      </c>
      <c r="C143" s="494">
        <v>13</v>
      </c>
      <c r="D143" s="575">
        <f>'Hiv.bev.'!G9</f>
        <v>72398400</v>
      </c>
      <c r="E143" s="576">
        <f>'Hiv.kiad.'!G20</f>
        <v>61648800</v>
      </c>
      <c r="F143" s="548">
        <f>'Hiv.kiad.'!G23</f>
        <v>11605552</v>
      </c>
      <c r="G143" s="548">
        <f>'Hiv.kiad.'!G33</f>
        <v>3450168</v>
      </c>
      <c r="H143" s="548"/>
      <c r="I143" s="548"/>
      <c r="J143" s="572"/>
      <c r="K143" s="573"/>
      <c r="L143" s="548"/>
      <c r="M143" s="548"/>
      <c r="N143" s="574"/>
      <c r="O143" s="573"/>
      <c r="P143" s="574"/>
    </row>
    <row r="144" spans="1:18" x14ac:dyDescent="0.2">
      <c r="A144" s="500" t="s">
        <v>42</v>
      </c>
      <c r="B144" s="453" t="s">
        <v>323</v>
      </c>
      <c r="C144" s="494"/>
      <c r="D144" s="575"/>
      <c r="E144" s="576"/>
      <c r="F144" s="548"/>
      <c r="G144" s="548"/>
      <c r="H144" s="548"/>
      <c r="I144" s="548"/>
      <c r="J144" s="572"/>
      <c r="K144" s="573"/>
      <c r="L144" s="548"/>
      <c r="M144" s="548"/>
      <c r="N144" s="574"/>
      <c r="O144" s="573"/>
      <c r="P144" s="574"/>
    </row>
    <row r="145" spans="1:17" x14ac:dyDescent="0.2">
      <c r="A145" s="500"/>
      <c r="B145" s="495" t="s">
        <v>256</v>
      </c>
      <c r="C145" s="494"/>
      <c r="D145" s="575"/>
      <c r="E145" s="576"/>
      <c r="F145" s="548"/>
      <c r="G145" s="548"/>
      <c r="H145" s="548"/>
      <c r="I145" s="548"/>
      <c r="J145" s="572"/>
      <c r="K145" s="573"/>
      <c r="L145" s="548"/>
      <c r="M145" s="548"/>
      <c r="N145" s="574"/>
      <c r="O145" s="573"/>
      <c r="P145" s="574"/>
    </row>
    <row r="146" spans="1:17" x14ac:dyDescent="0.2">
      <c r="A146" s="500" t="s">
        <v>15</v>
      </c>
      <c r="B146" s="453" t="s">
        <v>257</v>
      </c>
      <c r="C146" s="494"/>
      <c r="D146" s="575"/>
      <c r="E146" s="576"/>
      <c r="F146" s="548"/>
      <c r="G146" s="548">
        <f>'Művh.kiad.'!G12</f>
        <v>175000</v>
      </c>
      <c r="H146" s="548"/>
      <c r="I146" s="548"/>
      <c r="J146" s="572"/>
      <c r="K146" s="573"/>
      <c r="L146" s="548"/>
      <c r="M146" s="548"/>
      <c r="N146" s="574"/>
      <c r="O146" s="573"/>
      <c r="P146" s="574"/>
    </row>
    <row r="147" spans="1:17" x14ac:dyDescent="0.2">
      <c r="A147" s="500" t="s">
        <v>37</v>
      </c>
      <c r="B147" s="453" t="s">
        <v>258</v>
      </c>
      <c r="C147" s="494"/>
      <c r="D147" s="575"/>
      <c r="E147" s="576"/>
      <c r="F147" s="548"/>
      <c r="G147" s="548"/>
      <c r="H147" s="548"/>
      <c r="I147" s="548"/>
      <c r="J147" s="572"/>
      <c r="K147" s="573"/>
      <c r="L147" s="548"/>
      <c r="M147" s="548"/>
      <c r="N147" s="574"/>
      <c r="O147" s="573"/>
      <c r="P147" s="574"/>
    </row>
    <row r="148" spans="1:17" x14ac:dyDescent="0.2">
      <c r="A148" s="500" t="s">
        <v>38</v>
      </c>
      <c r="B148" s="453" t="s">
        <v>33</v>
      </c>
      <c r="C148" s="494"/>
      <c r="D148" s="575"/>
      <c r="E148" s="576">
        <f>'Művh.kiad.'!G17</f>
        <v>720000</v>
      </c>
      <c r="F148" s="548">
        <f>'Művh.kiad.'!G20</f>
        <v>158400</v>
      </c>
      <c r="G148" s="548">
        <v>0</v>
      </c>
      <c r="H148" s="548"/>
      <c r="I148" s="548"/>
      <c r="J148" s="572"/>
      <c r="K148" s="573"/>
      <c r="L148" s="548"/>
      <c r="M148" s="548"/>
      <c r="N148" s="574"/>
      <c r="O148" s="573"/>
      <c r="P148" s="574"/>
    </row>
    <row r="149" spans="1:17" x14ac:dyDescent="0.2">
      <c r="A149" s="500" t="s">
        <v>39</v>
      </c>
      <c r="B149" s="453" t="s">
        <v>331</v>
      </c>
      <c r="C149" s="494">
        <v>2</v>
      </c>
      <c r="D149" s="575">
        <f>'Művh.bev.'!G11</f>
        <v>13566400</v>
      </c>
      <c r="E149" s="576">
        <f>'Művh.kiad.'!G37</f>
        <v>6430000</v>
      </c>
      <c r="F149" s="548">
        <f>'Művh.kiad.'!G40</f>
        <v>1209500</v>
      </c>
      <c r="G149" s="548">
        <f>'Művh.kiad.'!G53</f>
        <v>4059500</v>
      </c>
      <c r="H149" s="548"/>
      <c r="I149" s="548"/>
      <c r="J149" s="572"/>
      <c r="K149" s="573"/>
      <c r="L149" s="548">
        <f>'Művh.kiad.'!G56</f>
        <v>1016000</v>
      </c>
      <c r="M149" s="548"/>
      <c r="N149" s="574"/>
      <c r="O149" s="573"/>
      <c r="P149" s="574"/>
    </row>
    <row r="150" spans="1:17" x14ac:dyDescent="0.2">
      <c r="A150" s="500"/>
      <c r="B150" s="495" t="s">
        <v>261</v>
      </c>
      <c r="C150" s="494"/>
      <c r="D150" s="575"/>
      <c r="E150" s="576"/>
      <c r="F150" s="548"/>
      <c r="G150" s="548"/>
      <c r="H150" s="548"/>
      <c r="I150" s="548"/>
      <c r="J150" s="572"/>
      <c r="K150" s="573"/>
      <c r="L150" s="548"/>
      <c r="M150" s="548"/>
      <c r="N150" s="574"/>
      <c r="O150" s="573"/>
      <c r="P150" s="574"/>
    </row>
    <row r="151" spans="1:17" x14ac:dyDescent="0.2">
      <c r="A151" s="500" t="s">
        <v>15</v>
      </c>
      <c r="B151" s="453" t="s">
        <v>327</v>
      </c>
      <c r="C151" s="493">
        <v>6</v>
      </c>
      <c r="D151" s="575"/>
      <c r="E151" s="576">
        <f>Ovikiad.!G16</f>
        <v>17536000</v>
      </c>
      <c r="F151" s="548">
        <f>Ovikiad.!G19</f>
        <v>3520000</v>
      </c>
      <c r="G151" s="548"/>
      <c r="H151" s="548"/>
      <c r="I151" s="548"/>
      <c r="J151" s="572"/>
      <c r="K151" s="573"/>
      <c r="L151" s="548"/>
      <c r="M151" s="548"/>
      <c r="N151" s="574"/>
      <c r="O151" s="573"/>
      <c r="P151" s="574"/>
    </row>
    <row r="152" spans="1:17" x14ac:dyDescent="0.2">
      <c r="A152" s="500" t="s">
        <v>37</v>
      </c>
      <c r="B152" s="453" t="s">
        <v>311</v>
      </c>
      <c r="C152" s="493"/>
      <c r="D152" s="571"/>
      <c r="E152" s="576"/>
      <c r="F152" s="548"/>
      <c r="G152" s="548">
        <f>Ovikiad.!G53</f>
        <v>6699599</v>
      </c>
      <c r="H152" s="548"/>
      <c r="I152" s="548"/>
      <c r="J152" s="572"/>
      <c r="K152" s="573"/>
      <c r="L152" s="548">
        <f>Ovikiad.!G56</f>
        <v>1574000</v>
      </c>
      <c r="M152" s="548"/>
      <c r="N152" s="574"/>
      <c r="O152" s="573"/>
      <c r="P152" s="574"/>
    </row>
    <row r="153" spans="1:17" x14ac:dyDescent="0.2">
      <c r="A153" s="500" t="s">
        <v>38</v>
      </c>
      <c r="B153" s="453" t="s">
        <v>262</v>
      </c>
      <c r="C153" s="496"/>
      <c r="D153" s="571"/>
      <c r="E153" s="576"/>
      <c r="F153" s="548"/>
      <c r="G153" s="548"/>
      <c r="H153" s="548"/>
      <c r="I153" s="548"/>
      <c r="J153" s="572"/>
      <c r="K153" s="573"/>
      <c r="L153" s="548"/>
      <c r="M153" s="548"/>
      <c r="N153" s="574"/>
      <c r="O153" s="573"/>
      <c r="P153" s="574"/>
    </row>
    <row r="154" spans="1:17" x14ac:dyDescent="0.2">
      <c r="A154" s="500" t="s">
        <v>39</v>
      </c>
      <c r="B154" s="453" t="s">
        <v>328</v>
      </c>
      <c r="C154" s="496">
        <v>3</v>
      </c>
      <c r="D154" s="571">
        <f>Ovibev.!G12</f>
        <v>63412301</v>
      </c>
      <c r="E154" s="576">
        <f>Ovikiad.!G32</f>
        <v>16529080</v>
      </c>
      <c r="F154" s="548">
        <f>Ovikiad.!G35</f>
        <v>3260880</v>
      </c>
      <c r="G154" s="548"/>
      <c r="H154" s="548"/>
      <c r="I154" s="548"/>
      <c r="J154" s="572"/>
      <c r="K154" s="573"/>
      <c r="L154" s="548"/>
      <c r="M154" s="548"/>
      <c r="N154" s="574"/>
      <c r="O154" s="573"/>
      <c r="P154" s="574"/>
    </row>
    <row r="155" spans="1:17" x14ac:dyDescent="0.2">
      <c r="A155" s="500" t="s">
        <v>40</v>
      </c>
      <c r="B155" s="453" t="s">
        <v>17</v>
      </c>
      <c r="C155" s="496">
        <v>1</v>
      </c>
      <c r="D155" s="571"/>
      <c r="E155" s="576">
        <f>Ovikiad.!G66</f>
        <v>2641770</v>
      </c>
      <c r="F155" s="548">
        <f>Ovikiad.!G69</f>
        <v>505005</v>
      </c>
      <c r="G155" s="548"/>
      <c r="H155" s="548"/>
      <c r="I155" s="548"/>
      <c r="J155" s="572"/>
      <c r="K155" s="573"/>
      <c r="L155" s="548"/>
      <c r="M155" s="548"/>
      <c r="N155" s="574"/>
      <c r="O155" s="573"/>
      <c r="P155" s="574"/>
    </row>
    <row r="156" spans="1:17" ht="13.5" thickBot="1" x14ac:dyDescent="0.25">
      <c r="A156" s="589" t="s">
        <v>41</v>
      </c>
      <c r="B156" s="506" t="s">
        <v>364</v>
      </c>
      <c r="C156" s="497">
        <v>4</v>
      </c>
      <c r="D156" s="577"/>
      <c r="E156" s="578">
        <f>Ovikiad.!G79</f>
        <v>10769001</v>
      </c>
      <c r="F156" s="579">
        <f>Ovikiad.!G82</f>
        <v>2073665</v>
      </c>
      <c r="G156" s="579"/>
      <c r="H156" s="579"/>
      <c r="I156" s="579"/>
      <c r="J156" s="580"/>
      <c r="K156" s="581"/>
      <c r="L156" s="579"/>
      <c r="M156" s="579"/>
      <c r="N156" s="582"/>
      <c r="O156" s="581"/>
      <c r="P156" s="582"/>
    </row>
    <row r="157" spans="1:17" ht="16.5" customHeight="1" thickBot="1" x14ac:dyDescent="0.25">
      <c r="A157" s="1065" t="s">
        <v>83</v>
      </c>
      <c r="B157" s="1066"/>
      <c r="C157" s="590">
        <f>C87+C88+C89+C90+C91+C92+C93+C94+C95+C96+C97+C98+C99+C102+C103+C104+C105+C106+C107+C108+C109+C110+C111+C112+C113+C114+C115+C116+C117+C118+C119+C120+C121+C122+C123+C124+C125+C129+C130+C131+C132+C133+C134+C135+C136+C138+C139+C140+C141+C142+C143+C146+C147+C148+C149+C151+C152+C153+C154+C156+C155</f>
        <v>38</v>
      </c>
      <c r="D157" s="591">
        <f>SUM(D86:D125)+SUM(D129:D156)</f>
        <v>149377101</v>
      </c>
      <c r="E157" s="591">
        <f>SUM(E86:E125)+SUM(E129:E156)</f>
        <v>158298261</v>
      </c>
      <c r="F157" s="591">
        <f t="shared" ref="F157:P157" si="1">SUM(F86:F125)+SUM(F129:F156)</f>
        <v>29841736</v>
      </c>
      <c r="G157" s="591">
        <f t="shared" si="1"/>
        <v>87432506.930000007</v>
      </c>
      <c r="H157" s="591">
        <f t="shared" si="1"/>
        <v>6042266</v>
      </c>
      <c r="I157" s="591">
        <f t="shared" si="1"/>
        <v>13363000</v>
      </c>
      <c r="J157" s="591">
        <f t="shared" si="1"/>
        <v>10810500</v>
      </c>
      <c r="K157" s="591">
        <f>SUM(K86:K125)+SUM(K129:K156)</f>
        <v>179434139</v>
      </c>
      <c r="L157" s="591">
        <f t="shared" si="1"/>
        <v>9592500</v>
      </c>
      <c r="M157" s="591">
        <f t="shared" si="1"/>
        <v>1263000</v>
      </c>
      <c r="N157" s="591">
        <f t="shared" si="1"/>
        <v>0</v>
      </c>
      <c r="O157" s="591">
        <f t="shared" si="1"/>
        <v>0</v>
      </c>
      <c r="P157" s="591">
        <f t="shared" si="1"/>
        <v>33283390</v>
      </c>
    </row>
    <row r="158" spans="1:17" ht="15" customHeight="1" thickBot="1" x14ac:dyDescent="0.25">
      <c r="A158" s="1079" t="s">
        <v>188</v>
      </c>
      <c r="B158" s="1080"/>
      <c r="C158" s="151"/>
      <c r="D158" s="568"/>
      <c r="E158" s="1067">
        <f>E157+F157+G157+H157+I157+J157+K157+L157+M157+N157+O157+P157+D157</f>
        <v>678738399.93000007</v>
      </c>
      <c r="F158" s="1067"/>
      <c r="G158" s="1067"/>
      <c r="H158" s="1067"/>
      <c r="I158" s="1067"/>
      <c r="J158" s="1067"/>
      <c r="K158" s="1067"/>
      <c r="L158" s="1067"/>
      <c r="M158" s="1067"/>
      <c r="N158" s="1067"/>
      <c r="O158" s="1067"/>
      <c r="P158" s="1068"/>
      <c r="Q158" s="3">
        <f>E158-D75</f>
        <v>-6.9999933242797852E-2</v>
      </c>
    </row>
    <row r="159" spans="1:17" ht="13.5" thickBot="1" x14ac:dyDescent="0.25">
      <c r="A159" s="1137" t="s">
        <v>189</v>
      </c>
      <c r="B159" s="1138"/>
      <c r="C159" s="504"/>
      <c r="D159" s="569"/>
      <c r="E159" s="1141">
        <f>-D157</f>
        <v>-149377101</v>
      </c>
      <c r="F159" s="1141"/>
      <c r="G159" s="1141"/>
      <c r="H159" s="1141"/>
      <c r="I159" s="1141"/>
      <c r="J159" s="1141"/>
      <c r="K159" s="1141"/>
      <c r="L159" s="1141"/>
      <c r="M159" s="1141"/>
      <c r="N159" s="1141"/>
      <c r="O159" s="1141"/>
      <c r="P159" s="1142"/>
      <c r="Q159" s="3">
        <f t="shared" ref="Q159:Q160" si="2">E159-D76</f>
        <v>0</v>
      </c>
    </row>
    <row r="160" spans="1:17" ht="13.5" thickBot="1" x14ac:dyDescent="0.25">
      <c r="A160" s="1139" t="s">
        <v>190</v>
      </c>
      <c r="B160" s="1140"/>
      <c r="C160" s="75"/>
      <c r="D160" s="570"/>
      <c r="E160" s="1131">
        <f>SUM(E158:E159)</f>
        <v>529361298.93000007</v>
      </c>
      <c r="F160" s="1131"/>
      <c r="G160" s="1131"/>
      <c r="H160" s="1131"/>
      <c r="I160" s="1131"/>
      <c r="J160" s="1131"/>
      <c r="K160" s="1131"/>
      <c r="L160" s="1131"/>
      <c r="M160" s="1131"/>
      <c r="N160" s="1131"/>
      <c r="O160" s="1131"/>
      <c r="P160" s="1132"/>
      <c r="Q160" s="3">
        <f t="shared" si="2"/>
        <v>-6.9999933242797852E-2</v>
      </c>
    </row>
  </sheetData>
  <autoFilter ref="B1:B160" xr:uid="{4F158942-A99A-44E3-A711-AC27772BC478}"/>
  <mergeCells count="48">
    <mergeCell ref="E160:P160"/>
    <mergeCell ref="A127:A128"/>
    <mergeCell ref="B127:B128"/>
    <mergeCell ref="A84:A85"/>
    <mergeCell ref="A159:B159"/>
    <mergeCell ref="A160:B160"/>
    <mergeCell ref="E159:P159"/>
    <mergeCell ref="D127:D128"/>
    <mergeCell ref="C127:C128"/>
    <mergeCell ref="K127:N127"/>
    <mergeCell ref="O127:P127"/>
    <mergeCell ref="C4:C5"/>
    <mergeCell ref="D4:D5"/>
    <mergeCell ref="D42:D43"/>
    <mergeCell ref="D84:D85"/>
    <mergeCell ref="C84:C85"/>
    <mergeCell ref="D75:P75"/>
    <mergeCell ref="D76:P76"/>
    <mergeCell ref="D77:P77"/>
    <mergeCell ref="H18:H19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A75:B75"/>
    <mergeCell ref="A157:B157"/>
    <mergeCell ref="E158:P158"/>
    <mergeCell ref="E84:J84"/>
    <mergeCell ref="K84:N84"/>
    <mergeCell ref="O84:P84"/>
    <mergeCell ref="E127:J127"/>
    <mergeCell ref="A158:B158"/>
    <mergeCell ref="A76:B76"/>
    <mergeCell ref="A77:B77"/>
    <mergeCell ref="A86:B86"/>
    <mergeCell ref="B84:B85"/>
  </mergeCells>
  <phoneticPr fontId="13" type="noConversion"/>
  <pageMargins left="0.39370078740157483" right="0.39370078740157483" top="0.59055118110236227" bottom="0.39370078740157483" header="0.51181102362204722" footer="0.51181102362204722"/>
  <pageSetup paperSize="9" scale="65" fitToHeight="4" orientation="landscape" r:id="rId1"/>
  <headerFooter alignWithMargins="0"/>
  <rowBreaks count="3" manualBreakCount="3">
    <brk id="41" max="16383" man="1"/>
    <brk id="83" max="16383" man="1"/>
    <brk id="1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35"/>
  <sheetViews>
    <sheetView zoomScaleNormal="100" workbookViewId="0">
      <selection activeCell="D10" sqref="D10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1089" t="s">
        <v>383</v>
      </c>
      <c r="B1" s="1089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" customFormat="1" ht="18.75" customHeight="1" x14ac:dyDescent="0.25">
      <c r="A2" s="1147"/>
      <c r="B2" s="1147"/>
    </row>
    <row r="3" spans="1:16" ht="22.5" customHeight="1" x14ac:dyDescent="0.25">
      <c r="A3" s="1146" t="s">
        <v>263</v>
      </c>
      <c r="B3" s="1146"/>
    </row>
    <row r="4" spans="1:16" ht="17.25" customHeight="1" x14ac:dyDescent="0.25">
      <c r="A4" s="1146" t="s">
        <v>372</v>
      </c>
      <c r="B4" s="1146"/>
    </row>
    <row r="5" spans="1:16" ht="17.25" customHeight="1" thickBot="1" x14ac:dyDescent="0.35">
      <c r="A5" s="146"/>
      <c r="B5" s="149" t="s">
        <v>360</v>
      </c>
    </row>
    <row r="6" spans="1:16" ht="24.95" customHeight="1" thickBot="1" x14ac:dyDescent="0.25">
      <c r="A6" s="1144" t="s">
        <v>361</v>
      </c>
      <c r="B6" s="1145"/>
    </row>
    <row r="7" spans="1:16" ht="24.95" customHeight="1" thickBot="1" x14ac:dyDescent="0.25">
      <c r="A7" s="613"/>
      <c r="B7" s="613"/>
    </row>
    <row r="8" spans="1:16" ht="24.95" customHeight="1" x14ac:dyDescent="0.2">
      <c r="A8" s="624" t="s">
        <v>345</v>
      </c>
      <c r="B8" s="625">
        <v>36171337</v>
      </c>
    </row>
    <row r="9" spans="1:16" ht="24.95" customHeight="1" thickBot="1" x14ac:dyDescent="0.25">
      <c r="A9" s="618" t="s">
        <v>750</v>
      </c>
      <c r="B9" s="621">
        <f>'Hiv.bev.'!G17+'Hiv.bev.'!G24</f>
        <v>6506116</v>
      </c>
    </row>
    <row r="10" spans="1:16" ht="24.95" customHeight="1" thickBot="1" x14ac:dyDescent="0.25">
      <c r="A10" s="615" t="s">
        <v>749</v>
      </c>
      <c r="B10" s="929">
        <f>SUM(B8:B9)</f>
        <v>42677453</v>
      </c>
    </row>
    <row r="11" spans="1:16" ht="24.95" customHeight="1" x14ac:dyDescent="0.2">
      <c r="A11" s="616" t="s">
        <v>346</v>
      </c>
      <c r="B11" s="619">
        <v>6000000</v>
      </c>
    </row>
    <row r="12" spans="1:16" ht="24.95" customHeight="1" x14ac:dyDescent="0.2">
      <c r="A12" s="617" t="s">
        <v>347</v>
      </c>
      <c r="B12" s="620">
        <v>67000000</v>
      </c>
    </row>
    <row r="13" spans="1:16" ht="24.95" customHeight="1" x14ac:dyDescent="0.2">
      <c r="A13" s="617" t="s">
        <v>348</v>
      </c>
      <c r="B13" s="620">
        <v>6000000</v>
      </c>
    </row>
    <row r="14" spans="1:16" ht="24.95" customHeight="1" x14ac:dyDescent="0.2">
      <c r="A14" s="617" t="s">
        <v>349</v>
      </c>
      <c r="B14" s="620">
        <v>300000</v>
      </c>
    </row>
    <row r="15" spans="1:16" ht="24.95" customHeight="1" x14ac:dyDescent="0.2">
      <c r="A15" s="617" t="s">
        <v>350</v>
      </c>
      <c r="B15" s="620">
        <v>0</v>
      </c>
    </row>
    <row r="16" spans="1:16" ht="24.95" customHeight="1" thickBot="1" x14ac:dyDescent="0.25">
      <c r="A16" s="617" t="s">
        <v>351</v>
      </c>
      <c r="B16" s="620">
        <v>200000</v>
      </c>
    </row>
    <row r="17" spans="1:2" ht="24.95" customHeight="1" thickBot="1" x14ac:dyDescent="0.25">
      <c r="A17" s="615" t="s">
        <v>219</v>
      </c>
      <c r="B17" s="929">
        <f>SUM(B11:B16)</f>
        <v>79500000</v>
      </c>
    </row>
    <row r="18" spans="1:2" ht="24.95" customHeight="1" x14ac:dyDescent="0.2">
      <c r="A18" s="616" t="s">
        <v>218</v>
      </c>
      <c r="B18" s="619">
        <v>100000</v>
      </c>
    </row>
    <row r="19" spans="1:2" ht="24.95" customHeight="1" x14ac:dyDescent="0.2">
      <c r="A19" s="617" t="s">
        <v>352</v>
      </c>
      <c r="B19" s="620">
        <v>250000</v>
      </c>
    </row>
    <row r="20" spans="1:2" ht="24.95" customHeight="1" x14ac:dyDescent="0.2">
      <c r="A20" s="617" t="s">
        <v>353</v>
      </c>
      <c r="B20" s="620">
        <v>300000</v>
      </c>
    </row>
    <row r="21" spans="1:2" ht="24.95" customHeight="1" x14ac:dyDescent="0.2">
      <c r="A21" s="617" t="s">
        <v>354</v>
      </c>
      <c r="B21" s="620">
        <v>54287420</v>
      </c>
    </row>
    <row r="22" spans="1:2" ht="24.95" customHeight="1" x14ac:dyDescent="0.2">
      <c r="A22" s="617" t="s">
        <v>355</v>
      </c>
      <c r="B22" s="620">
        <v>4753311</v>
      </c>
    </row>
    <row r="23" spans="1:2" ht="24.95" customHeight="1" x14ac:dyDescent="0.2">
      <c r="A23" s="617" t="s">
        <v>356</v>
      </c>
      <c r="B23" s="620">
        <v>5170401</v>
      </c>
    </row>
    <row r="24" spans="1:2" ht="24.95" customHeight="1" x14ac:dyDescent="0.2">
      <c r="A24" s="617" t="s">
        <v>357</v>
      </c>
      <c r="B24" s="620">
        <v>500000</v>
      </c>
    </row>
    <row r="25" spans="1:2" ht="24.95" customHeight="1" x14ac:dyDescent="0.2">
      <c r="A25" s="617" t="s">
        <v>358</v>
      </c>
      <c r="B25" s="620">
        <v>200000</v>
      </c>
    </row>
    <row r="26" spans="1:2" ht="24.95" customHeight="1" x14ac:dyDescent="0.2">
      <c r="A26" s="617" t="s">
        <v>746</v>
      </c>
      <c r="B26" s="620">
        <v>1443000</v>
      </c>
    </row>
    <row r="27" spans="1:2" ht="24.95" customHeight="1" x14ac:dyDescent="0.2">
      <c r="A27" s="617" t="s">
        <v>359</v>
      </c>
      <c r="B27" s="620">
        <f>'Művh.bev.'!G8+'Művh.bev.'!G9</f>
        <v>98911</v>
      </c>
    </row>
    <row r="28" spans="1:2" ht="24.95" customHeight="1" x14ac:dyDescent="0.2">
      <c r="A28" s="617" t="s">
        <v>747</v>
      </c>
      <c r="B28" s="620">
        <f>'Hiv.bev.'!G18+'Hiv.bev.'!G19</f>
        <v>98616</v>
      </c>
    </row>
    <row r="29" spans="1:2" ht="24.95" customHeight="1" thickBot="1" x14ac:dyDescent="0.25">
      <c r="A29" s="618" t="s">
        <v>748</v>
      </c>
      <c r="B29" s="621">
        <f>Ovibev.!G9+Ovibev.!G10</f>
        <v>1398012</v>
      </c>
    </row>
    <row r="30" spans="1:2" ht="24.95" customHeight="1" thickBot="1" x14ac:dyDescent="0.25">
      <c r="A30" s="615" t="s">
        <v>167</v>
      </c>
      <c r="B30" s="929">
        <f>SUM(B18:B29)</f>
        <v>68599671</v>
      </c>
    </row>
    <row r="31" spans="1:2" ht="24.95" customHeight="1" x14ac:dyDescent="0.2">
      <c r="A31" s="616" t="s">
        <v>751</v>
      </c>
      <c r="B31" s="619">
        <v>53827200</v>
      </c>
    </row>
    <row r="32" spans="1:2" ht="24.95" customHeight="1" thickBot="1" x14ac:dyDescent="0.25">
      <c r="A32" s="614" t="s">
        <v>752</v>
      </c>
      <c r="B32" s="622">
        <v>497000</v>
      </c>
    </row>
    <row r="33" spans="1:2" ht="24.95" customHeight="1" thickBot="1" x14ac:dyDescent="0.25">
      <c r="A33" s="626" t="s">
        <v>4</v>
      </c>
      <c r="B33" s="929">
        <f>SUM(B31:B32)</f>
        <v>54324200</v>
      </c>
    </row>
    <row r="34" spans="1:2" ht="24.95" customHeight="1" thickBot="1" x14ac:dyDescent="0.3">
      <c r="A34" s="627" t="s">
        <v>83</v>
      </c>
      <c r="B34" s="623">
        <f>+B10+B17+B30+B33</f>
        <v>245101324</v>
      </c>
    </row>
    <row r="35" spans="1:2" ht="24.95" customHeight="1" x14ac:dyDescent="0.2"/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98425196850393704" bottom="0.19685039370078741" header="0.51181102362204722" footer="0.51181102362204722"/>
  <pageSetup paperSize="9" scale="95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16"/>
  <sheetViews>
    <sheetView zoomScaleNormal="100" workbookViewId="0">
      <selection activeCell="A10" sqref="A10:B16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1149" t="s">
        <v>384</v>
      </c>
      <c r="B1" s="1149"/>
      <c r="C1" s="8"/>
      <c r="D1" s="1149"/>
      <c r="E1" s="1149"/>
      <c r="F1" s="1149"/>
    </row>
    <row r="2" spans="1:6" ht="18.75" customHeight="1" x14ac:dyDescent="0.2">
      <c r="A2" s="77"/>
      <c r="B2" s="78"/>
      <c r="C2" s="78"/>
      <c r="D2" s="1054"/>
      <c r="E2" s="1055"/>
      <c r="F2" s="1055"/>
    </row>
    <row r="3" spans="1:6" ht="34.5" customHeight="1" x14ac:dyDescent="0.25">
      <c r="A3" s="1150" t="s">
        <v>243</v>
      </c>
      <c r="B3" s="1150"/>
      <c r="C3" s="79"/>
      <c r="D3" s="1150"/>
      <c r="E3" s="1150"/>
      <c r="F3" s="1150"/>
    </row>
    <row r="4" spans="1:6" ht="20.25" customHeight="1" x14ac:dyDescent="0.25">
      <c r="A4" s="1151" t="s">
        <v>373</v>
      </c>
      <c r="B4" s="1151"/>
      <c r="C4" s="13"/>
      <c r="D4" s="1151"/>
      <c r="E4" s="1151"/>
      <c r="F4" s="1151"/>
    </row>
    <row r="6" spans="1:6" ht="12.75" customHeight="1" x14ac:dyDescent="0.25">
      <c r="A6" s="1148" t="s">
        <v>362</v>
      </c>
      <c r="B6" s="1148"/>
    </row>
    <row r="7" spans="1:6" x14ac:dyDescent="0.2">
      <c r="A7" s="148"/>
      <c r="B7" s="148"/>
    </row>
    <row r="8" spans="1:6" ht="15" x14ac:dyDescent="0.3">
      <c r="A8" s="7"/>
    </row>
    <row r="9" spans="1:6" ht="13.5" thickBot="1" x14ac:dyDescent="0.25">
      <c r="B9" s="1" t="s">
        <v>360</v>
      </c>
    </row>
    <row r="10" spans="1:6" ht="24.95" customHeight="1" x14ac:dyDescent="0.2">
      <c r="A10" s="628" t="s">
        <v>341</v>
      </c>
      <c r="B10" s="631">
        <f>'Önk.bev.'!G44</f>
        <v>70891556</v>
      </c>
    </row>
    <row r="11" spans="1:6" ht="24.95" customHeight="1" x14ac:dyDescent="0.2">
      <c r="A11" s="629" t="s">
        <v>342</v>
      </c>
      <c r="B11" s="632">
        <f>'Önk.bev.'!G53+'Önk.bev.'!G54</f>
        <v>44593433</v>
      </c>
    </row>
    <row r="12" spans="1:6" ht="31.5" customHeight="1" x14ac:dyDescent="0.2">
      <c r="A12" s="629" t="s">
        <v>343</v>
      </c>
      <c r="B12" s="632">
        <f>'Önk.bev.'!G55</f>
        <v>33359198</v>
      </c>
    </row>
    <row r="13" spans="1:6" ht="24.95" customHeight="1" x14ac:dyDescent="0.2">
      <c r="A13" s="629" t="s">
        <v>344</v>
      </c>
      <c r="B13" s="632">
        <f>'Önk.bev.'!G62</f>
        <v>3119740</v>
      </c>
    </row>
    <row r="14" spans="1:6" ht="31.5" x14ac:dyDescent="0.2">
      <c r="A14" s="930" t="s">
        <v>781</v>
      </c>
      <c r="B14" s="632">
        <f>'Önk.bev.'!G64</f>
        <v>9507600</v>
      </c>
    </row>
    <row r="15" spans="1:6" ht="32.25" thickBot="1" x14ac:dyDescent="0.25">
      <c r="A15" s="931" t="s">
        <v>780</v>
      </c>
      <c r="B15" s="920">
        <f>'Önk.bev.'!G65</f>
        <v>1813560</v>
      </c>
    </row>
    <row r="16" spans="1:6" ht="24.95" customHeight="1" thickBot="1" x14ac:dyDescent="0.25">
      <c r="A16" s="630" t="s">
        <v>229</v>
      </c>
      <c r="B16" s="932">
        <f>SUM(B10:B15)</f>
        <v>163285087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13"/>
  <sheetViews>
    <sheetView zoomScaleNormal="100" workbookViewId="0">
      <selection activeCell="A10" sqref="A10:B12"/>
    </sheetView>
  </sheetViews>
  <sheetFormatPr defaultRowHeight="12.75" x14ac:dyDescent="0.2"/>
  <cols>
    <col min="1" max="1" width="58" customWidth="1"/>
    <col min="2" max="2" width="13.5703125" customWidth="1"/>
  </cols>
  <sheetData>
    <row r="1" spans="1:2" s="156" customFormat="1" ht="15" customHeight="1" x14ac:dyDescent="0.25">
      <c r="A1" s="1154" t="s">
        <v>385</v>
      </c>
      <c r="B1" s="1154"/>
    </row>
    <row r="2" spans="1:2" ht="14.25" x14ac:dyDescent="0.2">
      <c r="A2" s="1055"/>
      <c r="B2" s="1055"/>
    </row>
    <row r="3" spans="1:2" ht="17.25" customHeight="1" x14ac:dyDescent="0.2"/>
    <row r="4" spans="1:2" ht="18" customHeight="1" x14ac:dyDescent="0.25">
      <c r="A4" s="1151" t="s">
        <v>243</v>
      </c>
      <c r="B4" s="1151"/>
    </row>
    <row r="5" spans="1:2" ht="15.75" x14ac:dyDescent="0.25">
      <c r="A5" s="1153" t="s">
        <v>373</v>
      </c>
      <c r="B5" s="1153"/>
    </row>
    <row r="6" spans="1:2" ht="15.75" x14ac:dyDescent="0.25">
      <c r="A6" s="76"/>
    </row>
    <row r="7" spans="1:2" ht="15.75" customHeight="1" x14ac:dyDescent="0.25">
      <c r="A7" s="1152" t="s">
        <v>220</v>
      </c>
      <c r="B7" s="1152"/>
    </row>
    <row r="8" spans="1:2" ht="15.75" customHeight="1" x14ac:dyDescent="0.25">
      <c r="A8" s="93"/>
      <c r="B8" s="93"/>
    </row>
    <row r="9" spans="1:2" ht="15.75" customHeight="1" thickBot="1" x14ac:dyDescent="0.25">
      <c r="A9" s="153"/>
      <c r="B9" s="1" t="s">
        <v>360</v>
      </c>
    </row>
    <row r="10" spans="1:2" ht="30" customHeight="1" x14ac:dyDescent="0.2">
      <c r="A10" s="933" t="s">
        <v>368</v>
      </c>
      <c r="B10" s="934">
        <v>500000</v>
      </c>
    </row>
    <row r="11" spans="1:2" ht="30" customHeight="1" thickBot="1" x14ac:dyDescent="0.25">
      <c r="A11" s="935" t="s">
        <v>369</v>
      </c>
      <c r="B11" s="936">
        <v>10207000</v>
      </c>
    </row>
    <row r="12" spans="1:2" ht="30" customHeight="1" thickBot="1" x14ac:dyDescent="0.25">
      <c r="A12" s="937" t="s">
        <v>370</v>
      </c>
      <c r="B12" s="938">
        <f>B10+B11</f>
        <v>10707000</v>
      </c>
    </row>
    <row r="13" spans="1:2" ht="14.25" x14ac:dyDescent="0.2">
      <c r="A13" s="26"/>
      <c r="B13" s="26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5:G38"/>
  <sheetViews>
    <sheetView topLeftCell="A19" zoomScaleNormal="100" workbookViewId="0">
      <selection activeCell="C39" sqref="C39"/>
    </sheetView>
  </sheetViews>
  <sheetFormatPr defaultRowHeight="12.75" x14ac:dyDescent="0.2"/>
  <cols>
    <col min="2" max="2" width="58.42578125" customWidth="1"/>
    <col min="3" max="3" width="18.85546875" customWidth="1"/>
    <col min="7" max="7" width="11.140625" bestFit="1" customWidth="1"/>
  </cols>
  <sheetData>
    <row r="5" spans="1:4" ht="15" customHeight="1" x14ac:dyDescent="0.2">
      <c r="A5" s="1089" t="s">
        <v>386</v>
      </c>
      <c r="B5" s="1089"/>
      <c r="C5" s="1089"/>
      <c r="D5" s="1089"/>
    </row>
    <row r="6" spans="1:4" ht="15" customHeight="1" x14ac:dyDescent="0.2">
      <c r="A6" s="1054"/>
      <c r="B6" s="1054"/>
      <c r="C6" s="1054"/>
    </row>
    <row r="7" spans="1:4" ht="15" customHeight="1" x14ac:dyDescent="0.2">
      <c r="A7" s="11"/>
      <c r="B7" s="11"/>
      <c r="C7" s="12"/>
    </row>
    <row r="8" spans="1:4" ht="15.75" x14ac:dyDescent="0.25">
      <c r="A8" s="1151" t="s">
        <v>243</v>
      </c>
      <c r="B8" s="1151"/>
      <c r="C8" s="1151"/>
      <c r="D8" s="1151"/>
    </row>
    <row r="9" spans="1:4" ht="15.75" x14ac:dyDescent="0.25">
      <c r="A9" s="1153" t="s">
        <v>373</v>
      </c>
      <c r="B9" s="1153"/>
      <c r="C9" s="1153"/>
      <c r="D9" s="1153"/>
    </row>
    <row r="10" spans="1:4" ht="15.75" x14ac:dyDescent="0.25">
      <c r="A10" s="76"/>
      <c r="B10" s="76"/>
      <c r="C10" s="76"/>
    </row>
    <row r="11" spans="1:4" ht="15.75" x14ac:dyDescent="0.25">
      <c r="A11" s="1153" t="s">
        <v>187</v>
      </c>
      <c r="B11" s="1153"/>
      <c r="C11" s="1153"/>
      <c r="D11" s="1153"/>
    </row>
    <row r="12" spans="1:4" ht="15.75" x14ac:dyDescent="0.25">
      <c r="A12" s="76"/>
      <c r="B12" s="76"/>
      <c r="C12" s="76"/>
      <c r="D12" s="76"/>
    </row>
    <row r="13" spans="1:4" ht="16.5" customHeight="1" thickBot="1" x14ac:dyDescent="0.25">
      <c r="C13" s="633" t="s">
        <v>745</v>
      </c>
    </row>
    <row r="14" spans="1:4" ht="24.95" customHeight="1" thickBot="1" x14ac:dyDescent="0.3">
      <c r="B14" s="642" t="s">
        <v>221</v>
      </c>
      <c r="C14" s="641" t="s">
        <v>360</v>
      </c>
    </row>
    <row r="15" spans="1:4" ht="24.95" customHeight="1" x14ac:dyDescent="0.25">
      <c r="B15" s="647" t="s">
        <v>753</v>
      </c>
      <c r="C15" s="644">
        <v>2363000</v>
      </c>
    </row>
    <row r="16" spans="1:4" ht="24.95" customHeight="1" x14ac:dyDescent="0.25">
      <c r="B16" s="648" t="s">
        <v>754</v>
      </c>
      <c r="C16" s="637">
        <v>389500</v>
      </c>
    </row>
    <row r="17" spans="2:7" ht="24.95" customHeight="1" x14ac:dyDescent="0.25">
      <c r="B17" s="648" t="s">
        <v>725</v>
      </c>
      <c r="C17" s="637">
        <f>'Önk.kiad.'!G45+'Önk.kiad.'!G163+'Önk.kiad.'!G190</f>
        <v>481000</v>
      </c>
    </row>
    <row r="18" spans="2:7" ht="24.95" customHeight="1" x14ac:dyDescent="0.25">
      <c r="B18" s="648" t="s">
        <v>757</v>
      </c>
      <c r="C18" s="637">
        <f>'Önk.kiad.'!G106</f>
        <v>133000</v>
      </c>
    </row>
    <row r="19" spans="2:7" ht="24.95" customHeight="1" x14ac:dyDescent="0.25">
      <c r="B19" s="648" t="s">
        <v>758</v>
      </c>
      <c r="C19" s="637">
        <v>2000000</v>
      </c>
    </row>
    <row r="20" spans="2:7" ht="24.95" customHeight="1" x14ac:dyDescent="0.25">
      <c r="B20" s="648" t="s">
        <v>374</v>
      </c>
      <c r="C20" s="649">
        <f>'Művh.kiad.'!G54</f>
        <v>800000</v>
      </c>
    </row>
    <row r="21" spans="2:7" ht="24.95" customHeight="1" x14ac:dyDescent="0.25">
      <c r="B21" s="648" t="s">
        <v>756</v>
      </c>
      <c r="C21" s="649">
        <f>Ovikiad.!G54</f>
        <v>1270000</v>
      </c>
    </row>
    <row r="22" spans="2:7" ht="24.95" customHeight="1" thickBot="1" x14ac:dyDescent="0.3">
      <c r="B22" s="635" t="s">
        <v>755</v>
      </c>
      <c r="C22" s="650">
        <f>'Önk.kiad.'!G46+'Önk.kiad.'!G107+'Önk.kiad.'!G164+'Önk.kiad.'!G191+'Önk.kiad.'!G211+'Művh.kiad.'!G55+Ovikiad.!G55</f>
        <v>2156000</v>
      </c>
    </row>
    <row r="23" spans="2:7" ht="24.95" customHeight="1" thickBot="1" x14ac:dyDescent="0.3">
      <c r="B23" s="640" t="s">
        <v>222</v>
      </c>
      <c r="C23" s="645">
        <f>SUM(C15:C22)</f>
        <v>9592500</v>
      </c>
    </row>
    <row r="24" spans="2:7" ht="24.95" customHeight="1" thickBot="1" x14ac:dyDescent="0.3">
      <c r="B24" s="1155"/>
      <c r="C24" s="1156"/>
    </row>
    <row r="25" spans="2:7" ht="24.95" customHeight="1" thickBot="1" x14ac:dyDescent="0.3">
      <c r="B25" s="642" t="s">
        <v>223</v>
      </c>
      <c r="C25" s="646" t="s">
        <v>360</v>
      </c>
    </row>
    <row r="26" spans="2:7" ht="24.95" customHeight="1" x14ac:dyDescent="0.25">
      <c r="B26" s="643" t="s">
        <v>762</v>
      </c>
      <c r="C26" s="644">
        <f>101200000-170000</f>
        <v>101030000</v>
      </c>
    </row>
    <row r="27" spans="2:7" ht="24.95" customHeight="1" x14ac:dyDescent="0.25">
      <c r="B27" s="634" t="s">
        <v>761</v>
      </c>
      <c r="C27" s="637">
        <v>2000000</v>
      </c>
      <c r="G27" s="3"/>
    </row>
    <row r="28" spans="2:7" ht="24.95" customHeight="1" x14ac:dyDescent="0.25">
      <c r="B28" s="634" t="s">
        <v>760</v>
      </c>
      <c r="C28" s="637">
        <v>5000000</v>
      </c>
    </row>
    <row r="29" spans="2:7" ht="24.95" customHeight="1" x14ac:dyDescent="0.25">
      <c r="B29" s="634" t="s">
        <v>376</v>
      </c>
      <c r="C29" s="637">
        <v>10819007</v>
      </c>
    </row>
    <row r="30" spans="2:7" ht="24.95" customHeight="1" x14ac:dyDescent="0.25">
      <c r="B30" s="651" t="s">
        <v>783</v>
      </c>
      <c r="C30" s="638">
        <v>160000</v>
      </c>
    </row>
    <row r="31" spans="2:7" ht="24.95" customHeight="1" x14ac:dyDescent="0.25">
      <c r="B31" s="651" t="s">
        <v>759</v>
      </c>
      <c r="C31" s="638">
        <f>1900000+2921132+17390000+44000</f>
        <v>22255132</v>
      </c>
    </row>
    <row r="32" spans="2:7" ht="24.95" customHeight="1" x14ac:dyDescent="0.25">
      <c r="B32" s="652" t="s">
        <v>763</v>
      </c>
      <c r="C32" s="653">
        <v>1263000</v>
      </c>
    </row>
    <row r="33" spans="2:3" ht="24.95" customHeight="1" x14ac:dyDescent="0.25">
      <c r="B33" s="651" t="s">
        <v>782</v>
      </c>
      <c r="C33" s="653">
        <v>170000</v>
      </c>
    </row>
    <row r="34" spans="2:3" ht="24.95" customHeight="1" thickBot="1" x14ac:dyDescent="0.3">
      <c r="B34" s="635" t="s">
        <v>375</v>
      </c>
      <c r="C34" s="638">
        <v>38000000</v>
      </c>
    </row>
    <row r="35" spans="2:3" ht="24.95" customHeight="1" thickBot="1" x14ac:dyDescent="0.3">
      <c r="B35" s="636" t="s">
        <v>298</v>
      </c>
      <c r="C35" s="639">
        <f>SUM(C26:C34)-C32</f>
        <v>179434139</v>
      </c>
    </row>
    <row r="36" spans="2:3" ht="24.95" customHeight="1" x14ac:dyDescent="0.2"/>
    <row r="37" spans="2:3" ht="24.95" customHeight="1" thickBot="1" x14ac:dyDescent="0.25"/>
    <row r="38" spans="2:3" ht="24.95" customHeight="1" thickBot="1" x14ac:dyDescent="0.3">
      <c r="B38" s="654" t="s">
        <v>335</v>
      </c>
      <c r="C38" s="655">
        <f>C23+C35</f>
        <v>189026639</v>
      </c>
    </row>
  </sheetData>
  <mergeCells count="6">
    <mergeCell ref="A5:D5"/>
    <mergeCell ref="B24:C24"/>
    <mergeCell ref="A6:C6"/>
    <mergeCell ref="A11:D11"/>
    <mergeCell ref="A8:D8"/>
    <mergeCell ref="A9:D9"/>
  </mergeCells>
  <phoneticPr fontId="13" type="noConversion"/>
  <pageMargins left="0.75" right="0.75" top="1" bottom="1" header="0.5" footer="0.5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G20"/>
  <sheetViews>
    <sheetView workbookViewId="0">
      <selection activeCell="C15" sqref="C15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1089" t="s">
        <v>387</v>
      </c>
      <c r="B3" s="1089"/>
      <c r="C3" s="1089"/>
      <c r="D3" s="1089"/>
      <c r="E3" s="12"/>
      <c r="F3" s="12"/>
      <c r="G3" s="12"/>
    </row>
    <row r="4" spans="1:7" ht="15" customHeight="1" x14ac:dyDescent="0.2">
      <c r="A4" s="1054"/>
      <c r="B4" s="1055"/>
      <c r="C4" s="1055"/>
      <c r="D4" s="1055"/>
      <c r="E4" s="12"/>
      <c r="F4" s="12"/>
      <c r="G4" s="12"/>
    </row>
    <row r="5" spans="1:7" ht="15" x14ac:dyDescent="0.2">
      <c r="B5" s="11"/>
      <c r="C5" s="11"/>
      <c r="D5" s="11"/>
      <c r="E5" s="11"/>
    </row>
    <row r="6" spans="1:7" ht="15.75" x14ac:dyDescent="0.25">
      <c r="A6" s="1151" t="s">
        <v>243</v>
      </c>
      <c r="B6" s="1151"/>
      <c r="C6" s="1151"/>
      <c r="D6" s="1151"/>
      <c r="E6" s="13"/>
      <c r="F6" s="13"/>
      <c r="G6" s="13"/>
    </row>
    <row r="7" spans="1:7" ht="15.75" x14ac:dyDescent="0.25">
      <c r="A7" s="1153" t="s">
        <v>373</v>
      </c>
      <c r="B7" s="1153"/>
      <c r="C7" s="1153"/>
      <c r="D7" s="1153"/>
      <c r="E7" s="14"/>
      <c r="F7" s="14"/>
      <c r="G7" s="14"/>
    </row>
    <row r="10" spans="1:7" ht="15.75" x14ac:dyDescent="0.25">
      <c r="A10" s="1157" t="s">
        <v>84</v>
      </c>
      <c r="B10" s="1157"/>
      <c r="C10" s="1157"/>
      <c r="D10" s="1157"/>
      <c r="E10" s="15"/>
      <c r="F10" s="15"/>
      <c r="G10" s="15"/>
    </row>
    <row r="13" spans="1:7" ht="13.5" thickBot="1" x14ac:dyDescent="0.25">
      <c r="C13" s="1" t="s">
        <v>11</v>
      </c>
    </row>
    <row r="14" spans="1:7" ht="15" x14ac:dyDescent="0.25">
      <c r="B14" s="20" t="s">
        <v>6</v>
      </c>
      <c r="C14" s="16">
        <f>'Önk.kiad.'!G40/1000</f>
        <v>7998.12</v>
      </c>
    </row>
    <row r="15" spans="1:7" ht="15" x14ac:dyDescent="0.25">
      <c r="B15" s="18"/>
      <c r="C15" s="17"/>
    </row>
    <row r="16" spans="1:7" ht="15" x14ac:dyDescent="0.25">
      <c r="B16" s="18" t="s">
        <v>224</v>
      </c>
      <c r="C16" s="19"/>
    </row>
    <row r="17" spans="2:3" ht="15" x14ac:dyDescent="0.25">
      <c r="B17" s="10" t="s">
        <v>340</v>
      </c>
      <c r="C17" s="141">
        <f>'Önk.kiad.'!G41/1000</f>
        <v>25285.27</v>
      </c>
    </row>
    <row r="18" spans="2:3" ht="15" x14ac:dyDescent="0.25">
      <c r="B18" s="18" t="s">
        <v>264</v>
      </c>
      <c r="C18" s="21">
        <f>SUM(C17:C17)</f>
        <v>25285.27</v>
      </c>
    </row>
    <row r="19" spans="2:3" ht="15" thickBot="1" x14ac:dyDescent="0.25">
      <c r="B19" s="22"/>
      <c r="C19" s="23"/>
    </row>
    <row r="20" spans="2:3" ht="15.75" thickBot="1" x14ac:dyDescent="0.3">
      <c r="B20" s="9" t="s">
        <v>85</v>
      </c>
      <c r="C20" s="24">
        <f>C14+C18</f>
        <v>33283.39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80"/>
  <sheetViews>
    <sheetView topLeftCell="A49" zoomScaleNormal="100" workbookViewId="0">
      <selection activeCell="I74" sqref="I74"/>
    </sheetView>
  </sheetViews>
  <sheetFormatPr defaultRowHeight="12.75" x14ac:dyDescent="0.2"/>
  <cols>
    <col min="1" max="1" width="6.7109375" customWidth="1"/>
    <col min="2" max="2" width="45.140625" customWidth="1"/>
    <col min="3" max="5" width="10.7109375" customWidth="1"/>
  </cols>
  <sheetData>
    <row r="1" spans="1:5" ht="15" customHeight="1" x14ac:dyDescent="0.2">
      <c r="A1" s="1089" t="s">
        <v>393</v>
      </c>
      <c r="B1" s="1089"/>
      <c r="C1" s="1089"/>
      <c r="D1" s="1089"/>
      <c r="E1" s="1089"/>
    </row>
    <row r="2" spans="1:5" ht="15" customHeight="1" x14ac:dyDescent="0.2">
      <c r="A2" s="1054"/>
      <c r="B2" s="1055"/>
      <c r="C2" s="1055"/>
      <c r="D2" s="1055"/>
      <c r="E2" s="1055"/>
    </row>
    <row r="3" spans="1:5" ht="15" x14ac:dyDescent="0.2">
      <c r="A3" s="11"/>
      <c r="B3" s="11"/>
      <c r="C3" s="11"/>
      <c r="D3" s="11"/>
    </row>
    <row r="4" spans="1:5" ht="15.75" x14ac:dyDescent="0.25">
      <c r="A4" s="1151" t="s">
        <v>243</v>
      </c>
      <c r="B4" s="1151"/>
      <c r="C4" s="1151"/>
      <c r="D4" s="1151"/>
      <c r="E4" s="1151"/>
    </row>
    <row r="5" spans="1:5" ht="15.75" x14ac:dyDescent="0.25">
      <c r="A5" s="1153" t="s">
        <v>373</v>
      </c>
      <c r="B5" s="1153"/>
      <c r="C5" s="1153"/>
      <c r="D5" s="1153"/>
      <c r="E5" s="1153"/>
    </row>
    <row r="6" spans="1:5" ht="15" x14ac:dyDescent="0.25">
      <c r="A6" s="40"/>
      <c r="B6" s="40"/>
      <c r="C6" s="40"/>
      <c r="D6" s="40"/>
      <c r="E6" s="40"/>
    </row>
    <row r="7" spans="1:5" ht="15.75" thickBot="1" x14ac:dyDescent="0.3">
      <c r="A7" s="25"/>
      <c r="B7" s="26"/>
      <c r="C7" s="26"/>
      <c r="D7" s="27"/>
      <c r="E7" s="27"/>
    </row>
    <row r="8" spans="1:5" ht="14.25" x14ac:dyDescent="0.2">
      <c r="A8" s="1161" t="s">
        <v>86</v>
      </c>
      <c r="B8" s="1161"/>
      <c r="C8" s="1161"/>
      <c r="D8" s="1161"/>
      <c r="E8" s="1161"/>
    </row>
    <row r="9" spans="1:5" ht="15.75" thickBot="1" x14ac:dyDescent="0.3">
      <c r="A9" s="671" t="s">
        <v>87</v>
      </c>
      <c r="B9" s="671" t="s">
        <v>8</v>
      </c>
      <c r="C9" s="671">
        <v>2019</v>
      </c>
      <c r="D9" s="672">
        <v>2020</v>
      </c>
      <c r="E9" s="672">
        <v>2021</v>
      </c>
    </row>
    <row r="10" spans="1:5" ht="15" customHeight="1" x14ac:dyDescent="0.25">
      <c r="A10" s="28" t="s">
        <v>88</v>
      </c>
      <c r="B10" s="673" t="s">
        <v>167</v>
      </c>
      <c r="C10" s="30">
        <f>'2. sz.melléklet'!B11</f>
        <v>68599.671000000002</v>
      </c>
      <c r="D10" s="30">
        <v>8000</v>
      </c>
      <c r="E10" s="30">
        <v>10000</v>
      </c>
    </row>
    <row r="11" spans="1:5" ht="15" customHeight="1" x14ac:dyDescent="0.25">
      <c r="A11" s="659" t="s">
        <v>89</v>
      </c>
      <c r="B11" s="673" t="s">
        <v>336</v>
      </c>
      <c r="C11" s="661">
        <f>'2. sz.melléklet'!B10</f>
        <v>79500</v>
      </c>
      <c r="D11" s="661">
        <v>50000</v>
      </c>
      <c r="E11" s="661">
        <v>50000</v>
      </c>
    </row>
    <row r="12" spans="1:5" ht="15" customHeight="1" x14ac:dyDescent="0.25">
      <c r="A12" s="659" t="s">
        <v>38</v>
      </c>
      <c r="B12" s="142" t="s">
        <v>337</v>
      </c>
      <c r="C12" s="661">
        <f>'2. sz.melléklet'!B8</f>
        <v>163614.17800000001</v>
      </c>
      <c r="D12" s="661">
        <v>110000</v>
      </c>
      <c r="E12" s="661">
        <v>120000</v>
      </c>
    </row>
    <row r="13" spans="1:5" ht="15.75" customHeight="1" x14ac:dyDescent="0.25">
      <c r="A13" s="659" t="s">
        <v>39</v>
      </c>
      <c r="B13" s="660" t="s">
        <v>226</v>
      </c>
      <c r="C13" s="661">
        <f>'2. sz.melléklet'!B9</f>
        <v>42677.453000000001</v>
      </c>
      <c r="D13" s="661">
        <v>5000</v>
      </c>
      <c r="E13" s="661">
        <v>5000</v>
      </c>
    </row>
    <row r="14" spans="1:5" ht="15" customHeight="1" x14ac:dyDescent="0.25">
      <c r="A14" s="659" t="s">
        <v>90</v>
      </c>
      <c r="B14" s="660" t="s">
        <v>338</v>
      </c>
      <c r="C14" s="661">
        <f>'2. sz.melléklet'!B13</f>
        <v>149377.101</v>
      </c>
      <c r="D14" s="661">
        <v>108000</v>
      </c>
      <c r="E14" s="661">
        <v>100000</v>
      </c>
    </row>
    <row r="15" spans="1:5" ht="15" customHeight="1" x14ac:dyDescent="0.25">
      <c r="A15" s="659" t="s">
        <v>91</v>
      </c>
      <c r="B15" s="660" t="s">
        <v>92</v>
      </c>
      <c r="C15" s="661"/>
      <c r="D15" s="661"/>
      <c r="E15" s="661"/>
    </row>
    <row r="16" spans="1:5" ht="15" customHeight="1" x14ac:dyDescent="0.25">
      <c r="A16" s="659" t="s">
        <v>42</v>
      </c>
      <c r="B16" s="660" t="s">
        <v>267</v>
      </c>
      <c r="C16" s="661">
        <f>'2. sz.melléklet'!B12</f>
        <v>277</v>
      </c>
      <c r="D16" s="661">
        <v>5000</v>
      </c>
      <c r="E16" s="661">
        <v>5000</v>
      </c>
    </row>
    <row r="17" spans="1:5" ht="15" customHeight="1" x14ac:dyDescent="0.25">
      <c r="A17" s="659" t="s">
        <v>93</v>
      </c>
      <c r="B17" s="660" t="s">
        <v>94</v>
      </c>
      <c r="C17" s="661"/>
      <c r="D17" s="661"/>
      <c r="E17" s="661"/>
    </row>
    <row r="18" spans="1:5" ht="15" customHeight="1" x14ac:dyDescent="0.25">
      <c r="A18" s="659" t="s">
        <v>44</v>
      </c>
      <c r="B18" s="660" t="s">
        <v>95</v>
      </c>
      <c r="C18" s="661"/>
      <c r="D18" s="661"/>
      <c r="E18" s="661"/>
    </row>
    <row r="19" spans="1:5" ht="15" customHeight="1" thickBot="1" x14ac:dyDescent="0.3">
      <c r="A19" s="659" t="s">
        <v>96</v>
      </c>
      <c r="B19" s="674" t="s">
        <v>97</v>
      </c>
      <c r="C19" s="513">
        <v>8716.6440000000002</v>
      </c>
      <c r="D19" s="675">
        <v>7000</v>
      </c>
      <c r="E19" s="675">
        <v>7000</v>
      </c>
    </row>
    <row r="20" spans="1:5" ht="15" customHeight="1" thickBot="1" x14ac:dyDescent="0.3">
      <c r="A20" s="676" t="s">
        <v>46</v>
      </c>
      <c r="B20" s="665" t="s">
        <v>98</v>
      </c>
      <c r="C20" s="666">
        <f>SUM(C10:C19)</f>
        <v>512762.04700000002</v>
      </c>
      <c r="D20" s="666">
        <f t="shared" ref="D20:E20" si="0">SUM(D10:D19)</f>
        <v>293000</v>
      </c>
      <c r="E20" s="666">
        <f t="shared" si="0"/>
        <v>297000</v>
      </c>
    </row>
    <row r="21" spans="1:5" ht="15" customHeight="1" x14ac:dyDescent="0.25">
      <c r="A21" s="659" t="s">
        <v>99</v>
      </c>
      <c r="B21" s="29" t="s">
        <v>3</v>
      </c>
      <c r="C21" s="30">
        <f>'2. sz.melléklet'!F8</f>
        <v>158298.261</v>
      </c>
      <c r="D21" s="30">
        <v>65000</v>
      </c>
      <c r="E21" s="30">
        <v>65000</v>
      </c>
    </row>
    <row r="22" spans="1:5" ht="15" customHeight="1" x14ac:dyDescent="0.25">
      <c r="A22" s="659" t="s">
        <v>48</v>
      </c>
      <c r="B22" s="660" t="s">
        <v>100</v>
      </c>
      <c r="C22" s="661">
        <f>'2. sz.melléklet'!F9</f>
        <v>29841.736000000001</v>
      </c>
      <c r="D22" s="661">
        <v>18000</v>
      </c>
      <c r="E22" s="661">
        <v>18000</v>
      </c>
    </row>
    <row r="23" spans="1:5" ht="15" customHeight="1" x14ac:dyDescent="0.25">
      <c r="A23" s="659" t="s">
        <v>101</v>
      </c>
      <c r="B23" s="660" t="s">
        <v>102</v>
      </c>
      <c r="C23" s="661">
        <f>'2. sz.melléklet'!F10</f>
        <v>87432.506999999998</v>
      </c>
      <c r="D23" s="661">
        <v>71000</v>
      </c>
      <c r="E23" s="661">
        <v>65000</v>
      </c>
    </row>
    <row r="24" spans="1:5" ht="15" customHeight="1" x14ac:dyDescent="0.25">
      <c r="A24" s="659" t="s">
        <v>50</v>
      </c>
      <c r="B24" s="660" t="s">
        <v>227</v>
      </c>
      <c r="C24" s="661">
        <f>'2. sz.melléklet'!F12</f>
        <v>7156</v>
      </c>
      <c r="D24" s="661">
        <v>1500</v>
      </c>
      <c r="E24" s="661">
        <v>1500</v>
      </c>
    </row>
    <row r="25" spans="1:5" ht="15" customHeight="1" x14ac:dyDescent="0.25">
      <c r="A25" s="659" t="s">
        <v>51</v>
      </c>
      <c r="B25" s="660" t="s">
        <v>228</v>
      </c>
      <c r="C25" s="677">
        <f>'2. sz.melléklet'!F13</f>
        <v>6207</v>
      </c>
      <c r="D25" s="661">
        <v>7000</v>
      </c>
      <c r="E25" s="661">
        <v>5000</v>
      </c>
    </row>
    <row r="26" spans="1:5" ht="15" customHeight="1" x14ac:dyDescent="0.25">
      <c r="A26" s="659" t="s">
        <v>103</v>
      </c>
      <c r="B26" s="660" t="s">
        <v>104</v>
      </c>
      <c r="C26" s="661">
        <f>'2. sz.melléklet'!F14</f>
        <v>6042.2659999999996</v>
      </c>
      <c r="D26" s="661"/>
      <c r="E26" s="661"/>
    </row>
    <row r="27" spans="1:5" ht="15" customHeight="1" x14ac:dyDescent="0.25">
      <c r="A27" s="659" t="s">
        <v>53</v>
      </c>
      <c r="B27" s="660" t="s">
        <v>105</v>
      </c>
      <c r="C27" s="661">
        <f>'2. sz.melléklet'!F11</f>
        <v>10810.5</v>
      </c>
      <c r="D27" s="661">
        <v>9000</v>
      </c>
      <c r="E27" s="661">
        <v>9000</v>
      </c>
    </row>
    <row r="28" spans="1:5" ht="15" customHeight="1" x14ac:dyDescent="0.25">
      <c r="A28" s="659" t="s">
        <v>106</v>
      </c>
      <c r="B28" s="660" t="s">
        <v>107</v>
      </c>
      <c r="C28" s="661"/>
      <c r="D28" s="661"/>
      <c r="E28" s="661"/>
    </row>
    <row r="29" spans="1:5" ht="15" customHeight="1" x14ac:dyDescent="0.25">
      <c r="A29" s="659" t="s">
        <v>55</v>
      </c>
      <c r="B29" s="660" t="s">
        <v>189</v>
      </c>
      <c r="C29" s="661">
        <f>'2. sz.melléklet'!F15</f>
        <v>149377.101</v>
      </c>
      <c r="D29" s="661">
        <v>108000</v>
      </c>
      <c r="E29" s="661">
        <v>100000</v>
      </c>
    </row>
    <row r="30" spans="1:5" ht="15" customHeight="1" x14ac:dyDescent="0.25">
      <c r="A30" s="659" t="s">
        <v>56</v>
      </c>
      <c r="B30" s="660" t="s">
        <v>266</v>
      </c>
      <c r="C30" s="661"/>
      <c r="D30" s="661"/>
      <c r="E30" s="661"/>
    </row>
    <row r="31" spans="1:5" ht="15" customHeight="1" x14ac:dyDescent="0.25">
      <c r="A31" s="659" t="s">
        <v>108</v>
      </c>
      <c r="B31" s="660" t="s">
        <v>109</v>
      </c>
      <c r="C31" s="661"/>
      <c r="D31" s="661"/>
      <c r="E31" s="661"/>
    </row>
    <row r="32" spans="1:5" ht="15" customHeight="1" thickBot="1" x14ac:dyDescent="0.3">
      <c r="A32" s="659" t="s">
        <v>110</v>
      </c>
      <c r="B32" s="674" t="s">
        <v>84</v>
      </c>
      <c r="C32" s="675">
        <f>'Önk.kiad.'!G40/1000</f>
        <v>7998.12</v>
      </c>
      <c r="D32" s="675">
        <v>11500</v>
      </c>
      <c r="E32" s="675">
        <v>13500</v>
      </c>
    </row>
    <row r="33" spans="1:5" ht="15" customHeight="1" thickBot="1" x14ac:dyDescent="0.3">
      <c r="A33" s="678" t="s">
        <v>59</v>
      </c>
      <c r="B33" s="679" t="s">
        <v>111</v>
      </c>
      <c r="C33" s="680">
        <f>SUM(C21:C32)</f>
        <v>463163.49100000004</v>
      </c>
      <c r="D33" s="680">
        <f>SUM(D21:D32)</f>
        <v>291000</v>
      </c>
      <c r="E33" s="680">
        <f>SUM(E21:E32)</f>
        <v>277000</v>
      </c>
    </row>
    <row r="34" spans="1:5" ht="15" customHeight="1" x14ac:dyDescent="0.25">
      <c r="A34" s="55"/>
      <c r="B34" s="56"/>
      <c r="C34" s="57"/>
      <c r="D34" s="57"/>
      <c r="E34" s="57"/>
    </row>
    <row r="35" spans="1:5" ht="15" customHeight="1" x14ac:dyDescent="0.25">
      <c r="A35" s="55"/>
      <c r="B35" s="58"/>
      <c r="C35" s="59"/>
      <c r="D35" s="59"/>
      <c r="E35" s="59"/>
    </row>
    <row r="36" spans="1:5" ht="15" customHeight="1" x14ac:dyDescent="0.25">
      <c r="A36" s="55"/>
      <c r="B36" s="58"/>
      <c r="C36" s="59"/>
      <c r="D36" s="59"/>
      <c r="E36" s="59"/>
    </row>
    <row r="37" spans="1:5" ht="15" customHeight="1" x14ac:dyDescent="0.25">
      <c r="A37" s="55"/>
      <c r="B37" s="58"/>
      <c r="C37" s="59"/>
      <c r="D37" s="59"/>
      <c r="E37" s="59"/>
    </row>
    <row r="38" spans="1:5" ht="15" customHeight="1" x14ac:dyDescent="0.25">
      <c r="A38" s="55"/>
      <c r="B38" s="58"/>
      <c r="C38" s="59"/>
      <c r="D38" s="59"/>
      <c r="E38" s="59"/>
    </row>
    <row r="39" spans="1:5" ht="15" customHeight="1" x14ac:dyDescent="0.25">
      <c r="A39" s="55"/>
      <c r="B39" s="58"/>
      <c r="C39" s="59"/>
      <c r="D39" s="59"/>
      <c r="E39" s="59"/>
    </row>
    <row r="40" spans="1:5" ht="15" customHeight="1" x14ac:dyDescent="0.25">
      <c r="A40" s="55"/>
      <c r="B40" s="58"/>
      <c r="C40" s="59"/>
      <c r="D40" s="59"/>
      <c r="E40" s="59"/>
    </row>
    <row r="41" spans="1:5" ht="15" customHeight="1" x14ac:dyDescent="0.25">
      <c r="A41" s="55"/>
      <c r="B41" s="58"/>
      <c r="C41" s="59"/>
      <c r="D41" s="59"/>
      <c r="E41" s="59"/>
    </row>
    <row r="42" spans="1:5" ht="15" customHeight="1" x14ac:dyDescent="0.25">
      <c r="A42" s="55"/>
      <c r="B42" s="58"/>
      <c r="C42" s="59"/>
      <c r="D42" s="59"/>
      <c r="E42" s="59"/>
    </row>
    <row r="43" spans="1:5" ht="15" customHeight="1" x14ac:dyDescent="0.25">
      <c r="A43" s="55"/>
      <c r="B43" s="58"/>
      <c r="C43" s="59"/>
      <c r="D43" s="59"/>
      <c r="E43" s="59"/>
    </row>
    <row r="44" spans="1:5" ht="15" customHeight="1" x14ac:dyDescent="0.25">
      <c r="A44" s="55"/>
      <c r="B44" s="58"/>
      <c r="C44" s="59"/>
      <c r="D44" s="59"/>
      <c r="E44" s="59"/>
    </row>
    <row r="45" spans="1:5" ht="15" customHeight="1" x14ac:dyDescent="0.25">
      <c r="A45" s="55"/>
      <c r="B45" s="58"/>
      <c r="C45" s="59"/>
      <c r="D45" s="59"/>
      <c r="E45" s="59"/>
    </row>
    <row r="46" spans="1:5" ht="15" customHeight="1" x14ac:dyDescent="0.25">
      <c r="A46" s="55"/>
      <c r="B46" s="58"/>
      <c r="C46" s="59"/>
      <c r="D46" s="59"/>
      <c r="E46" s="59"/>
    </row>
    <row r="47" spans="1:5" ht="15" customHeight="1" x14ac:dyDescent="0.25">
      <c r="A47" s="31"/>
      <c r="B47" s="32"/>
      <c r="C47" s="33"/>
      <c r="D47" s="33"/>
      <c r="E47" s="33"/>
    </row>
    <row r="48" spans="1:5" ht="15" customHeight="1" x14ac:dyDescent="0.25">
      <c r="A48" s="31"/>
      <c r="B48" s="32"/>
      <c r="C48" s="33"/>
      <c r="D48" s="33"/>
      <c r="E48" s="33"/>
    </row>
    <row r="49" spans="1:5" ht="15" customHeight="1" thickBot="1" x14ac:dyDescent="0.3">
      <c r="A49" s="34"/>
      <c r="B49" s="35"/>
      <c r="C49" s="1162"/>
      <c r="D49" s="1162"/>
      <c r="E49" s="1162"/>
    </row>
    <row r="50" spans="1:5" ht="15" customHeight="1" thickBot="1" x14ac:dyDescent="0.25">
      <c r="A50" s="1158" t="s">
        <v>112</v>
      </c>
      <c r="B50" s="1159"/>
      <c r="C50" s="1159"/>
      <c r="D50" s="1159"/>
      <c r="E50" s="1160"/>
    </row>
    <row r="51" spans="1:5" ht="15" customHeight="1" thickBot="1" x14ac:dyDescent="0.3">
      <c r="A51" s="921" t="s">
        <v>87</v>
      </c>
      <c r="B51" s="921" t="s">
        <v>8</v>
      </c>
      <c r="C51" s="921">
        <v>2019</v>
      </c>
      <c r="D51" s="922">
        <v>2020</v>
      </c>
      <c r="E51" s="922">
        <v>2021</v>
      </c>
    </row>
    <row r="52" spans="1:5" ht="15" customHeight="1" x14ac:dyDescent="0.25">
      <c r="A52" s="656" t="s">
        <v>60</v>
      </c>
      <c r="B52" s="657" t="s">
        <v>113</v>
      </c>
      <c r="C52" s="658">
        <f>'2. sz.melléklet'!B17</f>
        <v>53827.199999999997</v>
      </c>
      <c r="D52" s="658">
        <v>3000</v>
      </c>
      <c r="E52" s="658">
        <v>3000</v>
      </c>
    </row>
    <row r="53" spans="1:5" ht="15" customHeight="1" x14ac:dyDescent="0.25">
      <c r="A53" s="28" t="s">
        <v>61</v>
      </c>
      <c r="B53" s="29" t="s">
        <v>114</v>
      </c>
      <c r="C53" s="30"/>
      <c r="D53" s="30"/>
      <c r="E53" s="30"/>
    </row>
    <row r="54" spans="1:5" ht="15" customHeight="1" x14ac:dyDescent="0.25">
      <c r="A54" s="36" t="s">
        <v>62</v>
      </c>
      <c r="B54" s="37" t="s">
        <v>225</v>
      </c>
      <c r="C54" s="38">
        <f>'2. sz.melléklet'!B14</f>
        <v>6180</v>
      </c>
      <c r="D54" s="38">
        <v>5000</v>
      </c>
      <c r="E54" s="38">
        <v>5000</v>
      </c>
    </row>
    <row r="55" spans="1:5" ht="15" customHeight="1" x14ac:dyDescent="0.25">
      <c r="A55" s="659" t="s">
        <v>63</v>
      </c>
      <c r="B55" s="660" t="s">
        <v>115</v>
      </c>
      <c r="C55" s="661">
        <f>'2. sz.melléklet'!B18</f>
        <v>220</v>
      </c>
      <c r="D55" s="661"/>
      <c r="E55" s="661"/>
    </row>
    <row r="56" spans="1:5" ht="15" customHeight="1" x14ac:dyDescent="0.25">
      <c r="A56" s="28" t="s">
        <v>64</v>
      </c>
      <c r="B56" s="29" t="s">
        <v>116</v>
      </c>
      <c r="C56" s="30"/>
      <c r="D56" s="39"/>
      <c r="E56" s="39"/>
    </row>
    <row r="57" spans="1:5" ht="15" customHeight="1" x14ac:dyDescent="0.25">
      <c r="A57" s="659" t="s">
        <v>65</v>
      </c>
      <c r="B57" s="660" t="s">
        <v>117</v>
      </c>
      <c r="C57" s="662"/>
      <c r="D57" s="663"/>
      <c r="E57" s="663"/>
    </row>
    <row r="58" spans="1:5" ht="15" customHeight="1" x14ac:dyDescent="0.25">
      <c r="A58" s="28" t="s">
        <v>66</v>
      </c>
      <c r="B58" s="29" t="s">
        <v>118</v>
      </c>
      <c r="C58" s="30"/>
      <c r="D58" s="30"/>
      <c r="E58" s="30"/>
    </row>
    <row r="59" spans="1:5" ht="15" customHeight="1" x14ac:dyDescent="0.25">
      <c r="A59" s="28" t="s">
        <v>67</v>
      </c>
      <c r="B59" s="29" t="s">
        <v>119</v>
      </c>
      <c r="C59" s="30"/>
      <c r="D59" s="30"/>
      <c r="E59" s="30"/>
    </row>
    <row r="60" spans="1:5" ht="28.5" customHeight="1" x14ac:dyDescent="0.25">
      <c r="A60" s="28" t="s">
        <v>68</v>
      </c>
      <c r="B60" s="29" t="s">
        <v>120</v>
      </c>
      <c r="C60" s="30">
        <f>'2. sz.melléklet'!B23</f>
        <v>684.63300000000004</v>
      </c>
      <c r="D60" s="30"/>
      <c r="E60" s="30"/>
    </row>
    <row r="61" spans="1:5" ht="15" customHeight="1" x14ac:dyDescent="0.25">
      <c r="A61" s="28" t="s">
        <v>69</v>
      </c>
      <c r="B61" s="29" t="s">
        <v>121</v>
      </c>
      <c r="C61" s="30"/>
      <c r="D61" s="30"/>
      <c r="E61" s="30"/>
    </row>
    <row r="62" spans="1:5" ht="15" customHeight="1" x14ac:dyDescent="0.25">
      <c r="A62" s="28" t="s">
        <v>70</v>
      </c>
      <c r="B62" s="29" t="s">
        <v>122</v>
      </c>
      <c r="C62" s="30"/>
      <c r="D62" s="30"/>
      <c r="E62" s="30"/>
    </row>
    <row r="63" spans="1:5" ht="15" customHeight="1" thickBot="1" x14ac:dyDescent="0.3">
      <c r="A63" s="36" t="s">
        <v>71</v>
      </c>
      <c r="B63" s="37" t="s">
        <v>123</v>
      </c>
      <c r="C63" s="664">
        <f>105064520/1000</f>
        <v>105064.52</v>
      </c>
      <c r="D63" s="38">
        <v>10000</v>
      </c>
      <c r="E63" s="38">
        <v>10000</v>
      </c>
    </row>
    <row r="64" spans="1:5" ht="15" customHeight="1" thickBot="1" x14ac:dyDescent="0.3">
      <c r="A64" s="923" t="s">
        <v>72</v>
      </c>
      <c r="B64" s="924" t="s">
        <v>124</v>
      </c>
      <c r="C64" s="925">
        <f>SUM(C52:C63)</f>
        <v>165976.353</v>
      </c>
      <c r="D64" s="925">
        <f>SUM(D52:D63)</f>
        <v>18000</v>
      </c>
      <c r="E64" s="925">
        <f>SUM(E52:E63)</f>
        <v>18000</v>
      </c>
    </row>
    <row r="65" spans="1:9" ht="15" customHeight="1" x14ac:dyDescent="0.25">
      <c r="A65" s="28" t="s">
        <v>73</v>
      </c>
      <c r="B65" s="29" t="s">
        <v>125</v>
      </c>
      <c r="C65" s="30">
        <f>'2. sz.melléklet'!F17</f>
        <v>9592.5</v>
      </c>
      <c r="D65" s="30">
        <v>9000</v>
      </c>
      <c r="E65" s="30">
        <v>14000</v>
      </c>
    </row>
    <row r="66" spans="1:9" ht="15" customHeight="1" x14ac:dyDescent="0.25">
      <c r="A66" s="28" t="s">
        <v>74</v>
      </c>
      <c r="B66" s="29" t="s">
        <v>126</v>
      </c>
      <c r="C66" s="30">
        <f>'2. sz.melléklet'!F18</f>
        <v>179434.139</v>
      </c>
      <c r="D66" s="30">
        <v>9000</v>
      </c>
      <c r="E66" s="30">
        <v>14000</v>
      </c>
    </row>
    <row r="67" spans="1:9" ht="15" customHeight="1" x14ac:dyDescent="0.25">
      <c r="A67" s="28" t="s">
        <v>75</v>
      </c>
      <c r="B67" s="29" t="s">
        <v>127</v>
      </c>
      <c r="C67" s="30"/>
      <c r="D67" s="30"/>
      <c r="E67" s="30"/>
    </row>
    <row r="68" spans="1:9" ht="15" customHeight="1" x14ac:dyDescent="0.25">
      <c r="A68" s="28" t="s">
        <v>76</v>
      </c>
      <c r="B68" s="29" t="s">
        <v>128</v>
      </c>
      <c r="C68" s="30"/>
      <c r="D68" s="30"/>
      <c r="E68" s="30"/>
    </row>
    <row r="69" spans="1:9" ht="15" customHeight="1" x14ac:dyDescent="0.25">
      <c r="A69" s="28" t="s">
        <v>77</v>
      </c>
      <c r="B69" s="29" t="s">
        <v>129</v>
      </c>
      <c r="C69" s="30"/>
      <c r="D69" s="30"/>
      <c r="E69" s="30"/>
    </row>
    <row r="70" spans="1:9" ht="15" customHeight="1" x14ac:dyDescent="0.25">
      <c r="A70" s="28" t="s">
        <v>78</v>
      </c>
      <c r="B70" s="29" t="s">
        <v>130</v>
      </c>
      <c r="C70" s="30"/>
      <c r="D70" s="30"/>
      <c r="E70" s="30"/>
    </row>
    <row r="71" spans="1:9" ht="15" customHeight="1" x14ac:dyDescent="0.25">
      <c r="A71" s="28" t="s">
        <v>79</v>
      </c>
      <c r="B71" s="29" t="s">
        <v>131</v>
      </c>
      <c r="C71" s="30">
        <f>'2. sz.melléklet'!F19</f>
        <v>1263</v>
      </c>
      <c r="D71" s="30"/>
      <c r="E71" s="30"/>
    </row>
    <row r="72" spans="1:9" ht="15" customHeight="1" x14ac:dyDescent="0.25">
      <c r="A72" s="28" t="s">
        <v>80</v>
      </c>
      <c r="B72" s="29" t="s">
        <v>132</v>
      </c>
      <c r="C72" s="30"/>
      <c r="D72" s="30"/>
      <c r="E72" s="30"/>
    </row>
    <row r="73" spans="1:9" ht="15" customHeight="1" x14ac:dyDescent="0.25">
      <c r="A73" s="28" t="s">
        <v>81</v>
      </c>
      <c r="B73" s="29" t="s">
        <v>133</v>
      </c>
      <c r="C73" s="30"/>
      <c r="D73" s="30"/>
      <c r="E73" s="30"/>
    </row>
    <row r="74" spans="1:9" ht="15" customHeight="1" x14ac:dyDescent="0.25">
      <c r="A74" s="28" t="s">
        <v>82</v>
      </c>
      <c r="B74" s="29" t="s">
        <v>134</v>
      </c>
      <c r="C74" s="30"/>
      <c r="D74" s="30"/>
      <c r="E74" s="30"/>
    </row>
    <row r="75" spans="1:9" ht="15" customHeight="1" thickBot="1" x14ac:dyDescent="0.3">
      <c r="A75" s="36" t="s">
        <v>135</v>
      </c>
      <c r="B75" s="37" t="s">
        <v>84</v>
      </c>
      <c r="C75" s="38">
        <f>'Önk.kiad.'!G41/1000</f>
        <v>25285.27</v>
      </c>
      <c r="D75" s="38">
        <v>2000</v>
      </c>
      <c r="E75" s="38">
        <v>10000</v>
      </c>
    </row>
    <row r="76" spans="1:9" ht="15" customHeight="1" thickBot="1" x14ac:dyDescent="0.3">
      <c r="A76" s="923" t="s">
        <v>136</v>
      </c>
      <c r="B76" s="667" t="s">
        <v>137</v>
      </c>
      <c r="C76" s="925">
        <f>SUM(C65:C75)</f>
        <v>215574.90899999999</v>
      </c>
      <c r="D76" s="925">
        <f>SUM(D65:D75)</f>
        <v>20000</v>
      </c>
      <c r="E76" s="925">
        <f>SUM(E65:E75)</f>
        <v>38000</v>
      </c>
    </row>
    <row r="77" spans="1:9" ht="15" customHeight="1" thickBot="1" x14ac:dyDescent="0.25">
      <c r="A77" s="926" t="s">
        <v>138</v>
      </c>
      <c r="B77" s="668" t="s">
        <v>139</v>
      </c>
      <c r="C77" s="925">
        <f>C20+C64</f>
        <v>678738.4</v>
      </c>
      <c r="D77" s="925">
        <f>D20+D64</f>
        <v>311000</v>
      </c>
      <c r="E77" s="925">
        <f>E20+E64</f>
        <v>315000</v>
      </c>
      <c r="H77" s="5"/>
      <c r="I77" s="5"/>
    </row>
    <row r="78" spans="1:9" ht="15" customHeight="1" thickBot="1" x14ac:dyDescent="0.25">
      <c r="A78" s="73" t="s">
        <v>140</v>
      </c>
      <c r="B78" s="669" t="s">
        <v>141</v>
      </c>
      <c r="C78" s="72">
        <f>C33+C76</f>
        <v>678738.4</v>
      </c>
      <c r="D78" s="72">
        <f>D33+D76</f>
        <v>311000</v>
      </c>
      <c r="E78" s="72">
        <f>E33+E76</f>
        <v>315000</v>
      </c>
    </row>
    <row r="79" spans="1:9" ht="15.75" thickBot="1" x14ac:dyDescent="0.3">
      <c r="A79" s="926" t="s">
        <v>194</v>
      </c>
      <c r="B79" s="670" t="s">
        <v>193</v>
      </c>
      <c r="C79" s="927">
        <f>'2. sz.melléklet'!B25</f>
        <v>-149377.101</v>
      </c>
      <c r="D79" s="928">
        <v>-108000</v>
      </c>
      <c r="E79" s="928">
        <v>-100000</v>
      </c>
    </row>
    <row r="80" spans="1:9" ht="15" thickBot="1" x14ac:dyDescent="0.25">
      <c r="A80" s="74" t="s">
        <v>195</v>
      </c>
      <c r="B80" s="71" t="s">
        <v>190</v>
      </c>
      <c r="C80" s="80">
        <f>SUM(C78:C79)</f>
        <v>529361.299</v>
      </c>
      <c r="D80" s="80">
        <f t="shared" ref="D80:E80" si="1">SUM(D78:D79)</f>
        <v>203000</v>
      </c>
      <c r="E80" s="80">
        <f t="shared" si="1"/>
        <v>215000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r:id="rId1"/>
  <headerFooter alignWithMargins="0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44"/>
  <sheetViews>
    <sheetView view="pageBreakPreview" topLeftCell="A4" zoomScale="60" zoomScaleNormal="100" workbookViewId="0">
      <selection activeCell="S18" sqref="S18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8" ht="15" customHeight="1" x14ac:dyDescent="0.2">
      <c r="A1" s="1089" t="s">
        <v>392</v>
      </c>
      <c r="B1" s="1089"/>
      <c r="C1" s="1089"/>
      <c r="D1" s="1089"/>
      <c r="E1" s="1089"/>
      <c r="F1" s="1089"/>
      <c r="G1" s="1089"/>
      <c r="H1" s="1089"/>
      <c r="I1" s="1089"/>
      <c r="J1" s="1089"/>
      <c r="K1" s="1089"/>
      <c r="L1" s="1089"/>
      <c r="M1" s="1089"/>
      <c r="N1" s="1089"/>
    </row>
    <row r="2" spans="1:18" ht="15" customHeight="1" x14ac:dyDescent="0.2">
      <c r="A2" s="1054"/>
      <c r="B2" s="1055"/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  <c r="N2" s="1055"/>
    </row>
    <row r="3" spans="1:18" ht="9" customHeight="1" x14ac:dyDescent="0.2">
      <c r="B3" s="11"/>
      <c r="C3" s="11"/>
      <c r="D3" s="11"/>
    </row>
    <row r="4" spans="1:18" ht="15.75" x14ac:dyDescent="0.25">
      <c r="A4" s="1151" t="s">
        <v>243</v>
      </c>
      <c r="B4" s="1151"/>
      <c r="C4" s="1151"/>
      <c r="D4" s="1151"/>
      <c r="E4" s="1151"/>
      <c r="F4" s="1151"/>
      <c r="G4" s="1151"/>
      <c r="H4" s="1151"/>
      <c r="I4" s="1151"/>
      <c r="J4" s="1151"/>
      <c r="K4" s="1151"/>
      <c r="L4" s="1151"/>
      <c r="M4" s="1151"/>
      <c r="N4" s="1151"/>
    </row>
    <row r="5" spans="1:18" ht="15.75" x14ac:dyDescent="0.25">
      <c r="A5" s="1153" t="s">
        <v>373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</row>
    <row r="6" spans="1:18" hidden="1" x14ac:dyDescent="0.2"/>
    <row r="7" spans="1:18" ht="12.75" customHeight="1" thickBot="1" x14ac:dyDescent="0.25">
      <c r="A7" s="1170" t="s">
        <v>156</v>
      </c>
      <c r="B7" s="1171"/>
      <c r="C7" s="1171"/>
      <c r="D7" s="1171"/>
      <c r="E7" s="1171"/>
      <c r="F7" s="1171"/>
      <c r="G7" s="1171"/>
      <c r="H7" s="1171"/>
      <c r="I7" s="1171"/>
      <c r="J7" s="1171"/>
      <c r="K7" s="1171"/>
      <c r="L7" s="1171"/>
      <c r="M7" s="1171"/>
      <c r="N7" s="1171"/>
    </row>
    <row r="8" spans="1:18" ht="20.100000000000001" customHeight="1" thickBot="1" x14ac:dyDescent="0.25">
      <c r="A8" s="1172" t="s">
        <v>1</v>
      </c>
      <c r="B8" s="1174" t="s">
        <v>142</v>
      </c>
      <c r="C8" s="1176" t="s">
        <v>365</v>
      </c>
      <c r="D8" s="1177"/>
      <c r="E8" s="1177"/>
      <c r="F8" s="1177"/>
      <c r="G8" s="1177"/>
      <c r="H8" s="1177"/>
      <c r="I8" s="1177"/>
      <c r="J8" s="1177"/>
      <c r="K8" s="1177"/>
      <c r="L8" s="1177"/>
      <c r="M8" s="1177"/>
      <c r="N8" s="1178"/>
    </row>
    <row r="9" spans="1:18" ht="20.100000000000001" customHeight="1" thickBot="1" x14ac:dyDescent="0.25">
      <c r="A9" s="1173"/>
      <c r="B9" s="1175"/>
      <c r="C9" s="150" t="s">
        <v>143</v>
      </c>
      <c r="D9" s="82" t="s">
        <v>144</v>
      </c>
      <c r="E9" s="82" t="s">
        <v>145</v>
      </c>
      <c r="F9" s="82" t="s">
        <v>146</v>
      </c>
      <c r="G9" s="82" t="s">
        <v>147</v>
      </c>
      <c r="H9" s="82" t="s">
        <v>148</v>
      </c>
      <c r="I9" s="82" t="s">
        <v>149</v>
      </c>
      <c r="J9" s="82" t="s">
        <v>150</v>
      </c>
      <c r="K9" s="82" t="s">
        <v>151</v>
      </c>
      <c r="L9" s="82" t="s">
        <v>152</v>
      </c>
      <c r="M9" s="82" t="s">
        <v>153</v>
      </c>
      <c r="N9" s="83" t="s">
        <v>154</v>
      </c>
    </row>
    <row r="10" spans="1:18" ht="20.100000000000001" customHeight="1" x14ac:dyDescent="0.3">
      <c r="A10" s="81" t="s">
        <v>229</v>
      </c>
      <c r="B10" s="701">
        <f>'2. sz.melléklet'!B8</f>
        <v>163614.17800000001</v>
      </c>
      <c r="C10" s="684">
        <v>13483</v>
      </c>
      <c r="D10" s="685">
        <v>13483</v>
      </c>
      <c r="E10" s="685">
        <v>13483</v>
      </c>
      <c r="F10" s="685">
        <v>13483</v>
      </c>
      <c r="G10" s="685">
        <v>13483</v>
      </c>
      <c r="H10" s="685">
        <v>13483</v>
      </c>
      <c r="I10" s="685">
        <v>13483</v>
      </c>
      <c r="J10" s="685">
        <v>13847</v>
      </c>
      <c r="K10" s="685">
        <v>13847</v>
      </c>
      <c r="L10" s="685">
        <v>13847</v>
      </c>
      <c r="M10" s="685">
        <v>13847</v>
      </c>
      <c r="N10" s="686">
        <v>13845</v>
      </c>
      <c r="O10" s="3"/>
      <c r="P10" s="3"/>
      <c r="R10" s="3"/>
    </row>
    <row r="11" spans="1:18" ht="20.100000000000001" customHeight="1" x14ac:dyDescent="0.3">
      <c r="A11" s="84" t="s">
        <v>233</v>
      </c>
      <c r="B11" s="702">
        <f>'2. sz.melléklet'!B9</f>
        <v>42677.453000000001</v>
      </c>
      <c r="C11" s="687">
        <v>1248</v>
      </c>
      <c r="D11" s="681">
        <v>1248</v>
      </c>
      <c r="E11" s="681">
        <v>1248</v>
      </c>
      <c r="F11" s="681">
        <v>1248</v>
      </c>
      <c r="G11" s="681">
        <v>1248</v>
      </c>
      <c r="H11" s="681">
        <v>1248</v>
      </c>
      <c r="I11" s="681">
        <v>1248</v>
      </c>
      <c r="J11" s="681">
        <v>1248</v>
      </c>
      <c r="K11" s="681">
        <v>1248</v>
      </c>
      <c r="L11" s="681">
        <v>28949</v>
      </c>
      <c r="M11" s="681">
        <v>1248</v>
      </c>
      <c r="N11" s="688">
        <v>1248</v>
      </c>
      <c r="O11" s="3"/>
      <c r="P11" s="3"/>
    </row>
    <row r="12" spans="1:18" ht="20.100000000000001" customHeight="1" x14ac:dyDescent="0.3">
      <c r="A12" s="84" t="s">
        <v>265</v>
      </c>
      <c r="B12" s="702">
        <f>'2. sz.melléklet'!B12</f>
        <v>277</v>
      </c>
      <c r="C12" s="687">
        <v>0</v>
      </c>
      <c r="D12" s="681">
        <v>0</v>
      </c>
      <c r="E12" s="681">
        <v>0</v>
      </c>
      <c r="F12" s="681">
        <v>0</v>
      </c>
      <c r="G12" s="681">
        <v>0</v>
      </c>
      <c r="H12" s="681">
        <v>0</v>
      </c>
      <c r="I12" s="681">
        <v>0</v>
      </c>
      <c r="J12" s="681">
        <v>277</v>
      </c>
      <c r="K12" s="681">
        <v>0</v>
      </c>
      <c r="L12" s="681">
        <v>0</v>
      </c>
      <c r="M12" s="681">
        <v>0</v>
      </c>
      <c r="N12" s="688">
        <v>0</v>
      </c>
      <c r="O12" s="3"/>
      <c r="P12" s="3"/>
    </row>
    <row r="13" spans="1:18" ht="20.100000000000001" customHeight="1" x14ac:dyDescent="0.3">
      <c r="A13" s="84" t="s">
        <v>219</v>
      </c>
      <c r="B13" s="702">
        <f>'2. sz.melléklet'!B10</f>
        <v>79500</v>
      </c>
      <c r="C13" s="687">
        <v>0</v>
      </c>
      <c r="D13" s="681">
        <v>4300</v>
      </c>
      <c r="E13" s="681">
        <v>30000</v>
      </c>
      <c r="F13" s="681">
        <v>0</v>
      </c>
      <c r="G13" s="518">
        <v>4000</v>
      </c>
      <c r="H13" s="681">
        <v>750</v>
      </c>
      <c r="I13" s="681">
        <v>450</v>
      </c>
      <c r="J13" s="681">
        <v>0</v>
      </c>
      <c r="K13" s="681">
        <v>20000</v>
      </c>
      <c r="L13" s="681">
        <v>0</v>
      </c>
      <c r="M13" s="681">
        <v>20000</v>
      </c>
      <c r="N13" s="688">
        <v>0</v>
      </c>
      <c r="O13" s="3"/>
      <c r="P13" s="3"/>
    </row>
    <row r="14" spans="1:18" ht="20.100000000000001" customHeight="1" x14ac:dyDescent="0.3">
      <c r="A14" s="84" t="s">
        <v>167</v>
      </c>
      <c r="B14" s="702">
        <f>'2. sz.melléklet'!B11</f>
        <v>68599.671000000002</v>
      </c>
      <c r="C14" s="687">
        <v>5713</v>
      </c>
      <c r="D14" s="681">
        <v>5713</v>
      </c>
      <c r="E14" s="681">
        <v>5713</v>
      </c>
      <c r="F14" s="681">
        <v>5713</v>
      </c>
      <c r="G14" s="681">
        <v>5713</v>
      </c>
      <c r="H14" s="681">
        <v>5713</v>
      </c>
      <c r="I14" s="681">
        <v>5713</v>
      </c>
      <c r="J14" s="681">
        <v>5713</v>
      </c>
      <c r="K14" s="681">
        <v>5713</v>
      </c>
      <c r="L14" s="681">
        <v>5713</v>
      </c>
      <c r="M14" s="681">
        <v>5756</v>
      </c>
      <c r="N14" s="688">
        <v>5714</v>
      </c>
      <c r="O14" s="3"/>
      <c r="P14" s="3"/>
    </row>
    <row r="15" spans="1:18" ht="20.100000000000001" customHeight="1" x14ac:dyDescent="0.3">
      <c r="A15" s="84" t="s">
        <v>230</v>
      </c>
      <c r="B15" s="702">
        <f>'2. sz.melléklet'!B17</f>
        <v>53827.199999999997</v>
      </c>
      <c r="C15" s="687">
        <v>0</v>
      </c>
      <c r="D15" s="681">
        <v>0</v>
      </c>
      <c r="E15" s="681">
        <v>0</v>
      </c>
      <c r="F15" s="681">
        <v>0</v>
      </c>
      <c r="G15" s="681">
        <v>0</v>
      </c>
      <c r="H15" s="681">
        <v>0</v>
      </c>
      <c r="I15" s="681">
        <v>5500</v>
      </c>
      <c r="J15" s="681">
        <v>11000</v>
      </c>
      <c r="K15" s="681">
        <v>35000</v>
      </c>
      <c r="L15" s="681">
        <v>2327</v>
      </c>
      <c r="M15" s="681">
        <v>0</v>
      </c>
      <c r="N15" s="688">
        <v>0</v>
      </c>
      <c r="O15" s="3"/>
      <c r="P15" s="3"/>
    </row>
    <row r="16" spans="1:18" ht="20.100000000000001" customHeight="1" x14ac:dyDescent="0.3">
      <c r="A16" s="84" t="s">
        <v>231</v>
      </c>
      <c r="B16" s="702">
        <f>'2. sz.melléklet'!B18</f>
        <v>220</v>
      </c>
      <c r="C16" s="689"/>
      <c r="D16" s="682"/>
      <c r="E16" s="682"/>
      <c r="F16" s="682">
        <v>220</v>
      </c>
      <c r="G16" s="682"/>
      <c r="H16" s="682"/>
      <c r="I16" s="682"/>
      <c r="J16" s="682"/>
      <c r="K16" s="682"/>
      <c r="L16" s="682"/>
      <c r="M16" s="682"/>
      <c r="N16" s="690"/>
      <c r="O16" s="3"/>
      <c r="P16" s="3"/>
    </row>
    <row r="17" spans="1:16" ht="18.75" customHeight="1" x14ac:dyDescent="0.3">
      <c r="A17" s="729" t="s">
        <v>764</v>
      </c>
      <c r="B17" s="730">
        <f>'2. sz.melléklet'!B14</f>
        <v>6180</v>
      </c>
      <c r="C17" s="689"/>
      <c r="D17" s="682"/>
      <c r="E17" s="682"/>
      <c r="F17" s="682"/>
      <c r="G17" s="682"/>
      <c r="H17" s="682"/>
      <c r="I17" s="682"/>
      <c r="J17" s="682">
        <v>6180</v>
      </c>
      <c r="K17" s="682"/>
      <c r="L17" s="682"/>
      <c r="M17" s="682"/>
      <c r="N17" s="690"/>
      <c r="O17" s="3"/>
      <c r="P17" s="3"/>
    </row>
    <row r="18" spans="1:16" ht="20.100000000000001" customHeight="1" x14ac:dyDescent="0.3">
      <c r="A18" s="84" t="s">
        <v>232</v>
      </c>
      <c r="B18" s="702">
        <f>'2. sz.melléklet'!B13</f>
        <v>149377.101</v>
      </c>
      <c r="C18" s="691">
        <v>12448</v>
      </c>
      <c r="D18" s="683">
        <v>12448</v>
      </c>
      <c r="E18" s="683">
        <v>12448</v>
      </c>
      <c r="F18" s="683">
        <v>12448</v>
      </c>
      <c r="G18" s="683">
        <v>12448</v>
      </c>
      <c r="H18" s="683">
        <v>12448</v>
      </c>
      <c r="I18" s="683">
        <v>12448</v>
      </c>
      <c r="J18" s="683">
        <v>12448</v>
      </c>
      <c r="K18" s="683">
        <v>12448</v>
      </c>
      <c r="L18" s="683">
        <v>12448</v>
      </c>
      <c r="M18" s="683">
        <v>12448</v>
      </c>
      <c r="N18" s="692">
        <v>12449</v>
      </c>
      <c r="O18" s="3"/>
      <c r="P18" s="3"/>
    </row>
    <row r="19" spans="1:16" ht="20.100000000000001" customHeight="1" thickBot="1" x14ac:dyDescent="0.35">
      <c r="A19" s="85" t="s">
        <v>234</v>
      </c>
      <c r="B19" s="703">
        <f>'2. sz.melléklet'!B19+'2. sz.melléklet'!B20+'2. sz.melléklet'!B22+'2. sz.melléklet'!B21+'2. sz.melléklet'!B23</f>
        <v>114465.79700000002</v>
      </c>
      <c r="C19" s="693"/>
      <c r="D19" s="694"/>
      <c r="E19" s="694"/>
      <c r="F19" s="694"/>
      <c r="G19" s="694"/>
      <c r="H19" s="694"/>
      <c r="I19" s="694"/>
      <c r="J19" s="694"/>
      <c r="K19" s="694"/>
      <c r="L19" s="694"/>
      <c r="M19" s="694"/>
      <c r="N19" s="695">
        <f>B19</f>
        <v>114465.79700000002</v>
      </c>
      <c r="O19" s="3"/>
      <c r="P19" s="3"/>
    </row>
    <row r="20" spans="1:16" ht="20.100000000000001" customHeight="1" thickBot="1" x14ac:dyDescent="0.25">
      <c r="A20" s="700" t="s">
        <v>162</v>
      </c>
      <c r="B20" s="704">
        <f>SUM(B10:B19)</f>
        <v>678738.4</v>
      </c>
      <c r="C20" s="705">
        <f>SUM(C10:C19)</f>
        <v>32892</v>
      </c>
      <c r="D20" s="705">
        <f t="shared" ref="D20:N20" si="0">SUM(D10:D19)</f>
        <v>37192</v>
      </c>
      <c r="E20" s="705">
        <f t="shared" si="0"/>
        <v>62892</v>
      </c>
      <c r="F20" s="705">
        <f t="shared" si="0"/>
        <v>33112</v>
      </c>
      <c r="G20" s="705">
        <f t="shared" si="0"/>
        <v>36892</v>
      </c>
      <c r="H20" s="705">
        <f t="shared" si="0"/>
        <v>33642</v>
      </c>
      <c r="I20" s="705">
        <f t="shared" si="0"/>
        <v>38842</v>
      </c>
      <c r="J20" s="705">
        <f t="shared" si="0"/>
        <v>50713</v>
      </c>
      <c r="K20" s="705">
        <f t="shared" si="0"/>
        <v>88256</v>
      </c>
      <c r="L20" s="705">
        <f t="shared" si="0"/>
        <v>63284</v>
      </c>
      <c r="M20" s="705">
        <f t="shared" si="0"/>
        <v>53299</v>
      </c>
      <c r="N20" s="705">
        <f t="shared" si="0"/>
        <v>147721.79700000002</v>
      </c>
      <c r="O20" s="3"/>
      <c r="P20" s="3"/>
    </row>
    <row r="21" spans="1:16" ht="20.100000000000001" customHeight="1" thickBot="1" x14ac:dyDescent="0.35">
      <c r="A21" s="696" t="s">
        <v>189</v>
      </c>
      <c r="B21" s="706">
        <f>'2. sz.melléklet'!B25</f>
        <v>-149377.101</v>
      </c>
      <c r="C21" s="739">
        <f>-C18</f>
        <v>-12448</v>
      </c>
      <c r="D21" s="739">
        <f t="shared" ref="D21:N21" si="1">-D18</f>
        <v>-12448</v>
      </c>
      <c r="E21" s="739">
        <f t="shared" si="1"/>
        <v>-12448</v>
      </c>
      <c r="F21" s="739">
        <f t="shared" si="1"/>
        <v>-12448</v>
      </c>
      <c r="G21" s="739">
        <f t="shared" si="1"/>
        <v>-12448</v>
      </c>
      <c r="H21" s="739">
        <f t="shared" si="1"/>
        <v>-12448</v>
      </c>
      <c r="I21" s="739">
        <f t="shared" si="1"/>
        <v>-12448</v>
      </c>
      <c r="J21" s="739">
        <f t="shared" si="1"/>
        <v>-12448</v>
      </c>
      <c r="K21" s="739">
        <f t="shared" si="1"/>
        <v>-12448</v>
      </c>
      <c r="L21" s="739">
        <f t="shared" si="1"/>
        <v>-12448</v>
      </c>
      <c r="M21" s="739">
        <f t="shared" si="1"/>
        <v>-12448</v>
      </c>
      <c r="N21" s="740">
        <f t="shared" si="1"/>
        <v>-12449</v>
      </c>
      <c r="O21" s="3"/>
      <c r="P21" s="3"/>
    </row>
    <row r="22" spans="1:16" ht="20.100000000000001" customHeight="1" thickBot="1" x14ac:dyDescent="0.25">
      <c r="A22" s="70" t="s">
        <v>192</v>
      </c>
      <c r="B22" s="706">
        <f>SUM(B20:B21)</f>
        <v>529361.299</v>
      </c>
      <c r="C22" s="707">
        <f>SUM(C20:C21)</f>
        <v>20444</v>
      </c>
      <c r="D22" s="708">
        <f t="shared" ref="D22:M22" si="2">SUM(D20:D21)</f>
        <v>24744</v>
      </c>
      <c r="E22" s="708">
        <f t="shared" si="2"/>
        <v>50444</v>
      </c>
      <c r="F22" s="708">
        <f t="shared" si="2"/>
        <v>20664</v>
      </c>
      <c r="G22" s="708">
        <f t="shared" si="2"/>
        <v>24444</v>
      </c>
      <c r="H22" s="708">
        <f t="shared" si="2"/>
        <v>21194</v>
      </c>
      <c r="I22" s="708">
        <f t="shared" si="2"/>
        <v>26394</v>
      </c>
      <c r="J22" s="708">
        <f t="shared" si="2"/>
        <v>38265</v>
      </c>
      <c r="K22" s="708">
        <f t="shared" si="2"/>
        <v>75808</v>
      </c>
      <c r="L22" s="708">
        <f t="shared" si="2"/>
        <v>50836</v>
      </c>
      <c r="M22" s="708">
        <f t="shared" si="2"/>
        <v>40851</v>
      </c>
      <c r="N22" s="709">
        <f>SUM(N20:N21)</f>
        <v>135272.79700000002</v>
      </c>
      <c r="O22" s="3"/>
      <c r="P22" s="3"/>
    </row>
    <row r="23" spans="1:16" ht="20.100000000000001" customHeight="1" x14ac:dyDescent="0.2">
      <c r="A23" s="5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"/>
      <c r="P23" s="3"/>
    </row>
    <row r="24" spans="1:16" ht="20.100000000000001" customHeight="1" x14ac:dyDescent="0.2">
      <c r="A24" s="5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"/>
      <c r="P24" s="3"/>
    </row>
    <row r="25" spans="1:16" ht="20.100000000000001" customHeight="1" x14ac:dyDescent="0.2">
      <c r="A25" s="5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1179"/>
      <c r="M25" s="1179"/>
      <c r="N25" s="1179"/>
      <c r="O25" s="3"/>
      <c r="P25" s="3"/>
    </row>
    <row r="26" spans="1:16" ht="20.100000000000001" customHeight="1" thickBot="1" x14ac:dyDescent="0.25">
      <c r="A26" s="5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3"/>
      <c r="P26" s="3"/>
    </row>
    <row r="27" spans="1:16" ht="20.100000000000001" customHeight="1" x14ac:dyDescent="0.2">
      <c r="A27" s="1163" t="s">
        <v>2</v>
      </c>
      <c r="B27" s="1165" t="s">
        <v>142</v>
      </c>
      <c r="C27" s="1167" t="s">
        <v>366</v>
      </c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9"/>
      <c r="O27" s="3"/>
      <c r="P27" s="3"/>
    </row>
    <row r="28" spans="1:16" ht="20.100000000000001" customHeight="1" thickBot="1" x14ac:dyDescent="0.25">
      <c r="A28" s="1164"/>
      <c r="B28" s="1166"/>
      <c r="C28" s="723" t="s">
        <v>143</v>
      </c>
      <c r="D28" s="724" t="s">
        <v>144</v>
      </c>
      <c r="E28" s="724" t="s">
        <v>145</v>
      </c>
      <c r="F28" s="724" t="s">
        <v>146</v>
      </c>
      <c r="G28" s="724" t="s">
        <v>147</v>
      </c>
      <c r="H28" s="724" t="s">
        <v>148</v>
      </c>
      <c r="I28" s="724" t="s">
        <v>149</v>
      </c>
      <c r="J28" s="724" t="s">
        <v>150</v>
      </c>
      <c r="K28" s="724" t="s">
        <v>151</v>
      </c>
      <c r="L28" s="724" t="s">
        <v>152</v>
      </c>
      <c r="M28" s="724" t="s">
        <v>153</v>
      </c>
      <c r="N28" s="725" t="s">
        <v>154</v>
      </c>
      <c r="O28" s="3"/>
      <c r="P28" s="3"/>
    </row>
    <row r="29" spans="1:16" ht="20.100000000000001" customHeight="1" x14ac:dyDescent="0.3">
      <c r="A29" s="721" t="s">
        <v>235</v>
      </c>
      <c r="B29" s="722">
        <f>'2. sz.melléklet'!F8</f>
        <v>158298.261</v>
      </c>
      <c r="C29" s="697">
        <v>12700</v>
      </c>
      <c r="D29" s="698">
        <v>12700</v>
      </c>
      <c r="E29" s="698">
        <v>12700</v>
      </c>
      <c r="F29" s="698">
        <v>12700</v>
      </c>
      <c r="G29" s="698">
        <v>12700</v>
      </c>
      <c r="H29" s="698">
        <v>12700</v>
      </c>
      <c r="I29" s="698">
        <v>14439</v>
      </c>
      <c r="J29" s="698">
        <v>12700</v>
      </c>
      <c r="K29" s="698">
        <v>12700</v>
      </c>
      <c r="L29" s="698">
        <v>12700</v>
      </c>
      <c r="M29" s="698">
        <v>14439</v>
      </c>
      <c r="N29" s="699">
        <v>15120</v>
      </c>
      <c r="O29" s="3"/>
      <c r="P29" s="3"/>
    </row>
    <row r="30" spans="1:16" ht="20.100000000000001" customHeight="1" x14ac:dyDescent="0.3">
      <c r="A30" s="726" t="s">
        <v>236</v>
      </c>
      <c r="B30" s="710">
        <f>'2. sz.melléklet'!F9</f>
        <v>29841.736000000001</v>
      </c>
      <c r="C30" s="691">
        <v>2380</v>
      </c>
      <c r="D30" s="683">
        <v>2380</v>
      </c>
      <c r="E30" s="683">
        <v>2380</v>
      </c>
      <c r="F30" s="683">
        <v>2380</v>
      </c>
      <c r="G30" s="683">
        <v>2380</v>
      </c>
      <c r="H30" s="683">
        <v>2380</v>
      </c>
      <c r="I30" s="683">
        <v>2826</v>
      </c>
      <c r="J30" s="683">
        <v>2380</v>
      </c>
      <c r="K30" s="683">
        <v>2380</v>
      </c>
      <c r="L30" s="683">
        <v>2380</v>
      </c>
      <c r="M30" s="683">
        <v>2825</v>
      </c>
      <c r="N30" s="692">
        <v>2771</v>
      </c>
      <c r="O30" s="3"/>
      <c r="P30" s="3"/>
    </row>
    <row r="31" spans="1:16" ht="20.100000000000001" customHeight="1" x14ac:dyDescent="0.3">
      <c r="A31" s="726" t="s">
        <v>5</v>
      </c>
      <c r="B31" s="710">
        <f>'2. sz.melléklet'!F10</f>
        <v>87432.506999999998</v>
      </c>
      <c r="C31" s="687">
        <v>7178</v>
      </c>
      <c r="D31" s="681">
        <v>7178</v>
      </c>
      <c r="E31" s="681">
        <v>7178</v>
      </c>
      <c r="F31" s="681">
        <v>7178</v>
      </c>
      <c r="G31" s="681">
        <v>7178</v>
      </c>
      <c r="H31" s="681">
        <v>7178</v>
      </c>
      <c r="I31" s="681">
        <v>7178</v>
      </c>
      <c r="J31" s="681">
        <v>7178</v>
      </c>
      <c r="K31" s="681">
        <v>7178</v>
      </c>
      <c r="L31" s="681">
        <v>8178</v>
      </c>
      <c r="M31" s="681">
        <v>7469</v>
      </c>
      <c r="N31" s="688">
        <v>7184</v>
      </c>
      <c r="O31" s="3"/>
      <c r="P31" s="3"/>
    </row>
    <row r="32" spans="1:16" ht="20.100000000000001" customHeight="1" x14ac:dyDescent="0.3">
      <c r="A32" s="726" t="s">
        <v>237</v>
      </c>
      <c r="B32" s="710">
        <f>'2. sz.melléklet'!F11</f>
        <v>10810.5</v>
      </c>
      <c r="C32" s="687">
        <v>900</v>
      </c>
      <c r="D32" s="681">
        <v>900</v>
      </c>
      <c r="E32" s="681">
        <v>900</v>
      </c>
      <c r="F32" s="681">
        <v>900</v>
      </c>
      <c r="G32" s="681">
        <v>900</v>
      </c>
      <c r="H32" s="681">
        <v>900</v>
      </c>
      <c r="I32" s="681">
        <v>900</v>
      </c>
      <c r="J32" s="681">
        <v>900</v>
      </c>
      <c r="K32" s="681">
        <v>900</v>
      </c>
      <c r="L32" s="681">
        <v>900</v>
      </c>
      <c r="M32" s="681">
        <v>900</v>
      </c>
      <c r="N32" s="688">
        <v>911</v>
      </c>
      <c r="O32" s="3"/>
      <c r="P32" s="3"/>
    </row>
    <row r="33" spans="1:16" ht="20.100000000000001" customHeight="1" x14ac:dyDescent="0.3">
      <c r="A33" s="726" t="s">
        <v>238</v>
      </c>
      <c r="B33" s="710">
        <f>'2. sz.melléklet'!F12</f>
        <v>7156</v>
      </c>
      <c r="C33" s="687">
        <v>596</v>
      </c>
      <c r="D33" s="681">
        <v>596</v>
      </c>
      <c r="E33" s="681">
        <v>596</v>
      </c>
      <c r="F33" s="681">
        <v>596</v>
      </c>
      <c r="G33" s="681">
        <v>596</v>
      </c>
      <c r="H33" s="681">
        <v>596</v>
      </c>
      <c r="I33" s="681">
        <v>596</v>
      </c>
      <c r="J33" s="681">
        <v>596</v>
      </c>
      <c r="K33" s="681">
        <v>596</v>
      </c>
      <c r="L33" s="681">
        <v>596</v>
      </c>
      <c r="M33" s="681">
        <v>596</v>
      </c>
      <c r="N33" s="688">
        <v>600</v>
      </c>
      <c r="O33" s="3"/>
      <c r="P33" s="3"/>
    </row>
    <row r="34" spans="1:16" ht="20.100000000000001" customHeight="1" x14ac:dyDescent="0.3">
      <c r="A34" s="726" t="s">
        <v>239</v>
      </c>
      <c r="B34" s="710">
        <f>'2. sz.melléklet'!F13</f>
        <v>6207</v>
      </c>
      <c r="C34" s="687">
        <v>517</v>
      </c>
      <c r="D34" s="681">
        <v>517</v>
      </c>
      <c r="E34" s="681">
        <v>517</v>
      </c>
      <c r="F34" s="681">
        <v>517</v>
      </c>
      <c r="G34" s="681">
        <v>517</v>
      </c>
      <c r="H34" s="681">
        <v>517</v>
      </c>
      <c r="I34" s="681">
        <v>517</v>
      </c>
      <c r="J34" s="681">
        <v>517</v>
      </c>
      <c r="K34" s="681">
        <v>517</v>
      </c>
      <c r="L34" s="681">
        <v>517</v>
      </c>
      <c r="M34" s="681">
        <v>517</v>
      </c>
      <c r="N34" s="688">
        <v>520</v>
      </c>
      <c r="O34" s="3"/>
      <c r="P34" s="3"/>
    </row>
    <row r="35" spans="1:16" ht="20.100000000000001" customHeight="1" x14ac:dyDescent="0.3">
      <c r="A35" s="726" t="s">
        <v>266</v>
      </c>
      <c r="B35" s="710">
        <f>'2. sz.melléklet'!F14</f>
        <v>6042.2659999999996</v>
      </c>
      <c r="C35" s="687">
        <v>6042</v>
      </c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688"/>
      <c r="O35" s="3"/>
      <c r="P35" s="3"/>
    </row>
    <row r="36" spans="1:16" ht="20.100000000000001" customHeight="1" x14ac:dyDescent="0.3">
      <c r="A36" s="726" t="s">
        <v>240</v>
      </c>
      <c r="B36" s="710">
        <f>'2. sz.melléklet'!F15</f>
        <v>149377.101</v>
      </c>
      <c r="C36" s="691">
        <v>12448</v>
      </c>
      <c r="D36" s="683">
        <v>12448</v>
      </c>
      <c r="E36" s="683">
        <v>12448</v>
      </c>
      <c r="F36" s="683">
        <v>12448</v>
      </c>
      <c r="G36" s="683">
        <v>12448</v>
      </c>
      <c r="H36" s="683">
        <v>12448</v>
      </c>
      <c r="I36" s="683">
        <v>12448</v>
      </c>
      <c r="J36" s="683">
        <v>12448</v>
      </c>
      <c r="K36" s="683">
        <v>12448</v>
      </c>
      <c r="L36" s="683">
        <v>12448</v>
      </c>
      <c r="M36" s="683">
        <v>12448</v>
      </c>
      <c r="N36" s="692">
        <v>12449</v>
      </c>
      <c r="O36" s="3"/>
      <c r="P36" s="3"/>
    </row>
    <row r="37" spans="1:16" ht="20.100000000000001" customHeight="1" x14ac:dyDescent="0.3">
      <c r="A37" s="726" t="s">
        <v>221</v>
      </c>
      <c r="B37" s="710">
        <f>'2. sz.melléklet'!F17</f>
        <v>9592.5</v>
      </c>
      <c r="C37" s="687"/>
      <c r="D37" s="681"/>
      <c r="E37" s="681">
        <v>2309</v>
      </c>
      <c r="F37" s="681"/>
      <c r="G37" s="681"/>
      <c r="H37" s="681">
        <v>2309</v>
      </c>
      <c r="I37" s="681"/>
      <c r="J37" s="681"/>
      <c r="K37" s="681">
        <v>2309</v>
      </c>
      <c r="L37" s="681"/>
      <c r="M37" s="681">
        <v>357</v>
      </c>
      <c r="N37" s="688">
        <v>2309</v>
      </c>
      <c r="O37" s="3"/>
      <c r="P37" s="3"/>
    </row>
    <row r="38" spans="1:16" ht="20.100000000000001" customHeight="1" x14ac:dyDescent="0.3">
      <c r="A38" s="726" t="s">
        <v>241</v>
      </c>
      <c r="B38" s="710">
        <f>'2. sz.melléklet'!F18</f>
        <v>179434.139</v>
      </c>
      <c r="C38" s="687"/>
      <c r="D38" s="681">
        <v>8634</v>
      </c>
      <c r="E38" s="681">
        <v>19803</v>
      </c>
      <c r="F38" s="681">
        <v>19803</v>
      </c>
      <c r="G38" s="681">
        <v>19803</v>
      </c>
      <c r="H38" s="681">
        <v>36000</v>
      </c>
      <c r="I38" s="681">
        <v>20000</v>
      </c>
      <c r="J38" s="681"/>
      <c r="K38" s="681">
        <v>17119</v>
      </c>
      <c r="L38" s="681">
        <v>8634</v>
      </c>
      <c r="M38" s="681">
        <v>21004</v>
      </c>
      <c r="N38" s="688">
        <v>8634</v>
      </c>
      <c r="O38" s="3"/>
      <c r="P38" s="3"/>
    </row>
    <row r="39" spans="1:16" ht="20.100000000000001" customHeight="1" x14ac:dyDescent="0.3">
      <c r="A39" s="713" t="s">
        <v>765</v>
      </c>
      <c r="B39" s="714">
        <f>'2. sz.melléklet'!F19</f>
        <v>1263</v>
      </c>
      <c r="C39" s="737"/>
      <c r="D39" s="731"/>
      <c r="E39" s="731"/>
      <c r="F39" s="731"/>
      <c r="G39" s="731"/>
      <c r="H39" s="731"/>
      <c r="I39" s="731">
        <v>1263</v>
      </c>
      <c r="J39" s="731"/>
      <c r="K39" s="731"/>
      <c r="L39" s="731"/>
      <c r="M39" s="731"/>
      <c r="N39" s="732"/>
      <c r="O39" s="3"/>
      <c r="P39" s="3"/>
    </row>
    <row r="40" spans="1:16" ht="20.100000000000001" customHeight="1" thickBot="1" x14ac:dyDescent="0.35">
      <c r="A40" s="713" t="s">
        <v>242</v>
      </c>
      <c r="B40" s="714">
        <f>'2. sz.melléklet'!F20</f>
        <v>33283.39</v>
      </c>
      <c r="C40" s="738"/>
      <c r="D40" s="715"/>
      <c r="E40" s="715"/>
      <c r="F40" s="715"/>
      <c r="G40" s="715"/>
      <c r="H40" s="715"/>
      <c r="I40" s="715"/>
      <c r="J40" s="715"/>
      <c r="K40" s="715"/>
      <c r="L40" s="715"/>
      <c r="M40" s="715"/>
      <c r="N40" s="727">
        <v>33283</v>
      </c>
      <c r="O40" s="3"/>
      <c r="P40" s="3"/>
    </row>
    <row r="41" spans="1:16" ht="20.100000000000001" customHeight="1" thickBot="1" x14ac:dyDescent="0.25">
      <c r="A41" s="716" t="s">
        <v>155</v>
      </c>
      <c r="B41" s="717">
        <f>SUM(B29:B40)</f>
        <v>678738.4</v>
      </c>
      <c r="C41" s="718">
        <f>SUM(C29:C40)</f>
        <v>42761</v>
      </c>
      <c r="D41" s="719">
        <f t="shared" ref="D41:N41" si="3">SUM(D29:D40)</f>
        <v>45353</v>
      </c>
      <c r="E41" s="719">
        <f t="shared" si="3"/>
        <v>58831</v>
      </c>
      <c r="F41" s="719">
        <f t="shared" si="3"/>
        <v>56522</v>
      </c>
      <c r="G41" s="719">
        <f t="shared" si="3"/>
        <v>56522</v>
      </c>
      <c r="H41" s="719">
        <f t="shared" si="3"/>
        <v>75028</v>
      </c>
      <c r="I41" s="719">
        <f t="shared" si="3"/>
        <v>60167</v>
      </c>
      <c r="J41" s="719">
        <f t="shared" si="3"/>
        <v>36719</v>
      </c>
      <c r="K41" s="719">
        <f t="shared" si="3"/>
        <v>56147</v>
      </c>
      <c r="L41" s="719">
        <f t="shared" si="3"/>
        <v>46353</v>
      </c>
      <c r="M41" s="719">
        <f t="shared" si="3"/>
        <v>60555</v>
      </c>
      <c r="N41" s="720">
        <f t="shared" si="3"/>
        <v>83781</v>
      </c>
      <c r="O41" s="3"/>
      <c r="P41" s="3"/>
    </row>
    <row r="42" spans="1:16" ht="20.100000000000001" customHeight="1" thickBot="1" x14ac:dyDescent="0.35">
      <c r="A42" s="728" t="s">
        <v>189</v>
      </c>
      <c r="B42" s="735">
        <f>'2. sz.melléklet'!F25</f>
        <v>-149377.101</v>
      </c>
      <c r="C42" s="733">
        <f>-C36</f>
        <v>-12448</v>
      </c>
      <c r="D42" s="733">
        <f t="shared" ref="D42:N42" si="4">-D36</f>
        <v>-12448</v>
      </c>
      <c r="E42" s="733">
        <f t="shared" si="4"/>
        <v>-12448</v>
      </c>
      <c r="F42" s="733">
        <f t="shared" si="4"/>
        <v>-12448</v>
      </c>
      <c r="G42" s="733">
        <f t="shared" si="4"/>
        <v>-12448</v>
      </c>
      <c r="H42" s="733">
        <f t="shared" si="4"/>
        <v>-12448</v>
      </c>
      <c r="I42" s="733">
        <f t="shared" si="4"/>
        <v>-12448</v>
      </c>
      <c r="J42" s="733">
        <f t="shared" si="4"/>
        <v>-12448</v>
      </c>
      <c r="K42" s="733">
        <f t="shared" si="4"/>
        <v>-12448</v>
      </c>
      <c r="L42" s="733">
        <f t="shared" si="4"/>
        <v>-12448</v>
      </c>
      <c r="M42" s="733">
        <f t="shared" si="4"/>
        <v>-12448</v>
      </c>
      <c r="N42" s="734">
        <f t="shared" si="4"/>
        <v>-12449</v>
      </c>
      <c r="O42" s="3"/>
      <c r="P42" s="3"/>
    </row>
    <row r="43" spans="1:16" ht="20.100000000000001" customHeight="1" thickBot="1" x14ac:dyDescent="0.25">
      <c r="A43" s="700" t="s">
        <v>192</v>
      </c>
      <c r="B43" s="736">
        <f>SUM(B41:B42)</f>
        <v>529361.299</v>
      </c>
      <c r="C43" s="711">
        <f>SUM(C41:C42)</f>
        <v>30313</v>
      </c>
      <c r="D43" s="712">
        <f t="shared" ref="D43:N43" si="5">SUM(D41:D42)</f>
        <v>32905</v>
      </c>
      <c r="E43" s="712">
        <f t="shared" si="5"/>
        <v>46383</v>
      </c>
      <c r="F43" s="712">
        <f t="shared" si="5"/>
        <v>44074</v>
      </c>
      <c r="G43" s="712">
        <f t="shared" si="5"/>
        <v>44074</v>
      </c>
      <c r="H43" s="712">
        <f t="shared" si="5"/>
        <v>62580</v>
      </c>
      <c r="I43" s="712">
        <f t="shared" si="5"/>
        <v>47719</v>
      </c>
      <c r="J43" s="712">
        <f t="shared" si="5"/>
        <v>24271</v>
      </c>
      <c r="K43" s="712">
        <f t="shared" si="5"/>
        <v>43699</v>
      </c>
      <c r="L43" s="712">
        <f t="shared" si="5"/>
        <v>33905</v>
      </c>
      <c r="M43" s="712">
        <f t="shared" si="5"/>
        <v>48107</v>
      </c>
      <c r="N43" s="712">
        <f t="shared" si="5"/>
        <v>71332</v>
      </c>
      <c r="O43" s="3"/>
      <c r="P43" s="3"/>
    </row>
    <row r="44" spans="1:16" x14ac:dyDescent="0.2">
      <c r="O44" s="3"/>
    </row>
  </sheetData>
  <mergeCells count="12">
    <mergeCell ref="A1:N1"/>
    <mergeCell ref="A4:N4"/>
    <mergeCell ref="A5:N5"/>
    <mergeCell ref="L25:N25"/>
    <mergeCell ref="A2:N2"/>
    <mergeCell ref="A27:A28"/>
    <mergeCell ref="B27:B28"/>
    <mergeCell ref="C27:N27"/>
    <mergeCell ref="A7:N7"/>
    <mergeCell ref="A8:A9"/>
    <mergeCell ref="B8:B9"/>
    <mergeCell ref="C8:N8"/>
  </mergeCells>
  <phoneticPr fontId="13" type="noConversion"/>
  <pageMargins left="0.39370078740157483" right="0.39370078740157483" top="0.78740157480314965" bottom="0.39370078740157483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E18"/>
  <sheetViews>
    <sheetView workbookViewId="0">
      <selection activeCell="C13" sqref="C13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1089" t="s">
        <v>378</v>
      </c>
      <c r="B2" s="1089"/>
      <c r="C2" s="1089"/>
      <c r="D2" s="1089"/>
      <c r="E2" s="12"/>
    </row>
    <row r="3" spans="1:5" ht="14.25" x14ac:dyDescent="0.2">
      <c r="A3" s="1054"/>
      <c r="B3" s="1055"/>
      <c r="C3" s="1055"/>
      <c r="D3" s="1055"/>
    </row>
    <row r="4" spans="1:5" ht="15" x14ac:dyDescent="0.2">
      <c r="B4" s="11"/>
      <c r="C4" s="11"/>
      <c r="D4" s="11"/>
    </row>
    <row r="5" spans="1:5" ht="15.75" x14ac:dyDescent="0.25">
      <c r="A5" s="1151" t="s">
        <v>243</v>
      </c>
      <c r="B5" s="1151"/>
      <c r="C5" s="1151"/>
      <c r="D5" s="1151"/>
    </row>
    <row r="6" spans="1:5" ht="15.75" x14ac:dyDescent="0.25">
      <c r="A6" s="1153" t="s">
        <v>373</v>
      </c>
      <c r="B6" s="1153"/>
      <c r="C6" s="1153"/>
      <c r="D6" s="1153"/>
    </row>
    <row r="8" spans="1:5" x14ac:dyDescent="0.2">
      <c r="B8" s="1180" t="s">
        <v>157</v>
      </c>
      <c r="C8" s="1180"/>
    </row>
    <row r="9" spans="1:5" x14ac:dyDescent="0.2">
      <c r="B9" s="1180"/>
      <c r="C9" s="1180"/>
    </row>
    <row r="10" spans="1:5" ht="13.5" thickBot="1" x14ac:dyDescent="0.25">
      <c r="B10" s="42"/>
      <c r="C10" s="42"/>
    </row>
    <row r="11" spans="1:5" ht="13.5" thickBot="1" x14ac:dyDescent="0.25">
      <c r="B11" s="43" t="s">
        <v>158</v>
      </c>
      <c r="C11" s="44" t="s">
        <v>11</v>
      </c>
    </row>
    <row r="12" spans="1:5" x14ac:dyDescent="0.2">
      <c r="B12" s="45" t="s">
        <v>163</v>
      </c>
      <c r="C12" s="46"/>
    </row>
    <row r="13" spans="1:5" x14ac:dyDescent="0.2">
      <c r="B13" s="47" t="s">
        <v>159</v>
      </c>
      <c r="C13" s="145">
        <v>585</v>
      </c>
    </row>
    <row r="14" spans="1:5" x14ac:dyDescent="0.2">
      <c r="B14" s="47" t="s">
        <v>160</v>
      </c>
      <c r="C14" s="48"/>
    </row>
    <row r="15" spans="1:5" x14ac:dyDescent="0.2">
      <c r="B15" s="47" t="s">
        <v>161</v>
      </c>
      <c r="C15" s="48"/>
    </row>
    <row r="16" spans="1:5" x14ac:dyDescent="0.2">
      <c r="B16" s="49" t="s">
        <v>0</v>
      </c>
      <c r="C16" s="50">
        <f>SUM(C12:C15)</f>
        <v>585</v>
      </c>
    </row>
    <row r="17" spans="2:3" ht="13.5" thickBot="1" x14ac:dyDescent="0.25">
      <c r="B17" s="51"/>
      <c r="C17" s="52"/>
    </row>
    <row r="18" spans="2:3" ht="15" x14ac:dyDescent="0.2">
      <c r="B18" s="53"/>
      <c r="C18" s="53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D1E3-4F85-4A74-A0FB-7DD3EE31B0CC}">
  <dimension ref="A1:Q304"/>
  <sheetViews>
    <sheetView topLeftCell="A22" workbookViewId="0">
      <selection activeCell="H89" sqref="H89"/>
    </sheetView>
  </sheetViews>
  <sheetFormatPr defaultRowHeight="12.75" x14ac:dyDescent="0.2"/>
  <cols>
    <col min="1" max="1" width="12.28515625" customWidth="1"/>
    <col min="2" max="2" width="35.5703125" customWidth="1"/>
    <col min="3" max="3" width="14.140625" customWidth="1"/>
    <col min="4" max="4" width="15.7109375" customWidth="1"/>
    <col min="5" max="5" width="15.42578125" customWidth="1"/>
    <col min="6" max="6" width="12.5703125" customWidth="1"/>
    <col min="7" max="7" width="16" style="776" customWidth="1"/>
    <col min="8" max="8" width="12.42578125" customWidth="1"/>
    <col min="9" max="9" width="10.7109375" style="3" customWidth="1"/>
    <col min="10" max="10" width="3.42578125" customWidth="1"/>
    <col min="11" max="11" width="8.42578125" customWidth="1"/>
    <col min="12" max="12" width="11.85546875" customWidth="1"/>
    <col min="13" max="13" width="12.5703125" customWidth="1"/>
    <col min="14" max="14" width="8.42578125" customWidth="1"/>
    <col min="15" max="15" width="10.5703125" customWidth="1"/>
    <col min="16" max="16" width="12.42578125" customWidth="1"/>
    <col min="17" max="1025" width="8.42578125" customWidth="1"/>
  </cols>
  <sheetData>
    <row r="1" spans="1:12" x14ac:dyDescent="0.2">
      <c r="F1" s="981" t="s">
        <v>515</v>
      </c>
      <c r="G1" s="982"/>
    </row>
    <row r="2" spans="1:12" ht="15.75" x14ac:dyDescent="0.25">
      <c r="A2" s="949" t="s">
        <v>766</v>
      </c>
      <c r="B2" s="949"/>
      <c r="C2" s="949"/>
      <c r="D2" s="949"/>
      <c r="E2" s="949"/>
      <c r="F2" s="949"/>
      <c r="G2" s="949"/>
    </row>
    <row r="3" spans="1:12" ht="15.75" x14ac:dyDescent="0.25">
      <c r="A3" s="949" t="s">
        <v>243</v>
      </c>
      <c r="B3" s="949"/>
      <c r="C3" s="949"/>
      <c r="D3" s="949"/>
      <c r="E3" s="949"/>
      <c r="F3" s="949"/>
      <c r="G3" s="949"/>
    </row>
    <row r="4" spans="1:12" ht="21.75" customHeight="1" x14ac:dyDescent="0.2">
      <c r="G4" s="258"/>
    </row>
    <row r="5" spans="1:12" ht="18" customHeight="1" x14ac:dyDescent="0.2">
      <c r="A5" s="983" t="s">
        <v>516</v>
      </c>
      <c r="B5" s="983"/>
      <c r="C5" s="983"/>
      <c r="D5" s="983"/>
      <c r="E5" s="983"/>
      <c r="F5" s="983"/>
      <c r="G5" s="983"/>
      <c r="I5" s="254"/>
    </row>
    <row r="6" spans="1:12" s="159" customFormat="1" ht="18" customHeight="1" thickBot="1" x14ac:dyDescent="0.25">
      <c r="A6" s="158"/>
      <c r="B6" s="158"/>
      <c r="C6" s="158"/>
      <c r="D6" s="158"/>
      <c r="E6" s="158"/>
      <c r="F6" s="158"/>
      <c r="G6" s="158"/>
      <c r="I6" s="259"/>
    </row>
    <row r="7" spans="1:12" ht="23.25" customHeight="1" thickBot="1" x14ac:dyDescent="0.25">
      <c r="A7" s="953" t="s">
        <v>397</v>
      </c>
      <c r="B7" s="953"/>
      <c r="C7" s="953"/>
      <c r="D7" s="953"/>
      <c r="E7" s="953"/>
      <c r="F7" s="953"/>
      <c r="G7" s="953"/>
    </row>
    <row r="8" spans="1:12" ht="17.25" customHeight="1" thickBot="1" x14ac:dyDescent="0.25">
      <c r="A8" s="977" t="s">
        <v>398</v>
      </c>
      <c r="B8" s="979" t="s">
        <v>399</v>
      </c>
      <c r="C8" s="966">
        <v>2019</v>
      </c>
      <c r="D8" s="967"/>
      <c r="E8" s="967"/>
      <c r="F8" s="967"/>
      <c r="G8" s="968"/>
    </row>
    <row r="9" spans="1:12" ht="24.75" customHeight="1" thickBot="1" x14ac:dyDescent="0.25">
      <c r="A9" s="977"/>
      <c r="B9" s="979"/>
      <c r="C9" s="260" t="s">
        <v>401</v>
      </c>
      <c r="D9" s="778" t="s">
        <v>517</v>
      </c>
      <c r="E9" s="260" t="s">
        <v>402</v>
      </c>
      <c r="F9" s="260" t="s">
        <v>403</v>
      </c>
      <c r="G9" s="261" t="s">
        <v>770</v>
      </c>
    </row>
    <row r="10" spans="1:12" ht="15" customHeight="1" x14ac:dyDescent="0.2">
      <c r="A10" s="184" t="s">
        <v>518</v>
      </c>
      <c r="B10" s="262" t="s">
        <v>519</v>
      </c>
      <c r="C10" s="263">
        <v>0</v>
      </c>
      <c r="D10" s="263">
        <v>1556250</v>
      </c>
      <c r="E10" s="263">
        <f>G10-D10</f>
        <v>0</v>
      </c>
      <c r="F10" s="264">
        <f t="shared" ref="F10" si="0">G10/D10*100</f>
        <v>100</v>
      </c>
      <c r="G10" s="265">
        <f>'[1]Kiadások részletes COFOG'!F13</f>
        <v>1556250</v>
      </c>
    </row>
    <row r="11" spans="1:12" ht="15" customHeight="1" x14ac:dyDescent="0.2">
      <c r="A11" s="266" t="s">
        <v>520</v>
      </c>
      <c r="B11" s="262" t="s">
        <v>521</v>
      </c>
      <c r="C11" s="263">
        <v>0</v>
      </c>
      <c r="D11" s="263">
        <v>0</v>
      </c>
      <c r="E11" s="263">
        <f t="shared" ref="E11:E49" si="1">G11-D11</f>
        <v>0</v>
      </c>
      <c r="F11" s="264"/>
      <c r="G11" s="265">
        <v>0</v>
      </c>
    </row>
    <row r="12" spans="1:12" ht="15" customHeight="1" x14ac:dyDescent="0.2">
      <c r="A12" s="268" t="s">
        <v>522</v>
      </c>
      <c r="B12" s="168" t="s">
        <v>523</v>
      </c>
      <c r="C12" s="238">
        <v>0</v>
      </c>
      <c r="D12" s="238">
        <v>0</v>
      </c>
      <c r="E12" s="263">
        <f t="shared" si="1"/>
        <v>0</v>
      </c>
      <c r="F12" s="264"/>
      <c r="G12" s="239">
        <f>'[1]Kiadások részletes COFOG'!F14</f>
        <v>0</v>
      </c>
      <c r="L12" s="267"/>
    </row>
    <row r="13" spans="1:12" ht="15" customHeight="1" x14ac:dyDescent="0.2">
      <c r="A13" s="268" t="s">
        <v>524</v>
      </c>
      <c r="B13" s="168" t="s">
        <v>525</v>
      </c>
      <c r="C13" s="238">
        <v>100000</v>
      </c>
      <c r="D13" s="238">
        <v>0</v>
      </c>
      <c r="E13" s="263">
        <f t="shared" si="1"/>
        <v>0</v>
      </c>
      <c r="F13" s="264"/>
      <c r="G13" s="239">
        <f>'[1]Kiadások részletes COFOG'!F14</f>
        <v>0</v>
      </c>
      <c r="L13" s="267"/>
    </row>
    <row r="14" spans="1:12" ht="15" customHeight="1" x14ac:dyDescent="0.2">
      <c r="A14" s="173" t="s">
        <v>526</v>
      </c>
      <c r="B14" s="168" t="s">
        <v>527</v>
      </c>
      <c r="C14" s="238">
        <v>16224200</v>
      </c>
      <c r="D14" s="238">
        <v>16224200</v>
      </c>
      <c r="E14" s="263">
        <f t="shared" si="1"/>
        <v>0</v>
      </c>
      <c r="F14" s="264">
        <f t="shared" ref="F14:F46" si="2">G14/D14*100</f>
        <v>100</v>
      </c>
      <c r="G14" s="239">
        <f>'[1]Kiadások részletes COFOG'!F26</f>
        <v>16224200</v>
      </c>
      <c r="H14" s="42"/>
    </row>
    <row r="15" spans="1:12" ht="22.5" customHeight="1" x14ac:dyDescent="0.2">
      <c r="A15" s="173" t="s">
        <v>528</v>
      </c>
      <c r="B15" s="168" t="s">
        <v>529</v>
      </c>
      <c r="C15" s="238">
        <v>336000</v>
      </c>
      <c r="D15" s="238">
        <v>1406000</v>
      </c>
      <c r="E15" s="263">
        <f t="shared" si="1"/>
        <v>0</v>
      </c>
      <c r="F15" s="264">
        <f t="shared" si="2"/>
        <v>100</v>
      </c>
      <c r="G15" s="239">
        <f>'[1]Kiadások részletes COFOG'!F30</f>
        <v>1406000</v>
      </c>
    </row>
    <row r="16" spans="1:12" ht="15" customHeight="1" x14ac:dyDescent="0.2">
      <c r="A16" s="172" t="s">
        <v>530</v>
      </c>
      <c r="B16" s="168" t="s">
        <v>531</v>
      </c>
      <c r="C16" s="238">
        <v>200000</v>
      </c>
      <c r="D16" s="238">
        <v>356000</v>
      </c>
      <c r="E16" s="263">
        <f t="shared" si="1"/>
        <v>-180000</v>
      </c>
      <c r="F16" s="264">
        <f t="shared" si="2"/>
        <v>49.438202247191008</v>
      </c>
      <c r="G16" s="239">
        <f>'[1]Kiadások részletes COFOG'!F31</f>
        <v>176000</v>
      </c>
    </row>
    <row r="17" spans="1:13" ht="15" customHeight="1" x14ac:dyDescent="0.2">
      <c r="A17" s="173" t="s">
        <v>532</v>
      </c>
      <c r="B17" s="168" t="s">
        <v>533</v>
      </c>
      <c r="C17" s="238">
        <v>3287739</v>
      </c>
      <c r="D17" s="238">
        <v>3750000</v>
      </c>
      <c r="E17" s="263">
        <f t="shared" si="1"/>
        <v>0</v>
      </c>
      <c r="F17" s="264">
        <f t="shared" si="2"/>
        <v>100</v>
      </c>
      <c r="G17" s="239">
        <f>'[1]Kiadások részletes COFOG'!F33</f>
        <v>3750000</v>
      </c>
    </row>
    <row r="18" spans="1:13" ht="15" customHeight="1" x14ac:dyDescent="0.2">
      <c r="A18" s="173" t="s">
        <v>534</v>
      </c>
      <c r="B18" s="168" t="s">
        <v>535</v>
      </c>
      <c r="C18" s="238">
        <v>0</v>
      </c>
      <c r="D18" s="238">
        <v>0</v>
      </c>
      <c r="E18" s="263">
        <f t="shared" si="1"/>
        <v>0</v>
      </c>
      <c r="F18" s="264"/>
      <c r="G18" s="239">
        <f>'[1]Kiadások részletes COFOG'!F38</f>
        <v>0</v>
      </c>
    </row>
    <row r="19" spans="1:13" ht="15" customHeight="1" x14ac:dyDescent="0.2">
      <c r="A19" s="173" t="s">
        <v>536</v>
      </c>
      <c r="B19" s="168" t="s">
        <v>537</v>
      </c>
      <c r="C19" s="238">
        <v>160000</v>
      </c>
      <c r="D19" s="238">
        <v>60000</v>
      </c>
      <c r="E19" s="263">
        <f t="shared" si="1"/>
        <v>0</v>
      </c>
      <c r="F19" s="264">
        <f t="shared" si="2"/>
        <v>100</v>
      </c>
      <c r="G19" s="239">
        <f>'[1]Kiadások részletes COFOG'!F39</f>
        <v>60000</v>
      </c>
    </row>
    <row r="20" spans="1:13" ht="15" customHeight="1" x14ac:dyDescent="0.2">
      <c r="A20" s="173" t="s">
        <v>538</v>
      </c>
      <c r="B20" s="168" t="s">
        <v>539</v>
      </c>
      <c r="C20" s="238">
        <v>1950000</v>
      </c>
      <c r="D20" s="238">
        <v>1649000</v>
      </c>
      <c r="E20" s="263">
        <f t="shared" si="1"/>
        <v>700000</v>
      </c>
      <c r="F20" s="264">
        <f t="shared" si="2"/>
        <v>142.44996967859308</v>
      </c>
      <c r="G20" s="239">
        <f>'[1]Kiadások részletes COFOG'!F48</f>
        <v>2349000</v>
      </c>
    </row>
    <row r="21" spans="1:13" ht="15" customHeight="1" x14ac:dyDescent="0.2">
      <c r="A21" s="173" t="s">
        <v>540</v>
      </c>
      <c r="B21" s="168" t="s">
        <v>541</v>
      </c>
      <c r="C21" s="238">
        <v>1300000</v>
      </c>
      <c r="D21" s="238">
        <v>1300000</v>
      </c>
      <c r="E21" s="263">
        <f t="shared" si="1"/>
        <v>0</v>
      </c>
      <c r="F21" s="264">
        <f t="shared" si="2"/>
        <v>100</v>
      </c>
      <c r="G21" s="239">
        <f>'[1]Kiadások részletes COFOG'!F49</f>
        <v>1300000</v>
      </c>
    </row>
    <row r="22" spans="1:13" ht="15" customHeight="1" x14ac:dyDescent="0.2">
      <c r="A22" s="173" t="s">
        <v>542</v>
      </c>
      <c r="B22" s="168" t="s">
        <v>543</v>
      </c>
      <c r="C22" s="238">
        <v>300000</v>
      </c>
      <c r="D22" s="238">
        <v>300000</v>
      </c>
      <c r="E22" s="263">
        <f t="shared" si="1"/>
        <v>0</v>
      </c>
      <c r="F22" s="264">
        <f t="shared" si="2"/>
        <v>100</v>
      </c>
      <c r="G22" s="239">
        <f>'[1]Kiadások részletes COFOG'!F50</f>
        <v>300000</v>
      </c>
    </row>
    <row r="23" spans="1:13" ht="15" customHeight="1" x14ac:dyDescent="0.2">
      <c r="A23" s="173" t="s">
        <v>544</v>
      </c>
      <c r="B23" s="168" t="s">
        <v>545</v>
      </c>
      <c r="C23" s="238">
        <v>600000</v>
      </c>
      <c r="D23" s="238">
        <v>666000</v>
      </c>
      <c r="E23" s="263">
        <f t="shared" si="1"/>
        <v>0</v>
      </c>
      <c r="F23" s="264">
        <f t="shared" si="2"/>
        <v>100</v>
      </c>
      <c r="G23" s="239">
        <f>'[1]Kiadások részletes COFOG'!F51</f>
        <v>666000</v>
      </c>
    </row>
    <row r="24" spans="1:13" ht="15" customHeight="1" x14ac:dyDescent="0.2">
      <c r="A24" s="173" t="s">
        <v>546</v>
      </c>
      <c r="B24" s="168" t="s">
        <v>547</v>
      </c>
      <c r="C24" s="238">
        <v>900000</v>
      </c>
      <c r="D24" s="238">
        <v>1100000</v>
      </c>
      <c r="E24" s="263">
        <f t="shared" si="1"/>
        <v>0</v>
      </c>
      <c r="F24" s="264">
        <f t="shared" si="2"/>
        <v>100</v>
      </c>
      <c r="G24" s="239">
        <f>'[1]Kiadások részletes COFOG'!F52</f>
        <v>1100000</v>
      </c>
    </row>
    <row r="25" spans="1:13" ht="15" customHeight="1" x14ac:dyDescent="0.2">
      <c r="A25" s="172" t="s">
        <v>548</v>
      </c>
      <c r="B25" s="168" t="s">
        <v>549</v>
      </c>
      <c r="C25" s="238">
        <v>150000</v>
      </c>
      <c r="D25" s="238">
        <v>300000</v>
      </c>
      <c r="E25" s="263">
        <f t="shared" si="1"/>
        <v>0</v>
      </c>
      <c r="F25" s="264">
        <f t="shared" si="2"/>
        <v>100</v>
      </c>
      <c r="G25" s="239">
        <f>'[1]Kiadások részletes COFOG'!F53</f>
        <v>300000</v>
      </c>
    </row>
    <row r="26" spans="1:13" x14ac:dyDescent="0.2">
      <c r="A26" s="173" t="s">
        <v>550</v>
      </c>
      <c r="B26" s="168" t="s">
        <v>551</v>
      </c>
      <c r="C26" s="238">
        <v>150000</v>
      </c>
      <c r="D26" s="238">
        <v>150000</v>
      </c>
      <c r="E26" s="263">
        <f t="shared" si="1"/>
        <v>0</v>
      </c>
      <c r="F26" s="264">
        <f t="shared" si="2"/>
        <v>100</v>
      </c>
      <c r="G26" s="239">
        <f>'[1]Kiadások részletes COFOG'!F56</f>
        <v>150000</v>
      </c>
    </row>
    <row r="27" spans="1:13" ht="15" customHeight="1" x14ac:dyDescent="0.2">
      <c r="A27" s="173" t="s">
        <v>552</v>
      </c>
      <c r="B27" s="168" t="s">
        <v>553</v>
      </c>
      <c r="C27" s="238">
        <v>1000000</v>
      </c>
      <c r="D27" s="238">
        <v>451000</v>
      </c>
      <c r="E27" s="263">
        <f t="shared" si="1"/>
        <v>0</v>
      </c>
      <c r="F27" s="264">
        <f t="shared" si="2"/>
        <v>100</v>
      </c>
      <c r="G27" s="239">
        <f>'[1]Kiadások részletes COFOG'!F57</f>
        <v>451000</v>
      </c>
    </row>
    <row r="28" spans="1:13" ht="15" customHeight="1" x14ac:dyDescent="0.2">
      <c r="A28" s="172" t="s">
        <v>554</v>
      </c>
      <c r="B28" s="168" t="s">
        <v>555</v>
      </c>
      <c r="C28" s="238">
        <v>150000</v>
      </c>
      <c r="D28" s="238">
        <v>150000</v>
      </c>
      <c r="E28" s="263">
        <f t="shared" si="1"/>
        <v>370000</v>
      </c>
      <c r="F28" s="264">
        <f t="shared" si="2"/>
        <v>346.66666666666669</v>
      </c>
      <c r="G28" s="239">
        <f>'[1]Kiadások részletes COFOG'!F58</f>
        <v>520000</v>
      </c>
    </row>
    <row r="29" spans="1:13" ht="15" customHeight="1" x14ac:dyDescent="0.2">
      <c r="A29" s="173" t="s">
        <v>556</v>
      </c>
      <c r="B29" s="168" t="s">
        <v>557</v>
      </c>
      <c r="C29" s="238">
        <v>2900000</v>
      </c>
      <c r="D29" s="238">
        <v>2900000</v>
      </c>
      <c r="E29" s="263">
        <f t="shared" si="1"/>
        <v>-370000</v>
      </c>
      <c r="F29" s="264">
        <f t="shared" si="2"/>
        <v>87.241379310344826</v>
      </c>
      <c r="G29" s="239">
        <f>'[1]Kiadások részletes COFOG'!F66</f>
        <v>2530000</v>
      </c>
    </row>
    <row r="30" spans="1:13" ht="15" customHeight="1" x14ac:dyDescent="0.2">
      <c r="A30" s="173" t="s">
        <v>558</v>
      </c>
      <c r="B30" s="168" t="s">
        <v>559</v>
      </c>
      <c r="C30" s="238">
        <v>4100000</v>
      </c>
      <c r="D30" s="238">
        <v>4100000</v>
      </c>
      <c r="E30" s="263">
        <f t="shared" si="1"/>
        <v>0</v>
      </c>
      <c r="F30" s="264">
        <f t="shared" si="2"/>
        <v>100</v>
      </c>
      <c r="G30" s="239">
        <f>'[1]Kiadások részletes COFOG'!F75</f>
        <v>4100000</v>
      </c>
    </row>
    <row r="31" spans="1:13" ht="15" customHeight="1" x14ac:dyDescent="0.2">
      <c r="A31" s="172" t="s">
        <v>560</v>
      </c>
      <c r="B31" s="168" t="s">
        <v>561</v>
      </c>
      <c r="C31" s="238">
        <v>0</v>
      </c>
      <c r="D31" s="238">
        <v>0</v>
      </c>
      <c r="E31" s="263">
        <f t="shared" si="1"/>
        <v>0</v>
      </c>
      <c r="F31" s="264"/>
      <c r="G31" s="239">
        <f>'[1]Kiadások részletes COFOG'!F77</f>
        <v>0</v>
      </c>
    </row>
    <row r="32" spans="1:13" ht="21.75" customHeight="1" x14ac:dyDescent="0.2">
      <c r="A32" s="173" t="s">
        <v>562</v>
      </c>
      <c r="B32" s="168" t="s">
        <v>563</v>
      </c>
      <c r="C32" s="238">
        <v>3688200</v>
      </c>
      <c r="D32" s="238">
        <v>3646832</v>
      </c>
      <c r="E32" s="263">
        <f t="shared" si="1"/>
        <v>-700423.99999999953</v>
      </c>
      <c r="F32" s="264">
        <f t="shared" si="2"/>
        <v>80.793631294230181</v>
      </c>
      <c r="G32" s="239">
        <f>'[1]Kiadások részletes COFOG'!F82</f>
        <v>2946408.0000000005</v>
      </c>
      <c r="M32" s="3"/>
    </row>
    <row r="33" spans="1:13" ht="15" customHeight="1" x14ac:dyDescent="0.2">
      <c r="A33" s="173" t="s">
        <v>564</v>
      </c>
      <c r="B33" s="168" t="s">
        <v>565</v>
      </c>
      <c r="C33" s="238">
        <v>0</v>
      </c>
      <c r="D33" s="238">
        <v>10000000</v>
      </c>
      <c r="E33" s="263">
        <f>G33-D33</f>
        <v>2000000</v>
      </c>
      <c r="F33" s="264">
        <f t="shared" si="2"/>
        <v>120</v>
      </c>
      <c r="G33" s="239">
        <f>'[1]Kiadások részletes COFOG'!F83</f>
        <v>12000000</v>
      </c>
      <c r="M33" s="3"/>
    </row>
    <row r="34" spans="1:13" ht="15" customHeight="1" x14ac:dyDescent="0.2">
      <c r="A34" s="173" t="s">
        <v>566</v>
      </c>
      <c r="B34" s="168" t="s">
        <v>567</v>
      </c>
      <c r="C34" s="238">
        <v>20000</v>
      </c>
      <c r="D34" s="238">
        <v>20000</v>
      </c>
      <c r="E34" s="263">
        <f t="shared" si="1"/>
        <v>0</v>
      </c>
      <c r="F34" s="264">
        <f t="shared" si="2"/>
        <v>100</v>
      </c>
      <c r="G34" s="239">
        <f>'[1]Kiadások részletes COFOG'!F84</f>
        <v>20000</v>
      </c>
    </row>
    <row r="35" spans="1:13" ht="15" customHeight="1" x14ac:dyDescent="0.2">
      <c r="A35" s="173" t="s">
        <v>568</v>
      </c>
      <c r="B35" s="168" t="s">
        <v>569</v>
      </c>
      <c r="C35" s="238">
        <v>1010000</v>
      </c>
      <c r="D35" s="238">
        <v>1010000</v>
      </c>
      <c r="E35" s="263">
        <f t="shared" si="1"/>
        <v>-410000</v>
      </c>
      <c r="F35" s="264">
        <f t="shared" si="2"/>
        <v>59.405940594059402</v>
      </c>
      <c r="G35" s="239">
        <f>'[1]Kiadások részletes COFOG'!F87</f>
        <v>600000</v>
      </c>
    </row>
    <row r="36" spans="1:13" ht="18" customHeight="1" x14ac:dyDescent="0.2">
      <c r="A36" s="173" t="s">
        <v>570</v>
      </c>
      <c r="B36" s="168" t="s">
        <v>571</v>
      </c>
      <c r="C36" s="238">
        <v>0</v>
      </c>
      <c r="D36" s="238">
        <v>0</v>
      </c>
      <c r="E36" s="263">
        <f t="shared" si="1"/>
        <v>0</v>
      </c>
      <c r="F36" s="264"/>
      <c r="G36" s="239">
        <f>'[1]Kiadások részletes COFOG'!F88</f>
        <v>0</v>
      </c>
    </row>
    <row r="37" spans="1:13" ht="24" customHeight="1" x14ac:dyDescent="0.2">
      <c r="A37" s="173" t="s">
        <v>572</v>
      </c>
      <c r="B37" s="168" t="s">
        <v>573</v>
      </c>
      <c r="C37" s="238">
        <v>0</v>
      </c>
      <c r="D37" s="238">
        <v>0</v>
      </c>
      <c r="E37" s="263">
        <f t="shared" si="1"/>
        <v>0</v>
      </c>
      <c r="F37" s="264"/>
      <c r="G37" s="239">
        <v>0</v>
      </c>
    </row>
    <row r="38" spans="1:13" ht="31.5" customHeight="1" x14ac:dyDescent="0.2">
      <c r="A38" s="173" t="s">
        <v>574</v>
      </c>
      <c r="B38" s="168" t="s">
        <v>575</v>
      </c>
      <c r="C38" s="238">
        <v>0</v>
      </c>
      <c r="D38" s="238"/>
      <c r="E38" s="263">
        <f t="shared" si="1"/>
        <v>0</v>
      </c>
      <c r="F38" s="264"/>
      <c r="G38" s="239"/>
    </row>
    <row r="39" spans="1:13" ht="31.5" x14ac:dyDescent="0.2">
      <c r="A39" s="172" t="s">
        <v>576</v>
      </c>
      <c r="B39" s="168" t="s">
        <v>577</v>
      </c>
      <c r="C39" s="238">
        <v>0</v>
      </c>
      <c r="D39" s="238"/>
      <c r="E39" s="263">
        <f t="shared" si="1"/>
        <v>0</v>
      </c>
      <c r="F39" s="264"/>
      <c r="G39" s="239"/>
    </row>
    <row r="40" spans="1:13" ht="15" customHeight="1" x14ac:dyDescent="0.2">
      <c r="A40" s="980" t="s">
        <v>578</v>
      </c>
      <c r="B40" s="168" t="s">
        <v>84</v>
      </c>
      <c r="C40" s="238">
        <v>6504007</v>
      </c>
      <c r="D40" s="238">
        <v>20110007</v>
      </c>
      <c r="E40" s="263">
        <f t="shared" si="1"/>
        <v>-12111887</v>
      </c>
      <c r="F40" s="264">
        <f t="shared" si="2"/>
        <v>39.771840954605338</v>
      </c>
      <c r="G40" s="239">
        <f>'[1]Kiadások részletes COFOG'!F94</f>
        <v>7998120</v>
      </c>
    </row>
    <row r="41" spans="1:13" ht="15" customHeight="1" x14ac:dyDescent="0.2">
      <c r="A41" s="980"/>
      <c r="B41" s="168" t="s">
        <v>579</v>
      </c>
      <c r="C41" s="238">
        <v>107617000</v>
      </c>
      <c r="D41" s="238">
        <v>9078553</v>
      </c>
      <c r="E41" s="263">
        <f t="shared" si="1"/>
        <v>16206717</v>
      </c>
      <c r="F41" s="264">
        <f t="shared" si="2"/>
        <v>278.51652130025565</v>
      </c>
      <c r="G41" s="239">
        <f>'[1]Kiadások részletes COFOG'!F96</f>
        <v>25285270</v>
      </c>
    </row>
    <row r="42" spans="1:13" ht="15" customHeight="1" x14ac:dyDescent="0.2">
      <c r="A42" s="980"/>
      <c r="B42" s="168" t="s">
        <v>580</v>
      </c>
      <c r="C42" s="238">
        <v>0</v>
      </c>
      <c r="D42" s="238">
        <v>0</v>
      </c>
      <c r="E42" s="263">
        <f t="shared" si="1"/>
        <v>0</v>
      </c>
      <c r="F42" s="264"/>
      <c r="G42" s="239">
        <f>'[1]Kiadások részletes COFOG'!F98</f>
        <v>0</v>
      </c>
      <c r="H42" s="269"/>
    </row>
    <row r="43" spans="1:13" ht="15" customHeight="1" x14ac:dyDescent="0.2">
      <c r="A43" s="173" t="s">
        <v>581</v>
      </c>
      <c r="B43" s="168" t="s">
        <v>582</v>
      </c>
      <c r="C43" s="238">
        <v>0</v>
      </c>
      <c r="D43" s="238">
        <v>2363000</v>
      </c>
      <c r="E43" s="263">
        <f t="shared" si="1"/>
        <v>0</v>
      </c>
      <c r="F43" s="264">
        <f t="shared" si="2"/>
        <v>100</v>
      </c>
      <c r="G43" s="239">
        <f>'[1]Kiadások részletes COFOG'!F100</f>
        <v>2363000</v>
      </c>
      <c r="I43" s="270"/>
    </row>
    <row r="44" spans="1:13" ht="16.5" customHeight="1" x14ac:dyDescent="0.2">
      <c r="A44" s="173" t="s">
        <v>583</v>
      </c>
      <c r="B44" s="168" t="s">
        <v>584</v>
      </c>
      <c r="C44" s="238">
        <v>0</v>
      </c>
      <c r="D44" s="238">
        <v>389500</v>
      </c>
      <c r="E44" s="263">
        <f t="shared" si="1"/>
        <v>0</v>
      </c>
      <c r="F44" s="264">
        <f t="shared" si="2"/>
        <v>100</v>
      </c>
      <c r="G44" s="239">
        <f>'[1]Kiadások részletes COFOG'!F101</f>
        <v>389500</v>
      </c>
    </row>
    <row r="45" spans="1:13" ht="15.75" customHeight="1" x14ac:dyDescent="0.2">
      <c r="A45" s="173" t="s">
        <v>585</v>
      </c>
      <c r="B45" s="168" t="s">
        <v>586</v>
      </c>
      <c r="C45" s="238">
        <v>0</v>
      </c>
      <c r="D45" s="238">
        <v>203000</v>
      </c>
      <c r="E45" s="263">
        <f t="shared" si="1"/>
        <v>60000</v>
      </c>
      <c r="F45" s="264">
        <f t="shared" si="2"/>
        <v>129.55665024630542</v>
      </c>
      <c r="G45" s="239">
        <f>'[1]Kiadások részletes COFOG'!F102</f>
        <v>263000</v>
      </c>
    </row>
    <row r="46" spans="1:13" ht="21" x14ac:dyDescent="0.2">
      <c r="A46" s="173" t="s">
        <v>587</v>
      </c>
      <c r="B46" s="168" t="s">
        <v>588</v>
      </c>
      <c r="C46" s="238">
        <v>0</v>
      </c>
      <c r="D46" s="238">
        <v>800000</v>
      </c>
      <c r="E46" s="263">
        <f t="shared" si="1"/>
        <v>-60000</v>
      </c>
      <c r="F46" s="264">
        <f t="shared" si="2"/>
        <v>92.5</v>
      </c>
      <c r="G46" s="239">
        <f>'[1]Kiadások részletes COFOG'!F103</f>
        <v>740000</v>
      </c>
    </row>
    <row r="47" spans="1:13" ht="15" customHeight="1" x14ac:dyDescent="0.2">
      <c r="A47" s="173" t="s">
        <v>589</v>
      </c>
      <c r="B47" s="168" t="s">
        <v>590</v>
      </c>
      <c r="C47" s="238">
        <v>0</v>
      </c>
      <c r="D47" s="238">
        <v>0</v>
      </c>
      <c r="E47" s="263">
        <f>G47-D47</f>
        <v>0</v>
      </c>
      <c r="F47" s="264"/>
      <c r="G47" s="239">
        <f>'[1]Kiadások részletes COFOG'!F106</f>
        <v>0</v>
      </c>
    </row>
    <row r="48" spans="1:13" ht="21" x14ac:dyDescent="0.2">
      <c r="A48" s="175" t="s">
        <v>591</v>
      </c>
      <c r="B48" s="271" t="s">
        <v>592</v>
      </c>
      <c r="C48" s="779">
        <v>0</v>
      </c>
      <c r="D48" s="244">
        <v>0</v>
      </c>
      <c r="E48" s="263">
        <f t="shared" si="1"/>
        <v>0</v>
      </c>
      <c r="F48" s="264"/>
      <c r="G48" s="249">
        <f>'[1]Kiadások részletes COFOG'!F107</f>
        <v>0</v>
      </c>
    </row>
    <row r="49" spans="1:10" ht="22.5" customHeight="1" thickBot="1" x14ac:dyDescent="0.25">
      <c r="A49" s="175" t="s">
        <v>593</v>
      </c>
      <c r="B49" s="185" t="s">
        <v>594</v>
      </c>
      <c r="C49" s="244">
        <v>0</v>
      </c>
      <c r="D49" s="244">
        <v>0</v>
      </c>
      <c r="E49" s="263">
        <f t="shared" si="1"/>
        <v>0</v>
      </c>
      <c r="F49" s="264"/>
      <c r="G49" s="249">
        <v>0</v>
      </c>
    </row>
    <row r="50" spans="1:10" ht="23.25" customHeight="1" thickBot="1" x14ac:dyDescent="0.25">
      <c r="A50" s="939" t="s">
        <v>595</v>
      </c>
      <c r="B50" s="939"/>
      <c r="C50" s="188">
        <f>SUM(C10:C49)</f>
        <v>152647146</v>
      </c>
      <c r="D50" s="188">
        <f>SUM(D10:D49)</f>
        <v>84039342</v>
      </c>
      <c r="E50" s="188">
        <f>SUM(E10:E49)</f>
        <v>5504406</v>
      </c>
      <c r="F50" s="189">
        <f>G50/D50*100</f>
        <v>106.5497966416729</v>
      </c>
      <c r="G50" s="748">
        <f>SUM(G10:G49)</f>
        <v>89543748</v>
      </c>
    </row>
    <row r="51" spans="1:10" ht="26.25" customHeight="1" thickBot="1" x14ac:dyDescent="0.25">
      <c r="A51" s="953" t="s">
        <v>596</v>
      </c>
      <c r="B51" s="953"/>
      <c r="C51" s="953"/>
      <c r="D51" s="953"/>
      <c r="E51" s="953"/>
      <c r="F51" s="953"/>
      <c r="G51" s="953"/>
    </row>
    <row r="52" spans="1:10" ht="21.75" customHeight="1" x14ac:dyDescent="0.2">
      <c r="A52" s="976" t="s">
        <v>398</v>
      </c>
      <c r="B52" s="978" t="s">
        <v>399</v>
      </c>
      <c r="C52" s="966">
        <v>2019</v>
      </c>
      <c r="D52" s="967"/>
      <c r="E52" s="967"/>
      <c r="F52" s="967"/>
      <c r="G52" s="968"/>
    </row>
    <row r="53" spans="1:10" ht="24.75" customHeight="1" thickBot="1" x14ac:dyDescent="0.25">
      <c r="A53" s="976"/>
      <c r="B53" s="978"/>
      <c r="C53" s="260" t="s">
        <v>401</v>
      </c>
      <c r="D53" s="778" t="s">
        <v>517</v>
      </c>
      <c r="E53" s="260" t="s">
        <v>402</v>
      </c>
      <c r="F53" s="260" t="s">
        <v>403</v>
      </c>
      <c r="G53" s="261" t="s">
        <v>770</v>
      </c>
    </row>
    <row r="54" spans="1:10" ht="15.95" customHeight="1" x14ac:dyDescent="0.2">
      <c r="A54" s="173" t="s">
        <v>538</v>
      </c>
      <c r="B54" s="168" t="s">
        <v>539</v>
      </c>
      <c r="C54" s="290">
        <v>0</v>
      </c>
      <c r="D54" s="238">
        <v>0</v>
      </c>
      <c r="E54" s="238">
        <f>G54-D54</f>
        <v>0</v>
      </c>
      <c r="F54" s="248"/>
      <c r="G54" s="239">
        <f>'[1]Kiadások részletes COFOG'!F112</f>
        <v>0</v>
      </c>
    </row>
    <row r="55" spans="1:10" ht="15.95" customHeight="1" x14ac:dyDescent="0.2">
      <c r="A55" s="173" t="s">
        <v>544</v>
      </c>
      <c r="B55" s="168" t="s">
        <v>545</v>
      </c>
      <c r="C55" s="290">
        <v>0</v>
      </c>
      <c r="D55" s="238"/>
      <c r="E55" s="238">
        <f t="shared" ref="E55:E64" si="3">G55-D55</f>
        <v>0</v>
      </c>
      <c r="F55" s="248"/>
      <c r="G55" s="239"/>
    </row>
    <row r="56" spans="1:10" ht="15.95" customHeight="1" x14ac:dyDescent="0.2">
      <c r="A56" s="173" t="s">
        <v>597</v>
      </c>
      <c r="B56" s="168" t="s">
        <v>598</v>
      </c>
      <c r="C56" s="290">
        <v>0</v>
      </c>
      <c r="D56" s="238">
        <v>0</v>
      </c>
      <c r="E56" s="238">
        <f t="shared" si="3"/>
        <v>0</v>
      </c>
      <c r="F56" s="248"/>
      <c r="G56" s="239">
        <f>'[1]Kiadások részletes COFOG'!F114</f>
        <v>0</v>
      </c>
      <c r="J56" s="180"/>
    </row>
    <row r="57" spans="1:10" ht="15.95" customHeight="1" x14ac:dyDescent="0.2">
      <c r="A57" s="173" t="s">
        <v>552</v>
      </c>
      <c r="B57" s="168" t="s">
        <v>553</v>
      </c>
      <c r="C57" s="290">
        <v>0</v>
      </c>
      <c r="D57" s="238">
        <v>0</v>
      </c>
      <c r="E57" s="238">
        <f t="shared" si="3"/>
        <v>0</v>
      </c>
      <c r="F57" s="248"/>
      <c r="G57" s="239">
        <f>'[1]Kiadások részletes COFOG'!F117</f>
        <v>0</v>
      </c>
    </row>
    <row r="58" spans="1:10" ht="15.95" customHeight="1" x14ac:dyDescent="0.2">
      <c r="A58" s="173" t="s">
        <v>558</v>
      </c>
      <c r="B58" s="168" t="s">
        <v>559</v>
      </c>
      <c r="C58" s="290">
        <v>566929</v>
      </c>
      <c r="D58" s="238">
        <v>566929</v>
      </c>
      <c r="E58" s="238">
        <f t="shared" si="3"/>
        <v>0</v>
      </c>
      <c r="F58" s="248">
        <f t="shared" ref="F58:F60" si="4">G58/D58*100</f>
        <v>100</v>
      </c>
      <c r="G58" s="239">
        <f>'[1]Kiadások részletes COFOG'!F119</f>
        <v>566929</v>
      </c>
    </row>
    <row r="59" spans="1:10" ht="15.95" customHeight="1" x14ac:dyDescent="0.2">
      <c r="A59" s="173" t="s">
        <v>599</v>
      </c>
      <c r="B59" s="168" t="s">
        <v>600</v>
      </c>
      <c r="C59" s="290">
        <v>0</v>
      </c>
      <c r="D59" s="238"/>
      <c r="E59" s="238">
        <f t="shared" si="3"/>
        <v>0</v>
      </c>
      <c r="F59" s="248"/>
      <c r="G59" s="239"/>
    </row>
    <row r="60" spans="1:10" ht="20.25" customHeight="1" x14ac:dyDescent="0.2">
      <c r="A60" s="173" t="s">
        <v>562</v>
      </c>
      <c r="B60" s="168" t="s">
        <v>563</v>
      </c>
      <c r="C60" s="290">
        <v>153071</v>
      </c>
      <c r="D60" s="238">
        <v>153071</v>
      </c>
      <c r="E60" s="238">
        <f t="shared" si="3"/>
        <v>0</v>
      </c>
      <c r="F60" s="248">
        <f t="shared" si="4"/>
        <v>100</v>
      </c>
      <c r="G60" s="239">
        <f>'[1]Kiadások részletes COFOG'!F120</f>
        <v>153071</v>
      </c>
    </row>
    <row r="61" spans="1:10" ht="15.75" customHeight="1" x14ac:dyDescent="0.2">
      <c r="A61" s="172" t="s">
        <v>585</v>
      </c>
      <c r="B61" s="168" t="s">
        <v>601</v>
      </c>
      <c r="C61" s="290">
        <v>0</v>
      </c>
      <c r="D61" s="238"/>
      <c r="E61" s="238">
        <f t="shared" si="3"/>
        <v>0</v>
      </c>
      <c r="F61" s="248"/>
      <c r="G61" s="239"/>
    </row>
    <row r="62" spans="1:10" ht="21.75" customHeight="1" x14ac:dyDescent="0.2">
      <c r="A62" s="175" t="s">
        <v>587</v>
      </c>
      <c r="B62" s="185" t="s">
        <v>588</v>
      </c>
      <c r="C62" s="747">
        <v>0</v>
      </c>
      <c r="D62" s="244"/>
      <c r="E62" s="238">
        <f t="shared" si="3"/>
        <v>0</v>
      </c>
      <c r="F62" s="248"/>
      <c r="G62" s="249"/>
    </row>
    <row r="63" spans="1:10" ht="15" customHeight="1" x14ac:dyDescent="0.2">
      <c r="A63" s="172" t="s">
        <v>589</v>
      </c>
      <c r="B63" s="168" t="s">
        <v>602</v>
      </c>
      <c r="C63" s="290">
        <v>0</v>
      </c>
      <c r="D63" s="238">
        <v>0</v>
      </c>
      <c r="E63" s="238">
        <f t="shared" si="3"/>
        <v>0</v>
      </c>
      <c r="F63" s="248"/>
      <c r="G63" s="239">
        <f>'[1]Kiadások részletes COFOG'!F123</f>
        <v>0</v>
      </c>
    </row>
    <row r="64" spans="1:10" ht="22.5" customHeight="1" thickBot="1" x14ac:dyDescent="0.25">
      <c r="A64" s="175" t="s">
        <v>591</v>
      </c>
      <c r="B64" s="185" t="s">
        <v>592</v>
      </c>
      <c r="C64" s="747">
        <v>0</v>
      </c>
      <c r="D64" s="244">
        <v>0</v>
      </c>
      <c r="E64" s="238">
        <f t="shared" si="3"/>
        <v>0</v>
      </c>
      <c r="F64" s="248"/>
      <c r="G64" s="249">
        <f>'[1]Kiadások részletes COFOG'!F124</f>
        <v>0</v>
      </c>
    </row>
    <row r="65" spans="1:11" ht="27" customHeight="1" thickBot="1" x14ac:dyDescent="0.25">
      <c r="A65" s="939" t="s">
        <v>595</v>
      </c>
      <c r="B65" s="939"/>
      <c r="C65" s="770">
        <v>720000</v>
      </c>
      <c r="D65" s="188">
        <v>720000</v>
      </c>
      <c r="E65" s="188">
        <f>SUM(E54:E64)</f>
        <v>0</v>
      </c>
      <c r="F65" s="189">
        <f>G65/D65*100</f>
        <v>100</v>
      </c>
      <c r="G65" s="748">
        <f>SUM(G54:G64)</f>
        <v>720000</v>
      </c>
    </row>
    <row r="66" spans="1:11" ht="26.25" customHeight="1" thickBot="1" x14ac:dyDescent="0.25">
      <c r="A66" s="953" t="s">
        <v>444</v>
      </c>
      <c r="B66" s="953"/>
      <c r="C66" s="953"/>
      <c r="D66" s="953"/>
      <c r="E66" s="953"/>
      <c r="F66" s="953"/>
      <c r="G66" s="953"/>
    </row>
    <row r="67" spans="1:11" ht="17.25" customHeight="1" thickBot="1" x14ac:dyDescent="0.25">
      <c r="A67" s="964" t="s">
        <v>398</v>
      </c>
      <c r="B67" s="965" t="s">
        <v>399</v>
      </c>
      <c r="C67" s="966">
        <v>2019</v>
      </c>
      <c r="D67" s="967"/>
      <c r="E67" s="967"/>
      <c r="F67" s="967"/>
      <c r="G67" s="968"/>
    </row>
    <row r="68" spans="1:11" ht="25.5" customHeight="1" thickBot="1" x14ac:dyDescent="0.25">
      <c r="A68" s="964"/>
      <c r="B68" s="965"/>
      <c r="C68" s="260" t="s">
        <v>401</v>
      </c>
      <c r="D68" s="778" t="s">
        <v>517</v>
      </c>
      <c r="E68" s="260" t="s">
        <v>402</v>
      </c>
      <c r="F68" s="260" t="s">
        <v>403</v>
      </c>
      <c r="G68" s="261" t="s">
        <v>770</v>
      </c>
    </row>
    <row r="69" spans="1:11" ht="15" customHeight="1" x14ac:dyDescent="0.2">
      <c r="A69" s="173" t="s">
        <v>538</v>
      </c>
      <c r="B69" s="168" t="s">
        <v>539</v>
      </c>
      <c r="C69" s="290">
        <v>0</v>
      </c>
      <c r="D69" s="238">
        <v>0</v>
      </c>
      <c r="E69" s="238">
        <f>G69-D69</f>
        <v>0</v>
      </c>
      <c r="F69" s="248"/>
      <c r="G69" s="239">
        <f>'[1]Kiadások részletes COFOG'!F129</f>
        <v>0</v>
      </c>
    </row>
    <row r="70" spans="1:11" ht="15" customHeight="1" x14ac:dyDescent="0.2">
      <c r="A70" s="173" t="s">
        <v>544</v>
      </c>
      <c r="B70" s="168" t="s">
        <v>603</v>
      </c>
      <c r="C70" s="290">
        <v>300000</v>
      </c>
      <c r="D70" s="238">
        <v>300000</v>
      </c>
      <c r="E70" s="238">
        <f t="shared" ref="E70:E75" si="5">G70-D70</f>
        <v>0</v>
      </c>
      <c r="F70" s="238"/>
      <c r="G70" s="239">
        <f>'[1]Kiadások részletes COFOG'!F130</f>
        <v>300000</v>
      </c>
    </row>
    <row r="71" spans="1:11" ht="15" customHeight="1" x14ac:dyDescent="0.2">
      <c r="A71" s="173" t="s">
        <v>546</v>
      </c>
      <c r="B71" s="168" t="s">
        <v>604</v>
      </c>
      <c r="C71" s="290">
        <v>950000</v>
      </c>
      <c r="D71" s="238">
        <v>950000</v>
      </c>
      <c r="E71" s="238">
        <f t="shared" si="5"/>
        <v>0</v>
      </c>
      <c r="F71" s="238"/>
      <c r="G71" s="239">
        <f>'[1]Kiadások részletes COFOG'!F131</f>
        <v>950000</v>
      </c>
    </row>
    <row r="72" spans="1:11" ht="15" customHeight="1" x14ac:dyDescent="0.2">
      <c r="A72" s="173" t="s">
        <v>597</v>
      </c>
      <c r="B72" s="168" t="s">
        <v>605</v>
      </c>
      <c r="C72" s="290">
        <v>150000</v>
      </c>
      <c r="D72" s="238">
        <v>150000</v>
      </c>
      <c r="E72" s="238">
        <f t="shared" si="5"/>
        <v>0</v>
      </c>
      <c r="F72" s="238"/>
      <c r="G72" s="239">
        <f>'[1]Kiadások részletes COFOG'!F132</f>
        <v>150000</v>
      </c>
    </row>
    <row r="73" spans="1:11" ht="15" customHeight="1" x14ac:dyDescent="0.2">
      <c r="A73" s="173" t="s">
        <v>552</v>
      </c>
      <c r="B73" s="168" t="s">
        <v>606</v>
      </c>
      <c r="C73" s="290">
        <v>600000</v>
      </c>
      <c r="D73" s="238">
        <v>450000</v>
      </c>
      <c r="E73" s="238">
        <f t="shared" si="5"/>
        <v>0</v>
      </c>
      <c r="F73" s="248">
        <f>G73/D73*100</f>
        <v>100</v>
      </c>
      <c r="G73" s="239">
        <f>'[1]Kiadások részletes COFOG'!F133</f>
        <v>450000</v>
      </c>
    </row>
    <row r="74" spans="1:11" ht="15" customHeight="1" x14ac:dyDescent="0.2">
      <c r="A74" s="176" t="s">
        <v>558</v>
      </c>
      <c r="B74" s="185" t="s">
        <v>607</v>
      </c>
      <c r="C74" s="747">
        <v>0</v>
      </c>
      <c r="D74" s="244">
        <v>150000</v>
      </c>
      <c r="E74" s="238">
        <f t="shared" si="5"/>
        <v>0</v>
      </c>
      <c r="F74" s="248"/>
      <c r="G74" s="249">
        <f>'[1]Kiadások részletes COFOG'!F134</f>
        <v>150000</v>
      </c>
    </row>
    <row r="75" spans="1:11" ht="20.25" customHeight="1" thickBot="1" x14ac:dyDescent="0.25">
      <c r="A75" s="176" t="s">
        <v>562</v>
      </c>
      <c r="B75" s="185" t="s">
        <v>563</v>
      </c>
      <c r="C75" s="747">
        <v>540000</v>
      </c>
      <c r="D75" s="244">
        <v>540000</v>
      </c>
      <c r="E75" s="238">
        <f t="shared" si="5"/>
        <v>0</v>
      </c>
      <c r="F75" s="248">
        <f t="shared" ref="F75" si="6">G75/D75*100</f>
        <v>100</v>
      </c>
      <c r="G75" s="249">
        <f>'[1]Kiadások részletes COFOG'!F135</f>
        <v>540000</v>
      </c>
      <c r="J75" s="971"/>
      <c r="K75" s="971"/>
    </row>
    <row r="76" spans="1:11" ht="19.5" customHeight="1" thickBot="1" x14ac:dyDescent="0.25">
      <c r="A76" s="939" t="s">
        <v>595</v>
      </c>
      <c r="B76" s="939"/>
      <c r="C76" s="770">
        <v>2540000</v>
      </c>
      <c r="D76" s="188">
        <v>2540000</v>
      </c>
      <c r="E76" s="188">
        <f>SUM(E69:E75)</f>
        <v>0</v>
      </c>
      <c r="F76" s="189">
        <f>G76/D76*100</f>
        <v>100</v>
      </c>
      <c r="G76" s="748">
        <f>SUM(G69:G75)</f>
        <v>2540000</v>
      </c>
    </row>
    <row r="77" spans="1:11" ht="24" customHeight="1" thickBot="1" x14ac:dyDescent="0.25">
      <c r="A77" s="953" t="s">
        <v>608</v>
      </c>
      <c r="B77" s="953"/>
      <c r="C77" s="953"/>
      <c r="D77" s="953"/>
      <c r="E77" s="953"/>
      <c r="F77" s="953"/>
      <c r="G77" s="953"/>
    </row>
    <row r="78" spans="1:11" ht="22.5" customHeight="1" thickBot="1" x14ac:dyDescent="0.25">
      <c r="A78" s="964" t="s">
        <v>398</v>
      </c>
      <c r="B78" s="965" t="s">
        <v>399</v>
      </c>
      <c r="C78" s="966">
        <v>2019</v>
      </c>
      <c r="D78" s="967"/>
      <c r="E78" s="967"/>
      <c r="F78" s="967"/>
      <c r="G78" s="968"/>
    </row>
    <row r="79" spans="1:11" ht="22.5" customHeight="1" thickBot="1" x14ac:dyDescent="0.25">
      <c r="A79" s="964"/>
      <c r="B79" s="965"/>
      <c r="C79" s="260" t="s">
        <v>401</v>
      </c>
      <c r="D79" s="778" t="s">
        <v>517</v>
      </c>
      <c r="E79" s="260" t="s">
        <v>402</v>
      </c>
      <c r="F79" s="260" t="s">
        <v>403</v>
      </c>
      <c r="G79" s="261" t="s">
        <v>770</v>
      </c>
    </row>
    <row r="80" spans="1:11" ht="15.95" customHeight="1" x14ac:dyDescent="0.2">
      <c r="A80" s="173" t="s">
        <v>609</v>
      </c>
      <c r="B80" s="168" t="s">
        <v>610</v>
      </c>
      <c r="C80" s="290">
        <v>0</v>
      </c>
      <c r="D80" s="238">
        <v>0</v>
      </c>
      <c r="E80" s="238">
        <f>G80-D80</f>
        <v>300000</v>
      </c>
      <c r="F80" s="248"/>
      <c r="G80" s="239">
        <f>'[1]Kiadások részletes COFOG'!F140</f>
        <v>300000</v>
      </c>
    </row>
    <row r="81" spans="1:7" ht="15.95" customHeight="1" x14ac:dyDescent="0.2">
      <c r="A81" s="173" t="s">
        <v>538</v>
      </c>
      <c r="B81" s="168" t="s">
        <v>539</v>
      </c>
      <c r="C81" s="290">
        <v>300000</v>
      </c>
      <c r="D81" s="238">
        <v>590000</v>
      </c>
      <c r="E81" s="238">
        <f t="shared" ref="E81:E85" si="7">G81-D81</f>
        <v>270000</v>
      </c>
      <c r="F81" s="248">
        <f t="shared" ref="F81:F85" si="8">G81/D81*100</f>
        <v>145.76271186440678</v>
      </c>
      <c r="G81" s="239">
        <f>'[1]Kiadások részletes COFOG'!F144</f>
        <v>860000</v>
      </c>
    </row>
    <row r="82" spans="1:7" ht="15.95" customHeight="1" x14ac:dyDescent="0.2">
      <c r="A82" s="172" t="s">
        <v>611</v>
      </c>
      <c r="B82" s="168" t="s">
        <v>612</v>
      </c>
      <c r="C82" s="290">
        <v>270000</v>
      </c>
      <c r="D82" s="238">
        <v>0</v>
      </c>
      <c r="E82" s="238">
        <f t="shared" si="7"/>
        <v>0</v>
      </c>
      <c r="F82" s="248"/>
      <c r="G82" s="239">
        <v>0</v>
      </c>
    </row>
    <row r="83" spans="1:7" ht="15.95" customHeight="1" x14ac:dyDescent="0.2">
      <c r="A83" s="172" t="s">
        <v>558</v>
      </c>
      <c r="B83" s="168" t="s">
        <v>559</v>
      </c>
      <c r="C83" s="290">
        <v>1000000</v>
      </c>
      <c r="D83" s="238">
        <v>574000</v>
      </c>
      <c r="E83" s="238">
        <f t="shared" si="7"/>
        <v>30000</v>
      </c>
      <c r="F83" s="248">
        <f t="shared" si="8"/>
        <v>105.22648083623693</v>
      </c>
      <c r="G83" s="239">
        <f>'[1]Kiadások részletes COFOG'!F146</f>
        <v>604000</v>
      </c>
    </row>
    <row r="84" spans="1:7" ht="15.95" customHeight="1" x14ac:dyDescent="0.2">
      <c r="A84" s="172" t="s">
        <v>613</v>
      </c>
      <c r="B84" s="168" t="s">
        <v>614</v>
      </c>
      <c r="C84" s="290">
        <v>0</v>
      </c>
      <c r="D84" s="238">
        <v>506000</v>
      </c>
      <c r="E84" s="238">
        <f t="shared" si="7"/>
        <v>0</v>
      </c>
      <c r="F84" s="248">
        <f t="shared" si="8"/>
        <v>100</v>
      </c>
      <c r="G84" s="239">
        <f>'[1]Kiadások részletes COFOG'!F147</f>
        <v>506000</v>
      </c>
    </row>
    <row r="85" spans="1:7" ht="23.25" customHeight="1" thickBot="1" x14ac:dyDescent="0.25">
      <c r="A85" s="175" t="s">
        <v>562</v>
      </c>
      <c r="B85" s="185" t="s">
        <v>563</v>
      </c>
      <c r="C85" s="747">
        <v>430000</v>
      </c>
      <c r="D85" s="244">
        <v>430000</v>
      </c>
      <c r="E85" s="238">
        <f t="shared" si="7"/>
        <v>0</v>
      </c>
      <c r="F85" s="248">
        <f t="shared" si="8"/>
        <v>100</v>
      </c>
      <c r="G85" s="249">
        <f>'[1]Kiadások részletes COFOG'!F148</f>
        <v>430000</v>
      </c>
    </row>
    <row r="86" spans="1:7" ht="19.5" customHeight="1" thickBot="1" x14ac:dyDescent="0.25">
      <c r="A86" s="939" t="s">
        <v>595</v>
      </c>
      <c r="B86" s="939"/>
      <c r="C86" s="770">
        <v>2000000</v>
      </c>
      <c r="D86" s="188">
        <v>2100000</v>
      </c>
      <c r="E86" s="188">
        <f>SUM(E80:E85)</f>
        <v>600000</v>
      </c>
      <c r="F86" s="189">
        <f>G86/D86*100</f>
        <v>128.57142857142858</v>
      </c>
      <c r="G86" s="748">
        <f>SUM(G80:G85)</f>
        <v>2700000</v>
      </c>
    </row>
    <row r="87" spans="1:7" ht="25.5" customHeight="1" thickBot="1" x14ac:dyDescent="0.25">
      <c r="A87" s="972" t="s">
        <v>445</v>
      </c>
      <c r="B87" s="973"/>
      <c r="C87" s="973"/>
      <c r="D87" s="973"/>
      <c r="E87" s="973"/>
      <c r="F87" s="973"/>
      <c r="G87" s="974"/>
    </row>
    <row r="88" spans="1:7" ht="22.5" customHeight="1" thickBot="1" x14ac:dyDescent="0.25">
      <c r="A88" s="964" t="s">
        <v>398</v>
      </c>
      <c r="B88" s="965" t="s">
        <v>399</v>
      </c>
      <c r="C88" s="966">
        <v>2019</v>
      </c>
      <c r="D88" s="967"/>
      <c r="E88" s="967"/>
      <c r="F88" s="967"/>
      <c r="G88" s="968"/>
    </row>
    <row r="89" spans="1:7" ht="24" customHeight="1" thickBot="1" x14ac:dyDescent="0.25">
      <c r="A89" s="964"/>
      <c r="B89" s="965"/>
      <c r="C89" s="260" t="s">
        <v>401</v>
      </c>
      <c r="D89" s="778" t="s">
        <v>517</v>
      </c>
      <c r="E89" s="260" t="s">
        <v>402</v>
      </c>
      <c r="F89" s="260" t="s">
        <v>403</v>
      </c>
      <c r="G89" s="261" t="s">
        <v>770</v>
      </c>
    </row>
    <row r="90" spans="1:7" ht="24" customHeight="1" x14ac:dyDescent="0.2">
      <c r="A90" s="272" t="s">
        <v>572</v>
      </c>
      <c r="B90" s="273" t="s">
        <v>615</v>
      </c>
      <c r="C90" s="302">
        <v>0</v>
      </c>
      <c r="D90" s="274">
        <v>0</v>
      </c>
      <c r="E90" s="274">
        <f>G90-D90</f>
        <v>0</v>
      </c>
      <c r="F90" s="275"/>
      <c r="G90" s="276">
        <f>'[1]Kiadások részletes COFOG'!F153</f>
        <v>0</v>
      </c>
    </row>
    <row r="91" spans="1:7" ht="30" customHeight="1" thickBot="1" x14ac:dyDescent="0.25">
      <c r="A91" s="176" t="s">
        <v>616</v>
      </c>
      <c r="B91" s="185" t="s">
        <v>617</v>
      </c>
      <c r="C91" s="768">
        <v>0</v>
      </c>
      <c r="D91" s="244">
        <v>6042266</v>
      </c>
      <c r="E91" s="274">
        <f>G91-D91</f>
        <v>0</v>
      </c>
      <c r="F91" s="275">
        <f>G91/D91*100</f>
        <v>100</v>
      </c>
      <c r="G91" s="780">
        <f>'[1]Kiadások részletes COFOG'!F155</f>
        <v>6042266</v>
      </c>
    </row>
    <row r="92" spans="1:7" ht="22.5" customHeight="1" thickBot="1" x14ac:dyDescent="0.25">
      <c r="A92" s="939" t="s">
        <v>595</v>
      </c>
      <c r="B92" s="939"/>
      <c r="C92" s="769">
        <v>0</v>
      </c>
      <c r="D92" s="188">
        <v>6042266</v>
      </c>
      <c r="E92" s="188">
        <f>SUM(E90:E91)</f>
        <v>0</v>
      </c>
      <c r="F92" s="189">
        <f>G92/D92*100</f>
        <v>100</v>
      </c>
      <c r="G92" s="748">
        <f>SUM(G90:G91)</f>
        <v>6042266</v>
      </c>
    </row>
    <row r="93" spans="1:7" ht="23.25" customHeight="1" thickBot="1" x14ac:dyDescent="0.25">
      <c r="A93" s="953" t="s">
        <v>478</v>
      </c>
      <c r="B93" s="953"/>
      <c r="C93" s="953"/>
      <c r="D93" s="953"/>
      <c r="E93" s="953"/>
      <c r="F93" s="953"/>
      <c r="G93" s="953"/>
    </row>
    <row r="94" spans="1:7" ht="19.5" customHeight="1" x14ac:dyDescent="0.2">
      <c r="A94" s="976" t="s">
        <v>398</v>
      </c>
      <c r="B94" s="978" t="s">
        <v>399</v>
      </c>
      <c r="C94" s="966">
        <v>2019</v>
      </c>
      <c r="D94" s="967"/>
      <c r="E94" s="967"/>
      <c r="F94" s="967"/>
      <c r="G94" s="968"/>
    </row>
    <row r="95" spans="1:7" ht="22.5" customHeight="1" thickBot="1" x14ac:dyDescent="0.25">
      <c r="A95" s="977"/>
      <c r="B95" s="979"/>
      <c r="C95" s="260" t="s">
        <v>401</v>
      </c>
      <c r="D95" s="778" t="s">
        <v>517</v>
      </c>
      <c r="E95" s="260" t="s">
        <v>402</v>
      </c>
      <c r="F95" s="260" t="s">
        <v>403</v>
      </c>
      <c r="G95" s="261" t="s">
        <v>770</v>
      </c>
    </row>
    <row r="96" spans="1:7" ht="22.5" customHeight="1" x14ac:dyDescent="0.2">
      <c r="A96" s="781" t="s">
        <v>660</v>
      </c>
      <c r="B96" s="782" t="s">
        <v>771</v>
      </c>
      <c r="C96" s="783">
        <v>0</v>
      </c>
      <c r="D96" s="784">
        <v>0</v>
      </c>
      <c r="E96" s="244">
        <f>G96-D96</f>
        <v>7156000</v>
      </c>
      <c r="F96" s="785"/>
      <c r="G96" s="281">
        <f>'[1]Kiadások részletes COFOG'!F160</f>
        <v>7156000</v>
      </c>
    </row>
    <row r="97" spans="1:16" ht="23.25" customHeight="1" thickBot="1" x14ac:dyDescent="0.25">
      <c r="A97" s="176" t="s">
        <v>618</v>
      </c>
      <c r="B97" s="185" t="s">
        <v>619</v>
      </c>
      <c r="C97" s="747">
        <v>141869501</v>
      </c>
      <c r="D97" s="244">
        <v>149377101</v>
      </c>
      <c r="E97" s="244">
        <f>G97-D97</f>
        <v>0</v>
      </c>
      <c r="F97" s="785">
        <f>G97/D97*100</f>
        <v>100</v>
      </c>
      <c r="G97" s="249">
        <f>'[1]Kiadások részletes COFOG'!F169-'[1]Kiadások részletes COFOG'!F160</f>
        <v>149377101</v>
      </c>
      <c r="H97" s="277"/>
      <c r="I97" s="270"/>
      <c r="J97" s="159"/>
      <c r="K97" s="159"/>
      <c r="L97" s="159"/>
      <c r="M97" s="159"/>
      <c r="N97" s="159"/>
      <c r="O97" s="159"/>
      <c r="P97" s="159"/>
    </row>
    <row r="98" spans="1:16" ht="21" customHeight="1" thickBot="1" x14ac:dyDescent="0.25">
      <c r="A98" s="975" t="s">
        <v>595</v>
      </c>
      <c r="B98" s="975"/>
      <c r="C98" s="786">
        <v>141869501</v>
      </c>
      <c r="D98" s="278">
        <v>149377101</v>
      </c>
      <c r="E98" s="278">
        <f>SUM(E96:E97)</f>
        <v>7156000</v>
      </c>
      <c r="F98" s="787">
        <f>G98/D98*100</f>
        <v>104.79056023453019</v>
      </c>
      <c r="G98" s="788">
        <f>SUM(G96:G97)</f>
        <v>156533101</v>
      </c>
      <c r="H98" s="42"/>
    </row>
    <row r="99" spans="1:16" ht="25.5" customHeight="1" thickBot="1" x14ac:dyDescent="0.25">
      <c r="A99" s="953" t="s">
        <v>620</v>
      </c>
      <c r="B99" s="953"/>
      <c r="C99" s="953"/>
      <c r="D99" s="953"/>
      <c r="E99" s="953"/>
      <c r="F99" s="953"/>
      <c r="G99" s="953"/>
    </row>
    <row r="100" spans="1:16" ht="21.75" customHeight="1" x14ac:dyDescent="0.2">
      <c r="A100" s="976" t="s">
        <v>398</v>
      </c>
      <c r="B100" s="978" t="s">
        <v>399</v>
      </c>
      <c r="C100" s="966">
        <v>2019</v>
      </c>
      <c r="D100" s="967"/>
      <c r="E100" s="967"/>
      <c r="F100" s="967"/>
      <c r="G100" s="968"/>
    </row>
    <row r="101" spans="1:16" ht="23.25" customHeight="1" thickBot="1" x14ac:dyDescent="0.25">
      <c r="A101" s="976"/>
      <c r="B101" s="978"/>
      <c r="C101" s="260" t="s">
        <v>401</v>
      </c>
      <c r="D101" s="778" t="s">
        <v>517</v>
      </c>
      <c r="E101" s="260" t="s">
        <v>402</v>
      </c>
      <c r="F101" s="260" t="s">
        <v>403</v>
      </c>
      <c r="G101" s="261" t="s">
        <v>770</v>
      </c>
    </row>
    <row r="102" spans="1:16" ht="15" customHeight="1" x14ac:dyDescent="0.2">
      <c r="A102" s="173" t="s">
        <v>621</v>
      </c>
      <c r="B102" s="168" t="s">
        <v>622</v>
      </c>
      <c r="C102" s="771">
        <v>0</v>
      </c>
      <c r="D102" s="238">
        <v>2670000</v>
      </c>
      <c r="E102" s="238">
        <f>G102-D102</f>
        <v>0</v>
      </c>
      <c r="F102" s="248">
        <f>G102/D102*100</f>
        <v>100</v>
      </c>
      <c r="G102" s="789">
        <f>'[1]Kiadások részletes COFOG'!F173</f>
        <v>2670000</v>
      </c>
    </row>
    <row r="103" spans="1:16" ht="15" customHeight="1" x14ac:dyDescent="0.2">
      <c r="A103" s="172" t="s">
        <v>532</v>
      </c>
      <c r="B103" s="168" t="s">
        <v>533</v>
      </c>
      <c r="C103" s="771">
        <v>0</v>
      </c>
      <c r="D103" s="238">
        <v>261000</v>
      </c>
      <c r="E103" s="238">
        <f t="shared" ref="E103:E107" si="9">G103-D103</f>
        <v>0</v>
      </c>
      <c r="F103" s="248">
        <f t="shared" ref="F103:F107" si="10">G103/D103*100</f>
        <v>100</v>
      </c>
      <c r="G103" s="789">
        <f>'[1]Kiadások részletes COFOG'!F174</f>
        <v>261000</v>
      </c>
    </row>
    <row r="104" spans="1:16" ht="15" customHeight="1" x14ac:dyDescent="0.2">
      <c r="A104" s="172" t="s">
        <v>538</v>
      </c>
      <c r="B104" s="168" t="s">
        <v>539</v>
      </c>
      <c r="C104" s="771">
        <v>0</v>
      </c>
      <c r="D104" s="238">
        <v>165000</v>
      </c>
      <c r="E104" s="238">
        <f t="shared" si="9"/>
        <v>0</v>
      </c>
      <c r="F104" s="248">
        <f t="shared" si="10"/>
        <v>100</v>
      </c>
      <c r="G104" s="789">
        <f>'[1]Kiadások részletes COFOG'!F176</f>
        <v>165000</v>
      </c>
    </row>
    <row r="105" spans="1:16" ht="21.75" customHeight="1" x14ac:dyDescent="0.2">
      <c r="A105" s="172" t="s">
        <v>562</v>
      </c>
      <c r="B105" s="168" t="s">
        <v>563</v>
      </c>
      <c r="C105" s="771">
        <v>0</v>
      </c>
      <c r="D105" s="238">
        <v>44633</v>
      </c>
      <c r="E105" s="238">
        <f t="shared" si="9"/>
        <v>0</v>
      </c>
      <c r="F105" s="248">
        <f t="shared" si="10"/>
        <v>100</v>
      </c>
      <c r="G105" s="789">
        <f>'[1]Kiadások részletes COFOG'!F177</f>
        <v>44633</v>
      </c>
    </row>
    <row r="106" spans="1:16" ht="21.75" customHeight="1" x14ac:dyDescent="0.2">
      <c r="A106" s="172" t="s">
        <v>585</v>
      </c>
      <c r="B106" s="168" t="s">
        <v>586</v>
      </c>
      <c r="C106" s="771">
        <v>0</v>
      </c>
      <c r="D106" s="238">
        <v>133000</v>
      </c>
      <c r="E106" s="238">
        <f t="shared" si="9"/>
        <v>0</v>
      </c>
      <c r="F106" s="248">
        <f t="shared" si="10"/>
        <v>100</v>
      </c>
      <c r="G106" s="789">
        <f>'[1]Kiadások részletes COFOG'!F178</f>
        <v>133000</v>
      </c>
    </row>
    <row r="107" spans="1:16" ht="22.5" customHeight="1" thickBot="1" x14ac:dyDescent="0.25">
      <c r="A107" s="175" t="s">
        <v>587</v>
      </c>
      <c r="B107" s="185" t="s">
        <v>588</v>
      </c>
      <c r="C107" s="768">
        <v>0</v>
      </c>
      <c r="D107" s="244">
        <v>36000</v>
      </c>
      <c r="E107" s="238">
        <f t="shared" si="9"/>
        <v>0</v>
      </c>
      <c r="F107" s="248">
        <f t="shared" si="10"/>
        <v>100</v>
      </c>
      <c r="G107" s="790">
        <f>'[1]Kiadások részletes COFOG'!F179</f>
        <v>36000</v>
      </c>
    </row>
    <row r="108" spans="1:16" ht="20.25" customHeight="1" thickBot="1" x14ac:dyDescent="0.25">
      <c r="A108" s="955" t="s">
        <v>595</v>
      </c>
      <c r="B108" s="955"/>
      <c r="C108" s="791">
        <v>0</v>
      </c>
      <c r="D108" s="246">
        <v>3309633</v>
      </c>
      <c r="E108" s="246">
        <f>SUM(E102:E107)</f>
        <v>0</v>
      </c>
      <c r="F108" s="247">
        <f>G108/D108*100</f>
        <v>100</v>
      </c>
      <c r="G108" s="250">
        <f>SUM(G102:G107)</f>
        <v>3309633</v>
      </c>
    </row>
    <row r="109" spans="1:16" ht="20.25" customHeight="1" thickBot="1" x14ac:dyDescent="0.25">
      <c r="A109" s="953" t="s">
        <v>483</v>
      </c>
      <c r="B109" s="953"/>
      <c r="C109" s="953"/>
      <c r="D109" s="953"/>
      <c r="E109" s="953"/>
      <c r="F109" s="953"/>
      <c r="G109" s="953"/>
    </row>
    <row r="110" spans="1:16" ht="20.25" customHeight="1" x14ac:dyDescent="0.2">
      <c r="A110" s="976" t="s">
        <v>398</v>
      </c>
      <c r="B110" s="978" t="s">
        <v>399</v>
      </c>
      <c r="C110" s="966">
        <v>2019</v>
      </c>
      <c r="D110" s="967"/>
      <c r="E110" s="967"/>
      <c r="F110" s="967"/>
      <c r="G110" s="968"/>
    </row>
    <row r="111" spans="1:16" ht="20.25" customHeight="1" thickBot="1" x14ac:dyDescent="0.25">
      <c r="A111" s="976"/>
      <c r="B111" s="978"/>
      <c r="C111" s="260" t="s">
        <v>401</v>
      </c>
      <c r="D111" s="778" t="s">
        <v>517</v>
      </c>
      <c r="E111" s="260" t="s">
        <v>402</v>
      </c>
      <c r="F111" s="260" t="s">
        <v>403</v>
      </c>
      <c r="G111" s="261" t="s">
        <v>770</v>
      </c>
    </row>
    <row r="112" spans="1:16" ht="20.25" customHeight="1" x14ac:dyDescent="0.2">
      <c r="A112" s="173" t="s">
        <v>621</v>
      </c>
      <c r="B112" s="168" t="s">
        <v>622</v>
      </c>
      <c r="C112" s="238">
        <v>1000000</v>
      </c>
      <c r="D112" s="238">
        <v>3218000</v>
      </c>
      <c r="E112" s="238">
        <f>G112-D112</f>
        <v>0</v>
      </c>
      <c r="F112" s="248">
        <f>G112/D112*100</f>
        <v>100</v>
      </c>
      <c r="G112" s="789">
        <f>'[1]Kiadások részletes COFOG'!F184</f>
        <v>3218000</v>
      </c>
    </row>
    <row r="113" spans="1:15" ht="20.25" customHeight="1" x14ac:dyDescent="0.2">
      <c r="A113" s="172" t="s">
        <v>623</v>
      </c>
      <c r="B113" s="168" t="s">
        <v>624</v>
      </c>
      <c r="C113" s="238">
        <v>0</v>
      </c>
      <c r="D113" s="238">
        <v>40000</v>
      </c>
      <c r="E113" s="238">
        <f t="shared" ref="E113:E116" si="11">G113-D113</f>
        <v>0</v>
      </c>
      <c r="F113" s="248">
        <f t="shared" ref="F113:F116" si="12">G113/D113*100</f>
        <v>100</v>
      </c>
      <c r="G113" s="789">
        <f>'[1]Kiadások részletes COFOG'!F185</f>
        <v>40000</v>
      </c>
    </row>
    <row r="114" spans="1:15" ht="20.25" customHeight="1" x14ac:dyDescent="0.2">
      <c r="A114" s="172" t="s">
        <v>532</v>
      </c>
      <c r="B114" s="168" t="s">
        <v>533</v>
      </c>
      <c r="C114" s="238">
        <v>200000</v>
      </c>
      <c r="D114" s="238">
        <v>321000</v>
      </c>
      <c r="E114" s="238">
        <f t="shared" si="11"/>
        <v>0</v>
      </c>
      <c r="F114" s="248">
        <f t="shared" si="12"/>
        <v>100</v>
      </c>
      <c r="G114" s="789">
        <f>'[1]Kiadások részletes COFOG'!F186</f>
        <v>321000</v>
      </c>
    </row>
    <row r="115" spans="1:15" ht="20.25" customHeight="1" x14ac:dyDescent="0.2">
      <c r="A115" s="172" t="s">
        <v>538</v>
      </c>
      <c r="B115" s="168" t="s">
        <v>539</v>
      </c>
      <c r="C115" s="238">
        <v>0</v>
      </c>
      <c r="D115" s="238">
        <v>60604</v>
      </c>
      <c r="E115" s="238">
        <f t="shared" si="11"/>
        <v>0</v>
      </c>
      <c r="F115" s="248">
        <f t="shared" si="12"/>
        <v>100</v>
      </c>
      <c r="G115" s="789">
        <f>'[1]Kiadások részletes COFOG'!F188</f>
        <v>60604</v>
      </c>
    </row>
    <row r="116" spans="1:15" ht="20.25" customHeight="1" thickBot="1" x14ac:dyDescent="0.25">
      <c r="A116" s="172" t="s">
        <v>562</v>
      </c>
      <c r="B116" s="168" t="s">
        <v>563</v>
      </c>
      <c r="C116" s="238">
        <v>0</v>
      </c>
      <c r="D116" s="238">
        <v>10963</v>
      </c>
      <c r="E116" s="238">
        <f t="shared" si="11"/>
        <v>0</v>
      </c>
      <c r="F116" s="248">
        <f t="shared" si="12"/>
        <v>100</v>
      </c>
      <c r="G116" s="789">
        <f>'[1]Kiadások részletes COFOG'!F189</f>
        <v>10963</v>
      </c>
    </row>
    <row r="117" spans="1:15" ht="20.25" customHeight="1" thickBot="1" x14ac:dyDescent="0.25">
      <c r="A117" s="955" t="s">
        <v>595</v>
      </c>
      <c r="B117" s="955"/>
      <c r="C117" s="246">
        <v>1200000</v>
      </c>
      <c r="D117" s="246">
        <v>3650567</v>
      </c>
      <c r="E117" s="246">
        <f>SUM(E112:E116)</f>
        <v>0</v>
      </c>
      <c r="F117" s="247">
        <f>G117/D117*100</f>
        <v>100</v>
      </c>
      <c r="G117" s="250">
        <f>SUM(G112:G116)</f>
        <v>3650567</v>
      </c>
    </row>
    <row r="118" spans="1:15" ht="24" customHeight="1" thickBot="1" x14ac:dyDescent="0.25">
      <c r="A118" s="953" t="s">
        <v>625</v>
      </c>
      <c r="B118" s="953"/>
      <c r="C118" s="953"/>
      <c r="D118" s="953"/>
      <c r="E118" s="953"/>
      <c r="F118" s="953"/>
      <c r="G118" s="953"/>
    </row>
    <row r="119" spans="1:15" ht="23.25" customHeight="1" x14ac:dyDescent="0.2">
      <c r="A119" s="976" t="s">
        <v>398</v>
      </c>
      <c r="B119" s="978" t="s">
        <v>399</v>
      </c>
      <c r="C119" s="966">
        <v>2019</v>
      </c>
      <c r="D119" s="967"/>
      <c r="E119" s="967"/>
      <c r="F119" s="967"/>
      <c r="G119" s="968"/>
    </row>
    <row r="120" spans="1:15" ht="25.5" customHeight="1" thickBot="1" x14ac:dyDescent="0.25">
      <c r="A120" s="976"/>
      <c r="B120" s="978"/>
      <c r="C120" s="260" t="s">
        <v>401</v>
      </c>
      <c r="D120" s="778" t="s">
        <v>517</v>
      </c>
      <c r="E120" s="260" t="s">
        <v>402</v>
      </c>
      <c r="F120" s="260" t="s">
        <v>403</v>
      </c>
      <c r="G120" s="261" t="s">
        <v>770</v>
      </c>
    </row>
    <row r="121" spans="1:15" ht="15" customHeight="1" x14ac:dyDescent="0.2">
      <c r="A121" s="173" t="s">
        <v>538</v>
      </c>
      <c r="B121" s="168" t="s">
        <v>539</v>
      </c>
      <c r="C121" s="238">
        <v>120000</v>
      </c>
      <c r="D121" s="238">
        <v>420000</v>
      </c>
      <c r="E121" s="238">
        <f>G121-D121</f>
        <v>0</v>
      </c>
      <c r="F121" s="248">
        <f>G121/D121*100</f>
        <v>100</v>
      </c>
      <c r="G121" s="239">
        <f>'[1]Kiadások részletes COFOG'!F194</f>
        <v>420000</v>
      </c>
    </row>
    <row r="122" spans="1:15" ht="15" customHeight="1" x14ac:dyDescent="0.2">
      <c r="A122" s="173" t="s">
        <v>552</v>
      </c>
      <c r="B122" s="168" t="s">
        <v>553</v>
      </c>
      <c r="C122" s="238">
        <v>431150</v>
      </c>
      <c r="D122" s="238">
        <v>131150</v>
      </c>
      <c r="E122" s="238">
        <f t="shared" ref="E122:E127" si="13">G122-D122</f>
        <v>0</v>
      </c>
      <c r="F122" s="248">
        <f t="shared" ref="F122:F127" si="14">G122/D122*100</f>
        <v>100</v>
      </c>
      <c r="G122" s="239">
        <f>'[1]Kiadások részletes COFOG'!F197</f>
        <v>131150</v>
      </c>
    </row>
    <row r="123" spans="1:15" ht="15" customHeight="1" x14ac:dyDescent="0.2">
      <c r="A123" s="173" t="s">
        <v>558</v>
      </c>
      <c r="B123" s="168" t="s">
        <v>559</v>
      </c>
      <c r="C123" s="238">
        <v>1700000</v>
      </c>
      <c r="D123" s="238">
        <v>1700000</v>
      </c>
      <c r="E123" s="238">
        <f t="shared" si="13"/>
        <v>0</v>
      </c>
      <c r="F123" s="248">
        <f t="shared" si="14"/>
        <v>100</v>
      </c>
      <c r="G123" s="239">
        <f>'[1]Kiadások részletes COFOG'!F198</f>
        <v>1700000</v>
      </c>
    </row>
    <row r="124" spans="1:15" ht="15" customHeight="1" x14ac:dyDescent="0.2">
      <c r="A124" s="173" t="s">
        <v>599</v>
      </c>
      <c r="B124" s="168" t="s">
        <v>600</v>
      </c>
      <c r="C124" s="238">
        <v>0</v>
      </c>
      <c r="D124" s="238">
        <v>0</v>
      </c>
      <c r="E124" s="238">
        <f t="shared" si="13"/>
        <v>0</v>
      </c>
      <c r="F124" s="248"/>
      <c r="G124" s="239">
        <v>0</v>
      </c>
    </row>
    <row r="125" spans="1:15" ht="21" x14ac:dyDescent="0.2">
      <c r="A125" s="173" t="s">
        <v>562</v>
      </c>
      <c r="B125" s="168" t="s">
        <v>563</v>
      </c>
      <c r="C125" s="238">
        <v>1033850</v>
      </c>
      <c r="D125" s="238">
        <v>1033850</v>
      </c>
      <c r="E125" s="238">
        <f t="shared" si="13"/>
        <v>0</v>
      </c>
      <c r="F125" s="248">
        <f t="shared" si="14"/>
        <v>100</v>
      </c>
      <c r="G125" s="239">
        <f>'[1]Kiadások részletes COFOG'!F200</f>
        <v>1033850</v>
      </c>
    </row>
    <row r="126" spans="1:15" ht="15" customHeight="1" x14ac:dyDescent="0.2">
      <c r="A126" s="173" t="s">
        <v>589</v>
      </c>
      <c r="B126" s="168" t="s">
        <v>590</v>
      </c>
      <c r="C126" s="238">
        <v>38000000</v>
      </c>
      <c r="D126" s="238">
        <v>45000000</v>
      </c>
      <c r="E126" s="238">
        <f t="shared" si="13"/>
        <v>0</v>
      </c>
      <c r="F126" s="248">
        <f t="shared" si="14"/>
        <v>100</v>
      </c>
      <c r="G126" s="239">
        <f>'[1]Kiadások részletes COFOG'!F204</f>
        <v>45000000</v>
      </c>
      <c r="J126" s="984"/>
      <c r="K126" s="984"/>
      <c r="M126" s="267"/>
    </row>
    <row r="127" spans="1:15" ht="21.75" thickBot="1" x14ac:dyDescent="0.25">
      <c r="A127" s="176" t="s">
        <v>591</v>
      </c>
      <c r="B127" s="185" t="s">
        <v>592</v>
      </c>
      <c r="C127" s="244">
        <v>0</v>
      </c>
      <c r="D127" s="244">
        <v>1900000</v>
      </c>
      <c r="E127" s="238">
        <f t="shared" si="13"/>
        <v>0</v>
      </c>
      <c r="F127" s="248">
        <f t="shared" si="14"/>
        <v>100</v>
      </c>
      <c r="G127" s="249">
        <f>'[1]Kiadások részletes COFOG'!F205</f>
        <v>1900000</v>
      </c>
    </row>
    <row r="128" spans="1:15" ht="21" customHeight="1" thickBot="1" x14ac:dyDescent="0.25">
      <c r="A128" s="939" t="s">
        <v>595</v>
      </c>
      <c r="B128" s="939"/>
      <c r="C128" s="188">
        <v>41285000</v>
      </c>
      <c r="D128" s="188">
        <v>50185000</v>
      </c>
      <c r="E128" s="188">
        <f>SUM(E121:E127)</f>
        <v>0</v>
      </c>
      <c r="F128" s="189">
        <f>G128/D128*100</f>
        <v>100</v>
      </c>
      <c r="G128" s="748">
        <f>SUM(G121:G127)</f>
        <v>50185000</v>
      </c>
      <c r="N128" s="159"/>
      <c r="O128" s="159"/>
    </row>
    <row r="129" spans="1:16" ht="30" customHeight="1" thickBot="1" x14ac:dyDescent="0.25">
      <c r="A129" s="953" t="s">
        <v>484</v>
      </c>
      <c r="B129" s="953"/>
      <c r="C129" s="953"/>
      <c r="D129" s="953"/>
      <c r="E129" s="953"/>
      <c r="F129" s="953"/>
      <c r="G129" s="953"/>
    </row>
    <row r="130" spans="1:16" ht="18" customHeight="1" x14ac:dyDescent="0.2">
      <c r="A130" s="976" t="s">
        <v>398</v>
      </c>
      <c r="B130" s="978" t="s">
        <v>399</v>
      </c>
      <c r="C130" s="966">
        <v>2019</v>
      </c>
      <c r="D130" s="967"/>
      <c r="E130" s="967"/>
      <c r="F130" s="967"/>
      <c r="G130" s="968"/>
      <c r="M130" s="159"/>
      <c r="N130" s="159"/>
      <c r="O130" s="159"/>
      <c r="P130" s="159"/>
    </row>
    <row r="131" spans="1:16" ht="24.75" customHeight="1" thickBot="1" x14ac:dyDescent="0.25">
      <c r="A131" s="976"/>
      <c r="B131" s="978"/>
      <c r="C131" s="260" t="s">
        <v>401</v>
      </c>
      <c r="D131" s="778" t="s">
        <v>517</v>
      </c>
      <c r="E131" s="260" t="s">
        <v>402</v>
      </c>
      <c r="F131" s="260" t="s">
        <v>403</v>
      </c>
      <c r="G131" s="261" t="s">
        <v>770</v>
      </c>
    </row>
    <row r="132" spans="1:16" ht="12.75" customHeight="1" x14ac:dyDescent="0.2">
      <c r="A132" s="173" t="s">
        <v>597</v>
      </c>
      <c r="B132" s="168" t="s">
        <v>598</v>
      </c>
      <c r="C132" s="290">
        <v>0</v>
      </c>
      <c r="D132" s="238">
        <v>0</v>
      </c>
      <c r="E132" s="238">
        <f>G132-D132</f>
        <v>0</v>
      </c>
      <c r="F132" s="248"/>
      <c r="G132" s="792">
        <v>0</v>
      </c>
    </row>
    <row r="133" spans="1:16" ht="12.75" customHeight="1" x14ac:dyDescent="0.2">
      <c r="A133" s="173" t="s">
        <v>552</v>
      </c>
      <c r="B133" s="168" t="s">
        <v>553</v>
      </c>
      <c r="C133" s="290">
        <v>0</v>
      </c>
      <c r="D133" s="238">
        <v>0</v>
      </c>
      <c r="E133" s="238">
        <f t="shared" ref="E133:E135" si="15">G133-D133</f>
        <v>0</v>
      </c>
      <c r="F133" s="248"/>
      <c r="G133" s="792">
        <v>0</v>
      </c>
    </row>
    <row r="134" spans="1:16" ht="12.75" customHeight="1" x14ac:dyDescent="0.2">
      <c r="A134" s="173" t="s">
        <v>626</v>
      </c>
      <c r="B134" s="168" t="s">
        <v>627</v>
      </c>
      <c r="C134" s="290">
        <v>6471537</v>
      </c>
      <c r="D134" s="238">
        <v>10819007</v>
      </c>
      <c r="E134" s="238">
        <f t="shared" si="15"/>
        <v>0</v>
      </c>
      <c r="F134" s="248">
        <f>G134/D134*100</f>
        <v>100</v>
      </c>
      <c r="G134" s="789">
        <f>'[1]Kiadások részletes COFOG'!F212</f>
        <v>10819007</v>
      </c>
    </row>
    <row r="135" spans="1:16" ht="21.75" customHeight="1" thickBot="1" x14ac:dyDescent="0.25">
      <c r="A135" s="176" t="s">
        <v>591</v>
      </c>
      <c r="B135" s="185" t="s">
        <v>592</v>
      </c>
      <c r="C135" s="747">
        <v>1747316</v>
      </c>
      <c r="D135" s="244">
        <v>2921132</v>
      </c>
      <c r="E135" s="238">
        <f t="shared" si="15"/>
        <v>0</v>
      </c>
      <c r="F135" s="248">
        <f>G135/D135*100</f>
        <v>100</v>
      </c>
      <c r="G135" s="790">
        <f>'[1]Kiadások részletes COFOG'!F213</f>
        <v>2921132</v>
      </c>
    </row>
    <row r="136" spans="1:16" ht="21" customHeight="1" thickBot="1" x14ac:dyDescent="0.25">
      <c r="A136" s="939" t="s">
        <v>595</v>
      </c>
      <c r="B136" s="939"/>
      <c r="C136" s="770">
        <v>8218853</v>
      </c>
      <c r="D136" s="188">
        <v>13740139</v>
      </c>
      <c r="E136" s="188">
        <f>SUM(E132:E135)</f>
        <v>0</v>
      </c>
      <c r="F136" s="189">
        <f>G136/D136*100</f>
        <v>100</v>
      </c>
      <c r="G136" s="793">
        <f>SUM(G132:G135)</f>
        <v>13740139</v>
      </c>
    </row>
    <row r="137" spans="1:16" ht="27" customHeight="1" thickBot="1" x14ac:dyDescent="0.25">
      <c r="A137" s="953" t="s">
        <v>628</v>
      </c>
      <c r="B137" s="953"/>
      <c r="C137" s="953"/>
      <c r="D137" s="953"/>
      <c r="E137" s="953"/>
      <c r="F137" s="953"/>
      <c r="G137" s="953"/>
    </row>
    <row r="138" spans="1:16" ht="21" customHeight="1" thickBot="1" x14ac:dyDescent="0.25">
      <c r="A138" s="964" t="s">
        <v>398</v>
      </c>
      <c r="B138" s="965" t="s">
        <v>399</v>
      </c>
      <c r="C138" s="966">
        <v>2019</v>
      </c>
      <c r="D138" s="967"/>
      <c r="E138" s="967"/>
      <c r="F138" s="967"/>
      <c r="G138" s="968"/>
    </row>
    <row r="139" spans="1:16" ht="24.75" customHeight="1" thickBot="1" x14ac:dyDescent="0.25">
      <c r="A139" s="969"/>
      <c r="B139" s="970"/>
      <c r="C139" s="260" t="s">
        <v>401</v>
      </c>
      <c r="D139" s="778" t="s">
        <v>517</v>
      </c>
      <c r="E139" s="260" t="s">
        <v>402</v>
      </c>
      <c r="F139" s="260" t="s">
        <v>403</v>
      </c>
      <c r="G139" s="261" t="s">
        <v>770</v>
      </c>
    </row>
    <row r="140" spans="1:16" ht="18" customHeight="1" x14ac:dyDescent="0.2">
      <c r="A140" s="172" t="s">
        <v>538</v>
      </c>
      <c r="B140" s="168" t="s">
        <v>539</v>
      </c>
      <c r="C140" s="279">
        <v>348080</v>
      </c>
      <c r="D140" s="279">
        <v>348080</v>
      </c>
      <c r="E140" s="238">
        <f>G140-D140</f>
        <v>0</v>
      </c>
      <c r="F140" s="280">
        <f>G140/D140*100</f>
        <v>100</v>
      </c>
      <c r="G140" s="281">
        <f>'[1]Kiadások részletes COFOG'!F224</f>
        <v>348080</v>
      </c>
    </row>
    <row r="141" spans="1:16" ht="18.75" customHeight="1" x14ac:dyDescent="0.2">
      <c r="A141" s="173" t="s">
        <v>544</v>
      </c>
      <c r="B141" s="168" t="s">
        <v>545</v>
      </c>
      <c r="C141" s="238">
        <v>3100668</v>
      </c>
      <c r="D141" s="238">
        <v>3100668</v>
      </c>
      <c r="E141" s="238">
        <f>G141-D141</f>
        <v>0</v>
      </c>
      <c r="F141" s="280">
        <f>G141/D141*100</f>
        <v>100</v>
      </c>
      <c r="G141" s="239">
        <f>'[1]Kiadások részletes COFOG'!F225</f>
        <v>3100668</v>
      </c>
      <c r="L141" s="3"/>
    </row>
    <row r="142" spans="1:16" ht="18.75" customHeight="1" x14ac:dyDescent="0.2">
      <c r="A142" s="175" t="s">
        <v>552</v>
      </c>
      <c r="B142" s="185" t="s">
        <v>553</v>
      </c>
      <c r="C142" s="244">
        <v>564445</v>
      </c>
      <c r="D142" s="244">
        <v>564445</v>
      </c>
      <c r="E142" s="238">
        <f t="shared" ref="E142:E143" si="16">G142-D142</f>
        <v>0</v>
      </c>
      <c r="F142" s="280">
        <f t="shared" ref="F142:F143" si="17">G142/D142*100</f>
        <v>100</v>
      </c>
      <c r="G142" s="249">
        <f>'[1]Kiadások részletes COFOG'!F226</f>
        <v>564445</v>
      </c>
      <c r="L142" s="3"/>
    </row>
    <row r="143" spans="1:16" ht="24" customHeight="1" thickBot="1" x14ac:dyDescent="0.25">
      <c r="A143" s="176" t="s">
        <v>562</v>
      </c>
      <c r="B143" s="185" t="s">
        <v>563</v>
      </c>
      <c r="C143" s="244">
        <v>1052954</v>
      </c>
      <c r="D143" s="244">
        <v>1052954</v>
      </c>
      <c r="E143" s="238">
        <f t="shared" si="16"/>
        <v>0</v>
      </c>
      <c r="F143" s="280">
        <f t="shared" si="17"/>
        <v>100</v>
      </c>
      <c r="G143" s="249">
        <f>'[1]Kiadások részletes COFOG'!F227</f>
        <v>1052954</v>
      </c>
      <c r="I143" s="282"/>
      <c r="J143" s="283"/>
      <c r="K143" s="283"/>
      <c r="L143" s="283"/>
    </row>
    <row r="144" spans="1:16" ht="21" customHeight="1" thickBot="1" x14ac:dyDescent="0.25">
      <c r="A144" s="939" t="s">
        <v>595</v>
      </c>
      <c r="B144" s="939"/>
      <c r="C144" s="188">
        <v>5066147</v>
      </c>
      <c r="D144" s="188">
        <v>5066147</v>
      </c>
      <c r="E144" s="188">
        <f>SUM(E140:E143)</f>
        <v>0</v>
      </c>
      <c r="F144" s="284">
        <f>G144/D144*100</f>
        <v>100</v>
      </c>
      <c r="G144" s="748">
        <f>SUM(G140:G143)</f>
        <v>5066147</v>
      </c>
    </row>
    <row r="145" spans="1:12" ht="25.5" customHeight="1" thickBot="1" x14ac:dyDescent="0.25">
      <c r="A145" s="953" t="s">
        <v>629</v>
      </c>
      <c r="B145" s="953"/>
      <c r="C145" s="953"/>
      <c r="D145" s="953"/>
      <c r="E145" s="953"/>
      <c r="F145" s="953"/>
      <c r="G145" s="953"/>
    </row>
    <row r="146" spans="1:12" ht="21.75" customHeight="1" thickBot="1" x14ac:dyDescent="0.25">
      <c r="A146" s="964" t="s">
        <v>398</v>
      </c>
      <c r="B146" s="965" t="s">
        <v>399</v>
      </c>
      <c r="C146" s="966">
        <v>2019</v>
      </c>
      <c r="D146" s="967"/>
      <c r="E146" s="967"/>
      <c r="F146" s="967"/>
      <c r="G146" s="968"/>
    </row>
    <row r="147" spans="1:12" ht="27.75" customHeight="1" thickBot="1" x14ac:dyDescent="0.25">
      <c r="A147" s="964"/>
      <c r="B147" s="965"/>
      <c r="C147" s="260" t="s">
        <v>401</v>
      </c>
      <c r="D147" s="778" t="s">
        <v>517</v>
      </c>
      <c r="E147" s="260" t="s">
        <v>402</v>
      </c>
      <c r="F147" s="260" t="s">
        <v>403</v>
      </c>
      <c r="G147" s="261" t="s">
        <v>770</v>
      </c>
      <c r="K147" s="283"/>
    </row>
    <row r="148" spans="1:12" ht="15" customHeight="1" x14ac:dyDescent="0.2">
      <c r="A148" s="173" t="s">
        <v>621</v>
      </c>
      <c r="B148" s="168" t="s">
        <v>630</v>
      </c>
      <c r="C148" s="238">
        <v>4651000</v>
      </c>
      <c r="D148" s="238">
        <v>4517500</v>
      </c>
      <c r="E148" s="238">
        <f>G148-D148</f>
        <v>0</v>
      </c>
      <c r="F148" s="248">
        <f>G148/D148*100</f>
        <v>100</v>
      </c>
      <c r="G148" s="239">
        <f>'[1]Kiadások részletes COFOG'!F237</f>
        <v>4517500</v>
      </c>
      <c r="H148" s="42"/>
    </row>
    <row r="149" spans="1:12" ht="15" customHeight="1" x14ac:dyDescent="0.2">
      <c r="A149" s="172" t="s">
        <v>520</v>
      </c>
      <c r="B149" s="168" t="s">
        <v>521</v>
      </c>
      <c r="C149" s="238">
        <v>0</v>
      </c>
      <c r="D149" s="238">
        <v>0</v>
      </c>
      <c r="E149" s="238">
        <f t="shared" ref="E149:E167" si="18">G149-D149</f>
        <v>0</v>
      </c>
      <c r="F149" s="248"/>
      <c r="G149" s="239">
        <f>'[1]Kiadások részletes COFOG'!F238</f>
        <v>0</v>
      </c>
    </row>
    <row r="150" spans="1:12" ht="15" customHeight="1" x14ac:dyDescent="0.2">
      <c r="A150" s="172" t="s">
        <v>631</v>
      </c>
      <c r="B150" s="168" t="s">
        <v>632</v>
      </c>
      <c r="C150" s="238">
        <v>24000</v>
      </c>
      <c r="D150" s="238">
        <v>24000</v>
      </c>
      <c r="E150" s="238">
        <f t="shared" si="18"/>
        <v>0</v>
      </c>
      <c r="F150" s="248">
        <f t="shared" ref="F150:F167" si="19">G150/D150*100</f>
        <v>100</v>
      </c>
      <c r="G150" s="239">
        <f>'[1]Kiadások részletes COFOG'!F240</f>
        <v>24000</v>
      </c>
    </row>
    <row r="151" spans="1:12" ht="15" customHeight="1" x14ac:dyDescent="0.2">
      <c r="A151" s="172" t="s">
        <v>623</v>
      </c>
      <c r="B151" s="168" t="s">
        <v>624</v>
      </c>
      <c r="C151" s="238">
        <v>0</v>
      </c>
      <c r="D151" s="238">
        <v>146000</v>
      </c>
      <c r="E151" s="238">
        <f t="shared" si="18"/>
        <v>0</v>
      </c>
      <c r="F151" s="248">
        <f t="shared" si="19"/>
        <v>100</v>
      </c>
      <c r="G151" s="239">
        <f>'[1]Kiadások részletes COFOG'!F241</f>
        <v>146000</v>
      </c>
    </row>
    <row r="152" spans="1:12" ht="15" customHeight="1" x14ac:dyDescent="0.2">
      <c r="A152" s="173" t="s">
        <v>532</v>
      </c>
      <c r="B152" s="168" t="s">
        <v>533</v>
      </c>
      <c r="C152" s="238">
        <v>935000</v>
      </c>
      <c r="D152" s="238">
        <v>938000</v>
      </c>
      <c r="E152" s="238">
        <f t="shared" si="18"/>
        <v>0</v>
      </c>
      <c r="F152" s="248">
        <f t="shared" si="19"/>
        <v>100</v>
      </c>
      <c r="G152" s="239">
        <f>'[1]Kiadások részletes COFOG'!F242</f>
        <v>938000</v>
      </c>
      <c r="L152" s="267"/>
    </row>
    <row r="153" spans="1:12" ht="15" customHeight="1" x14ac:dyDescent="0.2">
      <c r="A153" s="173" t="s">
        <v>633</v>
      </c>
      <c r="B153" s="168" t="s">
        <v>634</v>
      </c>
      <c r="C153" s="238">
        <v>0</v>
      </c>
      <c r="D153" s="238">
        <v>0</v>
      </c>
      <c r="E153" s="238">
        <f t="shared" si="18"/>
        <v>0</v>
      </c>
      <c r="F153" s="248"/>
      <c r="G153" s="239">
        <f>'[1]Kiadások részletes COFOG'!F243</f>
        <v>0</v>
      </c>
    </row>
    <row r="154" spans="1:12" ht="15" customHeight="1" x14ac:dyDescent="0.2">
      <c r="A154" s="173" t="s">
        <v>538</v>
      </c>
      <c r="B154" s="168" t="s">
        <v>539</v>
      </c>
      <c r="C154" s="238">
        <v>1550000</v>
      </c>
      <c r="D154" s="238">
        <v>2565396</v>
      </c>
      <c r="E154" s="238">
        <f t="shared" si="18"/>
        <v>0</v>
      </c>
      <c r="F154" s="248">
        <f t="shared" si="19"/>
        <v>100</v>
      </c>
      <c r="G154" s="239">
        <f>'[1]Kiadások részletes COFOG'!F249</f>
        <v>2565396</v>
      </c>
    </row>
    <row r="155" spans="1:12" ht="15" customHeight="1" x14ac:dyDescent="0.2">
      <c r="A155" s="172" t="s">
        <v>548</v>
      </c>
      <c r="B155" s="168" t="s">
        <v>635</v>
      </c>
      <c r="C155" s="238">
        <v>520000</v>
      </c>
      <c r="D155" s="238">
        <v>750000</v>
      </c>
      <c r="E155" s="238">
        <f t="shared" si="18"/>
        <v>0</v>
      </c>
      <c r="F155" s="248">
        <f t="shared" si="19"/>
        <v>100</v>
      </c>
      <c r="G155" s="239">
        <f>'[1]Kiadások részletes COFOG'!F254</f>
        <v>750000</v>
      </c>
    </row>
    <row r="156" spans="1:12" ht="15" customHeight="1" x14ac:dyDescent="0.2">
      <c r="A156" s="173" t="s">
        <v>550</v>
      </c>
      <c r="B156" s="168" t="s">
        <v>551</v>
      </c>
      <c r="C156" s="238">
        <v>0</v>
      </c>
      <c r="D156" s="238">
        <v>0</v>
      </c>
      <c r="E156" s="238">
        <f t="shared" si="18"/>
        <v>0</v>
      </c>
      <c r="F156" s="248"/>
      <c r="G156" s="239">
        <f>'[1]Kiadások részletes COFOG'!F255</f>
        <v>0</v>
      </c>
    </row>
    <row r="157" spans="1:12" ht="15" customHeight="1" x14ac:dyDescent="0.2">
      <c r="A157" s="173" t="s">
        <v>552</v>
      </c>
      <c r="B157" s="168" t="s">
        <v>553</v>
      </c>
      <c r="C157" s="238">
        <v>300000</v>
      </c>
      <c r="D157" s="238">
        <v>300000</v>
      </c>
      <c r="E157" s="238">
        <f t="shared" si="18"/>
        <v>150000</v>
      </c>
      <c r="F157" s="248">
        <f t="shared" si="19"/>
        <v>150</v>
      </c>
      <c r="G157" s="239">
        <f>'[1]Kiadások részletes COFOG'!F260</f>
        <v>450000</v>
      </c>
    </row>
    <row r="158" spans="1:12" ht="15" customHeight="1" x14ac:dyDescent="0.2">
      <c r="A158" s="173" t="s">
        <v>636</v>
      </c>
      <c r="B158" s="168" t="s">
        <v>637</v>
      </c>
      <c r="C158" s="238">
        <v>0</v>
      </c>
      <c r="D158" s="238"/>
      <c r="E158" s="238">
        <f t="shared" si="18"/>
        <v>0</v>
      </c>
      <c r="F158" s="248"/>
      <c r="G158" s="239"/>
    </row>
    <row r="159" spans="1:12" ht="15" customHeight="1" x14ac:dyDescent="0.2">
      <c r="A159" s="173" t="s">
        <v>558</v>
      </c>
      <c r="B159" s="168" t="s">
        <v>559</v>
      </c>
      <c r="C159" s="238">
        <v>450000</v>
      </c>
      <c r="D159" s="238">
        <v>1300000</v>
      </c>
      <c r="E159" s="238">
        <f t="shared" si="18"/>
        <v>30000</v>
      </c>
      <c r="F159" s="248">
        <f t="shared" si="19"/>
        <v>102.30769230769229</v>
      </c>
      <c r="G159" s="239">
        <f>'[1]Kiadások részletes COFOG'!F268</f>
        <v>1330000</v>
      </c>
    </row>
    <row r="160" spans="1:12" ht="15" customHeight="1" x14ac:dyDescent="0.2">
      <c r="A160" s="173" t="s">
        <v>638</v>
      </c>
      <c r="B160" s="168" t="s">
        <v>639</v>
      </c>
      <c r="C160" s="238">
        <v>0</v>
      </c>
      <c r="D160" s="238"/>
      <c r="E160" s="238">
        <f t="shared" si="18"/>
        <v>0</v>
      </c>
      <c r="F160" s="248"/>
      <c r="G160" s="239"/>
    </row>
    <row r="161" spans="1:12" ht="21" x14ac:dyDescent="0.2">
      <c r="A161" s="173" t="s">
        <v>562</v>
      </c>
      <c r="B161" s="168" t="s">
        <v>563</v>
      </c>
      <c r="C161" s="238">
        <v>761400</v>
      </c>
      <c r="D161" s="238">
        <v>1074437</v>
      </c>
      <c r="E161" s="238">
        <f t="shared" si="18"/>
        <v>60000</v>
      </c>
      <c r="F161" s="248">
        <f t="shared" si="19"/>
        <v>105.58431997408874</v>
      </c>
      <c r="G161" s="239">
        <f>'[1]Kiadások részletes COFOG'!F272</f>
        <v>1134437</v>
      </c>
      <c r="J161" s="267"/>
    </row>
    <row r="162" spans="1:12" ht="18" customHeight="1" x14ac:dyDescent="0.2">
      <c r="A162" s="172" t="s">
        <v>566</v>
      </c>
      <c r="B162" s="168" t="s">
        <v>567</v>
      </c>
      <c r="C162" s="238">
        <v>0</v>
      </c>
      <c r="D162" s="238">
        <v>58000</v>
      </c>
      <c r="E162" s="238">
        <f t="shared" si="18"/>
        <v>0</v>
      </c>
      <c r="F162" s="248">
        <f t="shared" si="19"/>
        <v>100</v>
      </c>
      <c r="G162" s="239">
        <f>'[1]Kiadások részletes COFOG'!F273</f>
        <v>58000</v>
      </c>
      <c r="J162" s="267"/>
    </row>
    <row r="163" spans="1:12" ht="19.5" customHeight="1" x14ac:dyDescent="0.2">
      <c r="A163" s="173" t="s">
        <v>585</v>
      </c>
      <c r="B163" s="168" t="s">
        <v>586</v>
      </c>
      <c r="C163" s="238">
        <v>0</v>
      </c>
      <c r="D163" s="238">
        <v>98000</v>
      </c>
      <c r="E163" s="238">
        <f t="shared" si="18"/>
        <v>0</v>
      </c>
      <c r="F163" s="248">
        <f t="shared" si="19"/>
        <v>100</v>
      </c>
      <c r="G163" s="239">
        <f>'[1]Kiadások részletes COFOG'!F276</f>
        <v>98000</v>
      </c>
    </row>
    <row r="164" spans="1:12" ht="22.5" customHeight="1" x14ac:dyDescent="0.2">
      <c r="A164" s="176" t="s">
        <v>587</v>
      </c>
      <c r="B164" s="185" t="s">
        <v>588</v>
      </c>
      <c r="C164" s="244">
        <v>0</v>
      </c>
      <c r="D164" s="244">
        <v>27000</v>
      </c>
      <c r="E164" s="238">
        <f>G164-D164</f>
        <v>0</v>
      </c>
      <c r="F164" s="248">
        <f t="shared" si="19"/>
        <v>100</v>
      </c>
      <c r="G164" s="249">
        <f>'[1]Kiadások részletes COFOG'!F277</f>
        <v>27000</v>
      </c>
    </row>
    <row r="165" spans="1:12" ht="21.75" customHeight="1" x14ac:dyDescent="0.2">
      <c r="A165" s="175" t="s">
        <v>589</v>
      </c>
      <c r="B165" s="271" t="s">
        <v>640</v>
      </c>
      <c r="C165" s="244">
        <v>8582677</v>
      </c>
      <c r="D165" s="244">
        <v>77000000</v>
      </c>
      <c r="E165" s="238">
        <f t="shared" si="18"/>
        <v>24200000</v>
      </c>
      <c r="F165" s="248">
        <f t="shared" si="19"/>
        <v>131.42857142857142</v>
      </c>
      <c r="G165" s="249">
        <f>'[1]Kiadások részletes COFOG'!F278</f>
        <v>101200000</v>
      </c>
    </row>
    <row r="166" spans="1:12" ht="21.75" customHeight="1" x14ac:dyDescent="0.2">
      <c r="A166" s="175" t="s">
        <v>591</v>
      </c>
      <c r="B166" s="271" t="s">
        <v>592</v>
      </c>
      <c r="C166" s="244">
        <v>2317323</v>
      </c>
      <c r="D166" s="244">
        <v>20790000</v>
      </c>
      <c r="E166" s="238">
        <f t="shared" si="18"/>
        <v>-3400000</v>
      </c>
      <c r="F166" s="248">
        <f t="shared" si="19"/>
        <v>83.645983645983648</v>
      </c>
      <c r="G166" s="249">
        <f>'[1]Kiadások részletes COFOG'!F279</f>
        <v>17390000</v>
      </c>
    </row>
    <row r="167" spans="1:12" ht="30" customHeight="1" thickBot="1" x14ac:dyDescent="0.25">
      <c r="A167" s="759" t="s">
        <v>641</v>
      </c>
      <c r="B167" s="235" t="s">
        <v>642</v>
      </c>
      <c r="C167" s="285">
        <v>0</v>
      </c>
      <c r="D167" s="285">
        <v>1263000</v>
      </c>
      <c r="E167" s="238">
        <f t="shared" si="18"/>
        <v>0</v>
      </c>
      <c r="F167" s="248">
        <f t="shared" si="19"/>
        <v>100</v>
      </c>
      <c r="G167" s="794">
        <f>'[1]Kiadások részletes COFOG'!F280</f>
        <v>1263000</v>
      </c>
    </row>
    <row r="168" spans="1:12" ht="23.25" customHeight="1" thickBot="1" x14ac:dyDescent="0.25">
      <c r="A168" s="939" t="s">
        <v>595</v>
      </c>
      <c r="B168" s="939"/>
      <c r="C168" s="188">
        <v>20091400</v>
      </c>
      <c r="D168" s="188">
        <v>110851333</v>
      </c>
      <c r="E168" s="188">
        <f>SUM(E148:E167)</f>
        <v>21040000</v>
      </c>
      <c r="F168" s="189">
        <f>G168/D168*100</f>
        <v>118.98037617644167</v>
      </c>
      <c r="G168" s="748">
        <f>SUM(G148:G167)</f>
        <v>131891333</v>
      </c>
    </row>
    <row r="169" spans="1:12" ht="24" customHeight="1" thickBot="1" x14ac:dyDescent="0.25">
      <c r="A169" s="953" t="s">
        <v>488</v>
      </c>
      <c r="B169" s="953"/>
      <c r="C169" s="953"/>
      <c r="D169" s="953"/>
      <c r="E169" s="953"/>
      <c r="F169" s="953"/>
      <c r="G169" s="953"/>
    </row>
    <row r="170" spans="1:12" ht="23.25" customHeight="1" thickBot="1" x14ac:dyDescent="0.25">
      <c r="A170" s="964" t="s">
        <v>398</v>
      </c>
      <c r="B170" s="965" t="s">
        <v>399</v>
      </c>
      <c r="C170" s="966">
        <v>2019</v>
      </c>
      <c r="D170" s="967"/>
      <c r="E170" s="967"/>
      <c r="F170" s="967"/>
      <c r="G170" s="968"/>
    </row>
    <row r="171" spans="1:12" ht="25.5" customHeight="1" thickBot="1" x14ac:dyDescent="0.25">
      <c r="A171" s="969"/>
      <c r="B171" s="970"/>
      <c r="C171" s="260" t="s">
        <v>401</v>
      </c>
      <c r="D171" s="778" t="s">
        <v>517</v>
      </c>
      <c r="E171" s="260" t="s">
        <v>402</v>
      </c>
      <c r="F171" s="260" t="s">
        <v>403</v>
      </c>
      <c r="G171" s="261" t="s">
        <v>770</v>
      </c>
    </row>
    <row r="172" spans="1:12" ht="15.95" customHeight="1" x14ac:dyDescent="0.2">
      <c r="A172" s="184" t="s">
        <v>518</v>
      </c>
      <c r="B172" s="262" t="s">
        <v>643</v>
      </c>
      <c r="C172" s="287">
        <v>4465760</v>
      </c>
      <c r="D172" s="287">
        <v>4465760</v>
      </c>
      <c r="E172" s="287">
        <f>G172-D172</f>
        <v>0</v>
      </c>
      <c r="F172" s="264">
        <f>G172/D172*100</f>
        <v>100</v>
      </c>
      <c r="G172" s="288">
        <f>'[1]Kiadások részletes COFOG'!F289</f>
        <v>4465760</v>
      </c>
      <c r="H172" s="42"/>
    </row>
    <row r="173" spans="1:12" ht="15.95" customHeight="1" x14ac:dyDescent="0.2">
      <c r="A173" s="172" t="s">
        <v>644</v>
      </c>
      <c r="B173" s="168" t="s">
        <v>645</v>
      </c>
      <c r="C173" s="251">
        <v>100000</v>
      </c>
      <c r="D173" s="251">
        <v>100000</v>
      </c>
      <c r="E173" s="287">
        <f t="shared" ref="E173:E193" si="20">G173-D173</f>
        <v>0</v>
      </c>
      <c r="F173" s="248">
        <f t="shared" ref="F173:F189" si="21">G173/D173*100</f>
        <v>100</v>
      </c>
      <c r="G173" s="252">
        <f>'[1]Kiadások részletes COFOG'!F290</f>
        <v>100000</v>
      </c>
      <c r="H173" s="42"/>
    </row>
    <row r="174" spans="1:12" ht="15.95" customHeight="1" x14ac:dyDescent="0.2">
      <c r="A174" s="172" t="s">
        <v>646</v>
      </c>
      <c r="B174" s="168" t="s">
        <v>647</v>
      </c>
      <c r="C174" s="251">
        <v>24000</v>
      </c>
      <c r="D174" s="251">
        <v>24000</v>
      </c>
      <c r="E174" s="287">
        <f t="shared" si="20"/>
        <v>0</v>
      </c>
      <c r="F174" s="248">
        <f t="shared" si="21"/>
        <v>100</v>
      </c>
      <c r="G174" s="252">
        <f>'[1]Kiadások részletes COFOG'!F291</f>
        <v>24000</v>
      </c>
      <c r="H174" s="42"/>
    </row>
    <row r="175" spans="1:12" ht="15.95" customHeight="1" x14ac:dyDescent="0.2">
      <c r="A175" s="173" t="s">
        <v>522</v>
      </c>
      <c r="B175" s="168" t="s">
        <v>523</v>
      </c>
      <c r="C175" s="238">
        <v>50000</v>
      </c>
      <c r="D175" s="238">
        <v>50000</v>
      </c>
      <c r="E175" s="287">
        <f t="shared" si="20"/>
        <v>0</v>
      </c>
      <c r="F175" s="248">
        <f t="shared" si="21"/>
        <v>100</v>
      </c>
      <c r="G175" s="239">
        <f>'[1]Kiadások részletes COFOG'!F292</f>
        <v>50000</v>
      </c>
    </row>
    <row r="176" spans="1:12" ht="15.95" customHeight="1" x14ac:dyDescent="0.2">
      <c r="A176" s="173" t="s">
        <v>631</v>
      </c>
      <c r="B176" s="168" t="s">
        <v>632</v>
      </c>
      <c r="C176" s="238">
        <v>12000</v>
      </c>
      <c r="D176" s="238">
        <v>12000</v>
      </c>
      <c r="E176" s="287">
        <f t="shared" si="20"/>
        <v>0</v>
      </c>
      <c r="F176" s="248">
        <f t="shared" si="21"/>
        <v>100</v>
      </c>
      <c r="G176" s="239">
        <f>'[1]Kiadások részletes COFOG'!F293</f>
        <v>12000</v>
      </c>
      <c r="L176" s="267"/>
    </row>
    <row r="177" spans="1:12" s="97" customFormat="1" ht="18" customHeight="1" x14ac:dyDescent="0.2">
      <c r="A177" s="172" t="s">
        <v>648</v>
      </c>
      <c r="B177" s="289" t="s">
        <v>624</v>
      </c>
      <c r="C177" s="290">
        <v>20000</v>
      </c>
      <c r="D177" s="290">
        <v>136000</v>
      </c>
      <c r="E177" s="287">
        <f t="shared" si="20"/>
        <v>0</v>
      </c>
      <c r="F177" s="248">
        <f t="shared" si="21"/>
        <v>100</v>
      </c>
      <c r="G177" s="239">
        <f>'[1]Kiadások részletes COFOG'!F294</f>
        <v>136000</v>
      </c>
    </row>
    <row r="178" spans="1:12" ht="21" customHeight="1" x14ac:dyDescent="0.2">
      <c r="A178" s="173" t="s">
        <v>528</v>
      </c>
      <c r="B178" s="168" t="s">
        <v>529</v>
      </c>
      <c r="C178" s="238">
        <v>533100</v>
      </c>
      <c r="D178" s="238">
        <v>687000</v>
      </c>
      <c r="E178" s="287">
        <f t="shared" si="20"/>
        <v>0</v>
      </c>
      <c r="F178" s="248">
        <f t="shared" si="21"/>
        <v>100</v>
      </c>
      <c r="G178" s="239">
        <f>'[1]Kiadások részletes COFOG'!F295</f>
        <v>687000</v>
      </c>
      <c r="L178" s="3"/>
    </row>
    <row r="179" spans="1:12" ht="15.95" customHeight="1" x14ac:dyDescent="0.2">
      <c r="A179" s="173" t="s">
        <v>532</v>
      </c>
      <c r="B179" s="168" t="s">
        <v>533</v>
      </c>
      <c r="C179" s="238">
        <v>1070972</v>
      </c>
      <c r="D179" s="238">
        <v>1020000</v>
      </c>
      <c r="E179" s="287">
        <f t="shared" si="20"/>
        <v>0</v>
      </c>
      <c r="F179" s="248">
        <f t="shared" si="21"/>
        <v>100</v>
      </c>
      <c r="G179" s="239">
        <f>'[1]Kiadások részletes COFOG'!F298</f>
        <v>1020000</v>
      </c>
    </row>
    <row r="180" spans="1:12" ht="15.95" customHeight="1" x14ac:dyDescent="0.2">
      <c r="A180" s="173" t="s">
        <v>534</v>
      </c>
      <c r="B180" s="168" t="s">
        <v>535</v>
      </c>
      <c r="C180" s="238">
        <v>0</v>
      </c>
      <c r="D180" s="238">
        <v>0</v>
      </c>
      <c r="E180" s="287">
        <f t="shared" si="20"/>
        <v>0</v>
      </c>
      <c r="F180" s="248"/>
      <c r="G180" s="239">
        <f>'[1]Kiadások részletes COFOG'!F299</f>
        <v>0</v>
      </c>
    </row>
    <row r="181" spans="1:12" ht="15.95" customHeight="1" x14ac:dyDescent="0.2">
      <c r="A181" s="173" t="s">
        <v>633</v>
      </c>
      <c r="B181" s="168" t="s">
        <v>634</v>
      </c>
      <c r="C181" s="238">
        <v>60000</v>
      </c>
      <c r="D181" s="238">
        <v>60000</v>
      </c>
      <c r="E181" s="287">
        <f t="shared" si="20"/>
        <v>0</v>
      </c>
      <c r="F181" s="248">
        <f t="shared" si="21"/>
        <v>100</v>
      </c>
      <c r="G181" s="239">
        <f>'[1]Kiadások részletes COFOG'!F300</f>
        <v>60000</v>
      </c>
    </row>
    <row r="182" spans="1:12" ht="15.95" customHeight="1" x14ac:dyDescent="0.2">
      <c r="A182" s="173" t="s">
        <v>538</v>
      </c>
      <c r="B182" s="168" t="s">
        <v>539</v>
      </c>
      <c r="C182" s="238">
        <v>100000</v>
      </c>
      <c r="D182" s="238">
        <v>150000</v>
      </c>
      <c r="E182" s="287">
        <f t="shared" si="20"/>
        <v>0</v>
      </c>
      <c r="F182" s="248">
        <f t="shared" si="21"/>
        <v>100</v>
      </c>
      <c r="G182" s="239">
        <f>'[1]Kiadások részletes COFOG'!F301</f>
        <v>150000</v>
      </c>
    </row>
    <row r="183" spans="1:12" ht="15.95" customHeight="1" x14ac:dyDescent="0.2">
      <c r="A183" s="172" t="s">
        <v>649</v>
      </c>
      <c r="B183" s="168" t="s">
        <v>541</v>
      </c>
      <c r="C183" s="238">
        <v>50000</v>
      </c>
      <c r="D183" s="238">
        <v>100000</v>
      </c>
      <c r="E183" s="287">
        <f t="shared" si="20"/>
        <v>0</v>
      </c>
      <c r="F183" s="248">
        <f t="shared" si="21"/>
        <v>100</v>
      </c>
      <c r="G183" s="239">
        <f>'[1]Kiadások részletes COFOG'!F302</f>
        <v>100000</v>
      </c>
    </row>
    <row r="184" spans="1:12" ht="15.95" customHeight="1" x14ac:dyDescent="0.2">
      <c r="A184" s="173" t="s">
        <v>542</v>
      </c>
      <c r="B184" s="168" t="s">
        <v>650</v>
      </c>
      <c r="C184" s="238">
        <v>110000</v>
      </c>
      <c r="D184" s="238">
        <v>110000</v>
      </c>
      <c r="E184" s="287">
        <f t="shared" si="20"/>
        <v>30000</v>
      </c>
      <c r="F184" s="248">
        <f t="shared" si="21"/>
        <v>127.27272727272727</v>
      </c>
      <c r="G184" s="239">
        <f>'[1]Kiadások részletes COFOG'!F303</f>
        <v>140000</v>
      </c>
    </row>
    <row r="185" spans="1:12" ht="15.95" customHeight="1" x14ac:dyDescent="0.2">
      <c r="A185" s="173" t="s">
        <v>552</v>
      </c>
      <c r="B185" s="168" t="s">
        <v>553</v>
      </c>
      <c r="C185" s="238">
        <v>100000</v>
      </c>
      <c r="D185" s="238">
        <v>50000</v>
      </c>
      <c r="E185" s="287">
        <f t="shared" si="20"/>
        <v>0</v>
      </c>
      <c r="F185" s="248">
        <f t="shared" si="21"/>
        <v>100</v>
      </c>
      <c r="G185" s="239">
        <f>'[1]Kiadások részletes COFOG'!F304</f>
        <v>50000</v>
      </c>
    </row>
    <row r="186" spans="1:12" ht="19.5" customHeight="1" x14ac:dyDescent="0.2">
      <c r="A186" s="173" t="s">
        <v>556</v>
      </c>
      <c r="B186" s="168" t="s">
        <v>557</v>
      </c>
      <c r="C186" s="238">
        <v>0</v>
      </c>
      <c r="D186" s="238">
        <v>10000</v>
      </c>
      <c r="E186" s="287">
        <f t="shared" si="20"/>
        <v>0</v>
      </c>
      <c r="F186" s="248">
        <f t="shared" si="21"/>
        <v>100</v>
      </c>
      <c r="G186" s="239">
        <f>'[1]Kiadások részletes COFOG'!F307</f>
        <v>10000</v>
      </c>
    </row>
    <row r="187" spans="1:12" ht="15.95" customHeight="1" x14ac:dyDescent="0.2">
      <c r="A187" s="172" t="s">
        <v>558</v>
      </c>
      <c r="B187" s="168" t="s">
        <v>559</v>
      </c>
      <c r="C187" s="238">
        <v>50000</v>
      </c>
      <c r="D187" s="238">
        <v>50000</v>
      </c>
      <c r="E187" s="287">
        <f t="shared" si="20"/>
        <v>-30000</v>
      </c>
      <c r="F187" s="248">
        <f t="shared" si="21"/>
        <v>40</v>
      </c>
      <c r="G187" s="239">
        <f>'[1]Kiadások részletes COFOG'!F309</f>
        <v>20000</v>
      </c>
    </row>
    <row r="188" spans="1:12" ht="15.95" customHeight="1" x14ac:dyDescent="0.2">
      <c r="A188" s="172" t="s">
        <v>613</v>
      </c>
      <c r="B188" s="168" t="s">
        <v>614</v>
      </c>
      <c r="C188" s="238">
        <v>10000</v>
      </c>
      <c r="D188" s="238">
        <v>10000</v>
      </c>
      <c r="E188" s="287">
        <f t="shared" si="20"/>
        <v>0</v>
      </c>
      <c r="F188" s="248">
        <f t="shared" si="21"/>
        <v>100</v>
      </c>
      <c r="G188" s="239">
        <f>'[1]Kiadások részletes COFOG'!F311</f>
        <v>10000</v>
      </c>
    </row>
    <row r="189" spans="1:12" ht="21.75" customHeight="1" x14ac:dyDescent="0.2">
      <c r="A189" s="173" t="s">
        <v>562</v>
      </c>
      <c r="B189" s="168" t="s">
        <v>563</v>
      </c>
      <c r="C189" s="238">
        <v>120000</v>
      </c>
      <c r="D189" s="238">
        <v>120000</v>
      </c>
      <c r="E189" s="287">
        <f t="shared" si="20"/>
        <v>0</v>
      </c>
      <c r="F189" s="248">
        <f t="shared" si="21"/>
        <v>100</v>
      </c>
      <c r="G189" s="239">
        <f>'[1]Kiadások részletes COFOG'!F312</f>
        <v>120000</v>
      </c>
    </row>
    <row r="190" spans="1:12" ht="21.75" customHeight="1" x14ac:dyDescent="0.2">
      <c r="A190" s="172" t="s">
        <v>585</v>
      </c>
      <c r="B190" s="177" t="s">
        <v>653</v>
      </c>
      <c r="C190" s="238">
        <v>0</v>
      </c>
      <c r="D190" s="238">
        <v>0</v>
      </c>
      <c r="E190" s="287">
        <f t="shared" si="20"/>
        <v>120000</v>
      </c>
      <c r="F190" s="248"/>
      <c r="G190" s="239">
        <f>'[1]Kiadások részletes COFOG'!F315</f>
        <v>120000</v>
      </c>
    </row>
    <row r="191" spans="1:12" ht="21.75" customHeight="1" x14ac:dyDescent="0.2">
      <c r="A191" s="172" t="s">
        <v>587</v>
      </c>
      <c r="B191" s="177" t="s">
        <v>588</v>
      </c>
      <c r="C191" s="238">
        <v>0</v>
      </c>
      <c r="D191" s="238">
        <v>0</v>
      </c>
      <c r="E191" s="287">
        <f t="shared" si="20"/>
        <v>33000</v>
      </c>
      <c r="F191" s="248"/>
      <c r="G191" s="239">
        <f>'[1]Kiadások részletes COFOG'!F316</f>
        <v>33000</v>
      </c>
    </row>
    <row r="192" spans="1:12" ht="21.75" customHeight="1" x14ac:dyDescent="0.2">
      <c r="A192" s="172" t="s">
        <v>589</v>
      </c>
      <c r="B192" s="177" t="s">
        <v>772</v>
      </c>
      <c r="C192" s="238">
        <v>0</v>
      </c>
      <c r="D192" s="238">
        <v>0</v>
      </c>
      <c r="E192" s="287">
        <f t="shared" si="20"/>
        <v>160000</v>
      </c>
      <c r="F192" s="248"/>
      <c r="G192" s="239">
        <f>'[1]Kiadások részletes COFOG'!F317</f>
        <v>160000</v>
      </c>
    </row>
    <row r="193" spans="1:15" ht="21.75" customHeight="1" thickBot="1" x14ac:dyDescent="0.25">
      <c r="A193" s="193" t="s">
        <v>591</v>
      </c>
      <c r="B193" s="795" t="s">
        <v>592</v>
      </c>
      <c r="C193" s="195">
        <v>0</v>
      </c>
      <c r="D193" s="195">
        <v>0</v>
      </c>
      <c r="E193" s="287">
        <f t="shared" si="20"/>
        <v>44000</v>
      </c>
      <c r="F193" s="196"/>
      <c r="G193" s="197">
        <f>'[1]Kiadások részletes COFOG'!F318</f>
        <v>44000</v>
      </c>
    </row>
    <row r="194" spans="1:15" ht="21.75" customHeight="1" thickBot="1" x14ac:dyDescent="0.25">
      <c r="A194" s="955" t="s">
        <v>595</v>
      </c>
      <c r="B194" s="955"/>
      <c r="C194" s="246">
        <v>6875832</v>
      </c>
      <c r="D194" s="246">
        <v>7154760</v>
      </c>
      <c r="E194" s="246">
        <f>SUM(E172:E193)</f>
        <v>357000</v>
      </c>
      <c r="F194" s="247">
        <f>G194/D194*100</f>
        <v>104.98968518860173</v>
      </c>
      <c r="G194" s="250">
        <f>SUM(G172:G193)</f>
        <v>7511760</v>
      </c>
    </row>
    <row r="195" spans="1:15" ht="21.75" customHeight="1" thickBot="1" x14ac:dyDescent="0.25">
      <c r="A195" s="972" t="s">
        <v>651</v>
      </c>
      <c r="B195" s="973"/>
      <c r="C195" s="973"/>
      <c r="D195" s="973"/>
      <c r="E195" s="973"/>
      <c r="F195" s="973"/>
      <c r="G195" s="974"/>
    </row>
    <row r="196" spans="1:15" ht="21.75" customHeight="1" thickBot="1" x14ac:dyDescent="0.25">
      <c r="A196" s="964" t="s">
        <v>398</v>
      </c>
      <c r="B196" s="965" t="s">
        <v>399</v>
      </c>
      <c r="C196" s="966">
        <v>2019</v>
      </c>
      <c r="D196" s="967"/>
      <c r="E196" s="967"/>
      <c r="F196" s="967"/>
      <c r="G196" s="968"/>
    </row>
    <row r="197" spans="1:15" ht="21.75" customHeight="1" thickBot="1" x14ac:dyDescent="0.25">
      <c r="A197" s="964"/>
      <c r="B197" s="965"/>
      <c r="C197" s="260" t="s">
        <v>401</v>
      </c>
      <c r="D197" s="778" t="s">
        <v>517</v>
      </c>
      <c r="E197" s="260" t="s">
        <v>402</v>
      </c>
      <c r="F197" s="260" t="s">
        <v>403</v>
      </c>
      <c r="G197" s="261" t="s">
        <v>770</v>
      </c>
    </row>
    <row r="198" spans="1:15" ht="21.75" customHeight="1" x14ac:dyDescent="0.2">
      <c r="A198" s="172" t="s">
        <v>556</v>
      </c>
      <c r="B198" s="168" t="s">
        <v>557</v>
      </c>
      <c r="C198" s="238">
        <v>0</v>
      </c>
      <c r="D198" s="238">
        <v>90000</v>
      </c>
      <c r="E198" s="238">
        <f>G198-D198</f>
        <v>0</v>
      </c>
      <c r="F198" s="291">
        <f>G198/D198*100</f>
        <v>100</v>
      </c>
      <c r="G198" s="239">
        <f>'[1]Kiadások részletes COFOG'!F323</f>
        <v>90000</v>
      </c>
    </row>
    <row r="199" spans="1:15" ht="21.75" customHeight="1" thickBot="1" x14ac:dyDescent="0.25">
      <c r="A199" s="172" t="s">
        <v>576</v>
      </c>
      <c r="B199" s="168" t="s">
        <v>652</v>
      </c>
      <c r="C199" s="238">
        <v>90000</v>
      </c>
      <c r="D199" s="238">
        <v>0</v>
      </c>
      <c r="E199" s="238">
        <f>G199-D199</f>
        <v>0</v>
      </c>
      <c r="F199" s="291"/>
      <c r="G199" s="239">
        <f>'[1]Kiadások részletes COFOG'!F324</f>
        <v>0</v>
      </c>
    </row>
    <row r="200" spans="1:15" ht="21.75" customHeight="1" thickBot="1" x14ac:dyDescent="0.25">
      <c r="A200" s="939" t="s">
        <v>595</v>
      </c>
      <c r="B200" s="939"/>
      <c r="C200" s="188">
        <v>90000</v>
      </c>
      <c r="D200" s="188">
        <v>90000</v>
      </c>
      <c r="E200" s="188">
        <f>E198+E199</f>
        <v>0</v>
      </c>
      <c r="F200" s="189">
        <f>G200/D200*100</f>
        <v>100</v>
      </c>
      <c r="G200" s="748">
        <f>SUM(G198:G199)</f>
        <v>90000</v>
      </c>
    </row>
    <row r="201" spans="1:15" ht="26.25" customHeight="1" thickBot="1" x14ac:dyDescent="0.25">
      <c r="A201" s="953" t="s">
        <v>490</v>
      </c>
      <c r="B201" s="953"/>
      <c r="C201" s="953"/>
      <c r="D201" s="953"/>
      <c r="E201" s="953"/>
      <c r="F201" s="953"/>
      <c r="G201" s="953"/>
    </row>
    <row r="202" spans="1:15" ht="19.5" customHeight="1" thickBot="1" x14ac:dyDescent="0.25">
      <c r="A202" s="964" t="s">
        <v>398</v>
      </c>
      <c r="B202" s="965" t="s">
        <v>399</v>
      </c>
      <c r="C202" s="966">
        <v>2019</v>
      </c>
      <c r="D202" s="967"/>
      <c r="E202" s="967"/>
      <c r="F202" s="967"/>
      <c r="G202" s="968"/>
    </row>
    <row r="203" spans="1:15" ht="27" customHeight="1" thickBot="1" x14ac:dyDescent="0.25">
      <c r="A203" s="964"/>
      <c r="B203" s="965"/>
      <c r="C203" s="260" t="s">
        <v>401</v>
      </c>
      <c r="D203" s="778" t="s">
        <v>517</v>
      </c>
      <c r="E203" s="260" t="s">
        <v>402</v>
      </c>
      <c r="F203" s="260" t="s">
        <v>403</v>
      </c>
      <c r="G203" s="261" t="s">
        <v>770</v>
      </c>
    </row>
    <row r="204" spans="1:15" ht="21" x14ac:dyDescent="0.2">
      <c r="A204" s="172" t="s">
        <v>528</v>
      </c>
      <c r="B204" s="168" t="s">
        <v>529</v>
      </c>
      <c r="C204" s="251">
        <v>0</v>
      </c>
      <c r="D204" s="251">
        <v>1000000</v>
      </c>
      <c r="E204" s="251">
        <f>G204-D204</f>
        <v>0</v>
      </c>
      <c r="F204" s="248">
        <f>G204/D204*100</f>
        <v>100</v>
      </c>
      <c r="G204" s="252">
        <f>'[1]Kiadások részletes COFOG'!F329</f>
        <v>1000000</v>
      </c>
    </row>
    <row r="205" spans="1:15" ht="15.95" customHeight="1" x14ac:dyDescent="0.2">
      <c r="A205" s="172" t="s">
        <v>532</v>
      </c>
      <c r="B205" s="168" t="s">
        <v>533</v>
      </c>
      <c r="C205" s="238">
        <v>0</v>
      </c>
      <c r="D205" s="238">
        <v>195000</v>
      </c>
      <c r="E205" s="251">
        <f t="shared" ref="E205:E211" si="22">G205-D205</f>
        <v>0</v>
      </c>
      <c r="F205" s="248">
        <f>G205/D205*100</f>
        <v>100</v>
      </c>
      <c r="G205" s="239">
        <f>'[1]Kiadások részletes COFOG'!F330</f>
        <v>195000</v>
      </c>
      <c r="I205" s="270"/>
      <c r="J205" s="159"/>
      <c r="K205" s="159"/>
      <c r="L205" s="159"/>
      <c r="M205" s="159"/>
      <c r="N205" s="159"/>
      <c r="O205" s="159"/>
    </row>
    <row r="206" spans="1:15" ht="15.95" customHeight="1" x14ac:dyDescent="0.2">
      <c r="A206" s="172" t="s">
        <v>534</v>
      </c>
      <c r="B206" s="168" t="s">
        <v>535</v>
      </c>
      <c r="C206" s="238">
        <v>0</v>
      </c>
      <c r="D206" s="238">
        <v>0</v>
      </c>
      <c r="E206" s="251">
        <f t="shared" si="22"/>
        <v>0</v>
      </c>
      <c r="F206" s="248"/>
      <c r="G206" s="239">
        <v>0</v>
      </c>
    </row>
    <row r="207" spans="1:15" ht="15.95" customHeight="1" x14ac:dyDescent="0.2">
      <c r="A207" s="172" t="s">
        <v>538</v>
      </c>
      <c r="B207" s="168" t="s">
        <v>539</v>
      </c>
      <c r="C207" s="238">
        <v>0</v>
      </c>
      <c r="D207" s="238">
        <v>1000000</v>
      </c>
      <c r="E207" s="251">
        <f t="shared" si="22"/>
        <v>0</v>
      </c>
      <c r="F207" s="248">
        <f t="shared" ref="F207:F211" si="23">G207/D207*100</f>
        <v>100</v>
      </c>
      <c r="G207" s="239">
        <f>'[1]Kiadások részletes COFOG'!F331</f>
        <v>1000000</v>
      </c>
      <c r="O207" s="3"/>
    </row>
    <row r="208" spans="1:15" ht="15.95" customHeight="1" x14ac:dyDescent="0.2">
      <c r="A208" s="172" t="s">
        <v>558</v>
      </c>
      <c r="B208" s="168" t="s">
        <v>559</v>
      </c>
      <c r="C208" s="238">
        <v>0</v>
      </c>
      <c r="D208" s="238">
        <v>800000</v>
      </c>
      <c r="E208" s="251">
        <f t="shared" si="22"/>
        <v>0</v>
      </c>
      <c r="F208" s="248">
        <f t="shared" si="23"/>
        <v>100</v>
      </c>
      <c r="G208" s="239">
        <f>'[1]Kiadások részletes COFOG'!F332</f>
        <v>800000</v>
      </c>
    </row>
    <row r="209" spans="1:17" ht="21" customHeight="1" x14ac:dyDescent="0.2">
      <c r="A209" s="172" t="s">
        <v>562</v>
      </c>
      <c r="B209" s="168" t="s">
        <v>563</v>
      </c>
      <c r="C209" s="238">
        <v>0</v>
      </c>
      <c r="D209" s="238">
        <v>384997</v>
      </c>
      <c r="E209" s="251">
        <f t="shared" si="22"/>
        <v>0</v>
      </c>
      <c r="F209" s="248">
        <f t="shared" si="23"/>
        <v>100</v>
      </c>
      <c r="G209" s="239">
        <f>'[1]Kiadások részletes COFOG'!F333</f>
        <v>384997</v>
      </c>
      <c r="L209" s="3"/>
    </row>
    <row r="210" spans="1:17" ht="20.25" customHeight="1" x14ac:dyDescent="0.2">
      <c r="A210" s="172" t="s">
        <v>585</v>
      </c>
      <c r="B210" s="168" t="s">
        <v>653</v>
      </c>
      <c r="C210" s="238">
        <v>0</v>
      </c>
      <c r="D210" s="238">
        <v>2000000</v>
      </c>
      <c r="E210" s="251">
        <f t="shared" si="22"/>
        <v>0</v>
      </c>
      <c r="F210" s="248">
        <f t="shared" si="23"/>
        <v>100</v>
      </c>
      <c r="G210" s="239">
        <f>'[1]Kiadások részletes COFOG'!F334</f>
        <v>2000000</v>
      </c>
      <c r="L210" s="3"/>
    </row>
    <row r="211" spans="1:17" ht="21" customHeight="1" thickBot="1" x14ac:dyDescent="0.25">
      <c r="A211" s="193" t="s">
        <v>587</v>
      </c>
      <c r="B211" s="185" t="s">
        <v>588</v>
      </c>
      <c r="C211" s="195">
        <v>0</v>
      </c>
      <c r="D211" s="195">
        <v>800000</v>
      </c>
      <c r="E211" s="251">
        <f t="shared" si="22"/>
        <v>0</v>
      </c>
      <c r="F211" s="248">
        <f t="shared" si="23"/>
        <v>100</v>
      </c>
      <c r="G211" s="197">
        <f>'[1]Kiadások részletes COFOG'!F335</f>
        <v>800000</v>
      </c>
      <c r="L211" s="3"/>
    </row>
    <row r="212" spans="1:17" ht="18.75" customHeight="1" thickBot="1" x14ac:dyDescent="0.25">
      <c r="A212" s="939" t="s">
        <v>595</v>
      </c>
      <c r="B212" s="939"/>
      <c r="C212" s="188">
        <v>0</v>
      </c>
      <c r="D212" s="188">
        <v>6179997</v>
      </c>
      <c r="E212" s="188">
        <f>SUM(E204:E211)</f>
        <v>0</v>
      </c>
      <c r="F212" s="189">
        <f>G212/D212*100</f>
        <v>100</v>
      </c>
      <c r="G212" s="748">
        <f>SUM(G204:G211)</f>
        <v>6179997</v>
      </c>
    </row>
    <row r="213" spans="1:17" ht="24" customHeight="1" thickBot="1" x14ac:dyDescent="0.25">
      <c r="A213" s="953" t="s">
        <v>654</v>
      </c>
      <c r="B213" s="953"/>
      <c r="C213" s="953"/>
      <c r="D213" s="953"/>
      <c r="E213" s="953"/>
      <c r="F213" s="953"/>
      <c r="G213" s="953"/>
    </row>
    <row r="214" spans="1:17" ht="21" customHeight="1" thickBot="1" x14ac:dyDescent="0.25">
      <c r="A214" s="964" t="s">
        <v>398</v>
      </c>
      <c r="B214" s="965" t="s">
        <v>399</v>
      </c>
      <c r="C214" s="966">
        <v>2019</v>
      </c>
      <c r="D214" s="967"/>
      <c r="E214" s="967"/>
      <c r="F214" s="967"/>
      <c r="G214" s="968"/>
    </row>
    <row r="215" spans="1:17" ht="24" customHeight="1" thickBot="1" x14ac:dyDescent="0.25">
      <c r="A215" s="964"/>
      <c r="B215" s="965"/>
      <c r="C215" s="260" t="s">
        <v>401</v>
      </c>
      <c r="D215" s="778" t="s">
        <v>517</v>
      </c>
      <c r="E215" s="260" t="s">
        <v>402</v>
      </c>
      <c r="F215" s="260" t="s">
        <v>403</v>
      </c>
      <c r="G215" s="261" t="s">
        <v>770</v>
      </c>
    </row>
    <row r="216" spans="1:17" ht="26.25" customHeight="1" thickBot="1" x14ac:dyDescent="0.25">
      <c r="A216" s="796" t="s">
        <v>576</v>
      </c>
      <c r="B216" s="292" t="s">
        <v>655</v>
      </c>
      <c r="C216" s="285">
        <v>6207000</v>
      </c>
      <c r="D216" s="285">
        <v>6207000</v>
      </c>
      <c r="E216" s="285">
        <f>G216-D216</f>
        <v>0</v>
      </c>
      <c r="F216" s="286">
        <f>G216/D216*100</f>
        <v>100</v>
      </c>
      <c r="G216" s="794">
        <f>'[1]Kiadások részletes COFOG'!F359</f>
        <v>6207000</v>
      </c>
      <c r="H216" s="42"/>
    </row>
    <row r="217" spans="1:17" ht="24" customHeight="1" thickBot="1" x14ac:dyDescent="0.25">
      <c r="A217" s="939" t="s">
        <v>595</v>
      </c>
      <c r="B217" s="939"/>
      <c r="C217" s="188">
        <v>6207000</v>
      </c>
      <c r="D217" s="188">
        <v>6207000</v>
      </c>
      <c r="E217" s="188">
        <f>SUM(E216)</f>
        <v>0</v>
      </c>
      <c r="F217" s="293">
        <f>G217/D217*100</f>
        <v>100</v>
      </c>
      <c r="G217" s="748">
        <f>SUM(G216)</f>
        <v>6207000</v>
      </c>
    </row>
    <row r="218" spans="1:17" ht="24.75" customHeight="1" thickBot="1" x14ac:dyDescent="0.25">
      <c r="A218" s="953" t="s">
        <v>493</v>
      </c>
      <c r="B218" s="953"/>
      <c r="C218" s="953"/>
      <c r="D218" s="953"/>
      <c r="E218" s="953"/>
      <c r="F218" s="953"/>
      <c r="G218" s="953"/>
    </row>
    <row r="219" spans="1:17" ht="21.75" customHeight="1" thickBot="1" x14ac:dyDescent="0.25">
      <c r="A219" s="964" t="s">
        <v>398</v>
      </c>
      <c r="B219" s="965" t="s">
        <v>399</v>
      </c>
      <c r="C219" s="966">
        <v>2019</v>
      </c>
      <c r="D219" s="967"/>
      <c r="E219" s="967"/>
      <c r="F219" s="967"/>
      <c r="G219" s="968"/>
      <c r="N219" s="159"/>
      <c r="O219" s="159"/>
      <c r="P219" s="159"/>
      <c r="Q219" s="159"/>
    </row>
    <row r="220" spans="1:17" ht="24.75" customHeight="1" thickBot="1" x14ac:dyDescent="0.25">
      <c r="A220" s="964"/>
      <c r="B220" s="965"/>
      <c r="C220" s="260" t="s">
        <v>401</v>
      </c>
      <c r="D220" s="778" t="s">
        <v>517</v>
      </c>
      <c r="E220" s="260" t="s">
        <v>402</v>
      </c>
      <c r="F220" s="260" t="s">
        <v>403</v>
      </c>
      <c r="G220" s="261" t="s">
        <v>770</v>
      </c>
      <c r="P220" s="257"/>
    </row>
    <row r="221" spans="1:17" ht="15.95" customHeight="1" x14ac:dyDescent="0.2">
      <c r="A221" s="172" t="s">
        <v>518</v>
      </c>
      <c r="B221" s="168" t="s">
        <v>643</v>
      </c>
      <c r="C221" s="238">
        <v>2531420</v>
      </c>
      <c r="D221" s="238">
        <v>2531420</v>
      </c>
      <c r="E221" s="238">
        <f>G221-D221</f>
        <v>0</v>
      </c>
      <c r="F221" s="248">
        <f>G221/D221*100</f>
        <v>100</v>
      </c>
      <c r="G221" s="239">
        <f>'[1]Kiadások részletes COFOG'!F366</f>
        <v>2531420</v>
      </c>
      <c r="M221" s="3"/>
      <c r="P221" s="797"/>
    </row>
    <row r="222" spans="1:17" ht="15.95" customHeight="1" x14ac:dyDescent="0.2">
      <c r="A222" s="172" t="s">
        <v>646</v>
      </c>
      <c r="B222" s="168" t="s">
        <v>647</v>
      </c>
      <c r="C222" s="238">
        <v>24000</v>
      </c>
      <c r="D222" s="238">
        <v>24000</v>
      </c>
      <c r="E222" s="238">
        <f t="shared" ref="E222:E233" si="24">G222-D222</f>
        <v>0</v>
      </c>
      <c r="F222" s="248">
        <f t="shared" ref="F222:F229" si="25">G222/D222*100</f>
        <v>100</v>
      </c>
      <c r="G222" s="239">
        <f>'[1]Kiadások részletes COFOG'!F367</f>
        <v>24000</v>
      </c>
      <c r="P222" s="797"/>
    </row>
    <row r="223" spans="1:17" ht="18.75" customHeight="1" x14ac:dyDescent="0.2">
      <c r="A223" s="172" t="s">
        <v>631</v>
      </c>
      <c r="B223" s="168" t="s">
        <v>632</v>
      </c>
      <c r="C223" s="238">
        <v>12000</v>
      </c>
      <c r="D223" s="238">
        <v>12000</v>
      </c>
      <c r="E223" s="238">
        <f t="shared" si="24"/>
        <v>0</v>
      </c>
      <c r="F223" s="248">
        <f t="shared" si="25"/>
        <v>100</v>
      </c>
      <c r="G223" s="239">
        <f>'[1]Kiadások részletes COFOG'!F368</f>
        <v>12000</v>
      </c>
    </row>
    <row r="224" spans="1:17" ht="15.95" customHeight="1" x14ac:dyDescent="0.2">
      <c r="A224" s="172" t="s">
        <v>532</v>
      </c>
      <c r="B224" s="168" t="s">
        <v>533</v>
      </c>
      <c r="C224" s="238">
        <v>513484</v>
      </c>
      <c r="D224" s="238">
        <v>513484</v>
      </c>
      <c r="E224" s="238">
        <f t="shared" si="24"/>
        <v>0</v>
      </c>
      <c r="F224" s="248">
        <f t="shared" si="25"/>
        <v>100</v>
      </c>
      <c r="G224" s="239">
        <f>'[1]Kiadások részletes COFOG'!F370</f>
        <v>513484</v>
      </c>
      <c r="L224" s="3"/>
      <c r="M224" s="3"/>
      <c r="P224" s="797"/>
    </row>
    <row r="225" spans="1:16" ht="15.95" customHeight="1" x14ac:dyDescent="0.2">
      <c r="A225" s="172" t="s">
        <v>538</v>
      </c>
      <c r="B225" s="168" t="s">
        <v>539</v>
      </c>
      <c r="C225" s="251">
        <v>30000</v>
      </c>
      <c r="D225" s="251">
        <v>50000</v>
      </c>
      <c r="E225" s="238">
        <f t="shared" si="24"/>
        <v>0</v>
      </c>
      <c r="F225" s="248">
        <f t="shared" si="25"/>
        <v>100</v>
      </c>
      <c r="G225" s="252">
        <f>'[1]Kiadások részletes COFOG'!F374</f>
        <v>50000</v>
      </c>
      <c r="N225" s="294"/>
      <c r="O225" s="159"/>
      <c r="P225" s="798"/>
    </row>
    <row r="226" spans="1:16" ht="15.95" customHeight="1" x14ac:dyDescent="0.2">
      <c r="A226" s="172" t="s">
        <v>611</v>
      </c>
      <c r="B226" s="168" t="s">
        <v>612</v>
      </c>
      <c r="C226" s="251">
        <v>12361854</v>
      </c>
      <c r="D226" s="251">
        <v>11161854</v>
      </c>
      <c r="E226" s="238">
        <f t="shared" si="24"/>
        <v>0</v>
      </c>
      <c r="F226" s="248">
        <f t="shared" si="25"/>
        <v>100</v>
      </c>
      <c r="G226" s="252">
        <f>'[1]Kiadások részletes COFOG'!F375</f>
        <v>11161854</v>
      </c>
      <c r="H226" s="42"/>
    </row>
    <row r="227" spans="1:16" ht="15.95" customHeight="1" x14ac:dyDescent="0.2">
      <c r="A227" s="172" t="s">
        <v>556</v>
      </c>
      <c r="B227" s="168" t="s">
        <v>557</v>
      </c>
      <c r="C227" s="251">
        <v>0</v>
      </c>
      <c r="D227" s="251">
        <v>23000</v>
      </c>
      <c r="E227" s="238">
        <f t="shared" si="24"/>
        <v>0</v>
      </c>
      <c r="F227" s="248">
        <f t="shared" si="25"/>
        <v>100</v>
      </c>
      <c r="G227" s="252">
        <f>'[1]Kiadások részletes COFOG'!F376</f>
        <v>23000</v>
      </c>
      <c r="H227" s="42"/>
    </row>
    <row r="228" spans="1:16" ht="15.95" customHeight="1" x14ac:dyDescent="0.2">
      <c r="A228" s="172" t="s">
        <v>558</v>
      </c>
      <c r="B228" s="168" t="s">
        <v>607</v>
      </c>
      <c r="C228" s="251">
        <v>50000</v>
      </c>
      <c r="D228" s="251">
        <v>50000</v>
      </c>
      <c r="E228" s="238">
        <f t="shared" si="24"/>
        <v>0</v>
      </c>
      <c r="F228" s="248">
        <f t="shared" si="25"/>
        <v>100</v>
      </c>
      <c r="G228" s="252">
        <f>'[1]Kiadások részletes COFOG'!F377</f>
        <v>50000</v>
      </c>
    </row>
    <row r="229" spans="1:16" ht="21.75" customHeight="1" x14ac:dyDescent="0.2">
      <c r="A229" s="172" t="s">
        <v>562</v>
      </c>
      <c r="B229" s="168" t="s">
        <v>563</v>
      </c>
      <c r="C229" s="251">
        <v>3359301</v>
      </c>
      <c r="D229" s="251">
        <v>3035301</v>
      </c>
      <c r="E229" s="238">
        <f t="shared" si="24"/>
        <v>0</v>
      </c>
      <c r="F229" s="248">
        <f t="shared" si="25"/>
        <v>100</v>
      </c>
      <c r="G229" s="252">
        <f>'[1]Kiadások részletes COFOG'!F378</f>
        <v>3035301</v>
      </c>
    </row>
    <row r="230" spans="1:16" ht="18" customHeight="1" x14ac:dyDescent="0.2">
      <c r="A230" s="175" t="s">
        <v>585</v>
      </c>
      <c r="B230" s="185" t="s">
        <v>656</v>
      </c>
      <c r="C230" s="295">
        <v>0</v>
      </c>
      <c r="D230" s="295">
        <v>0</v>
      </c>
      <c r="E230" s="238">
        <f t="shared" si="24"/>
        <v>0</v>
      </c>
      <c r="F230" s="248"/>
      <c r="G230" s="296">
        <f>'[1]Kiadások részletes COFOG'!F380</f>
        <v>0</v>
      </c>
    </row>
    <row r="231" spans="1:16" ht="21.75" customHeight="1" x14ac:dyDescent="0.2">
      <c r="A231" s="175" t="s">
        <v>587</v>
      </c>
      <c r="B231" s="185" t="s">
        <v>588</v>
      </c>
      <c r="C231" s="295">
        <v>0</v>
      </c>
      <c r="D231" s="295">
        <v>0</v>
      </c>
      <c r="E231" s="238">
        <f t="shared" si="24"/>
        <v>0</v>
      </c>
      <c r="F231" s="248"/>
      <c r="G231" s="296">
        <f>'[1]Kiadások részletes COFOG'!F381</f>
        <v>0</v>
      </c>
    </row>
    <row r="232" spans="1:16" ht="21.75" customHeight="1" x14ac:dyDescent="0.2">
      <c r="A232" s="175" t="s">
        <v>657</v>
      </c>
      <c r="B232" s="185" t="s">
        <v>590</v>
      </c>
      <c r="C232" s="295">
        <v>0</v>
      </c>
      <c r="D232" s="295">
        <v>0</v>
      </c>
      <c r="E232" s="238">
        <f t="shared" si="24"/>
        <v>0</v>
      </c>
      <c r="F232" s="248"/>
      <c r="G232" s="296">
        <f>'[1]Kiadások részletes COFOG'!F382</f>
        <v>0</v>
      </c>
    </row>
    <row r="233" spans="1:16" ht="22.5" customHeight="1" thickBot="1" x14ac:dyDescent="0.25">
      <c r="A233" s="175" t="s">
        <v>658</v>
      </c>
      <c r="B233" s="185" t="s">
        <v>592</v>
      </c>
      <c r="C233" s="295">
        <v>0</v>
      </c>
      <c r="D233" s="295">
        <v>0</v>
      </c>
      <c r="E233" s="238">
        <f t="shared" si="24"/>
        <v>0</v>
      </c>
      <c r="F233" s="248"/>
      <c r="G233" s="296">
        <f>'[1]Kiadások részletes COFOG'!F383</f>
        <v>0</v>
      </c>
      <c r="H233" s="159"/>
      <c r="I233" s="270"/>
      <c r="J233" s="159"/>
      <c r="K233" s="159"/>
      <c r="L233" s="159"/>
      <c r="M233" s="159"/>
      <c r="N233" s="159"/>
      <c r="O233" s="159"/>
      <c r="P233" s="159"/>
    </row>
    <row r="234" spans="1:16" ht="23.25" customHeight="1" thickBot="1" x14ac:dyDescent="0.25">
      <c r="A234" s="939" t="s">
        <v>595</v>
      </c>
      <c r="B234" s="939"/>
      <c r="C234" s="297">
        <v>18882059</v>
      </c>
      <c r="D234" s="297">
        <v>17401059</v>
      </c>
      <c r="E234" s="297">
        <f>SUM(E221:E233)</f>
        <v>0</v>
      </c>
      <c r="F234" s="298">
        <f>G234/D234*100</f>
        <v>100</v>
      </c>
      <c r="G234" s="799">
        <f>SUM(G221:G233)</f>
        <v>17401059</v>
      </c>
    </row>
    <row r="235" spans="1:16" ht="24" customHeight="1" thickBot="1" x14ac:dyDescent="0.25">
      <c r="A235" s="953" t="s">
        <v>659</v>
      </c>
      <c r="B235" s="953"/>
      <c r="C235" s="953"/>
      <c r="D235" s="953"/>
      <c r="E235" s="953"/>
      <c r="F235" s="953"/>
      <c r="G235" s="953"/>
    </row>
    <row r="236" spans="1:16" ht="22.5" customHeight="1" thickBot="1" x14ac:dyDescent="0.25">
      <c r="A236" s="964" t="s">
        <v>398</v>
      </c>
      <c r="B236" s="965" t="s">
        <v>399</v>
      </c>
      <c r="C236" s="966">
        <v>2019</v>
      </c>
      <c r="D236" s="967"/>
      <c r="E236" s="967"/>
      <c r="F236" s="967"/>
      <c r="G236" s="968"/>
      <c r="M236" s="267"/>
    </row>
    <row r="237" spans="1:16" ht="24.75" customHeight="1" thickBot="1" x14ac:dyDescent="0.25">
      <c r="A237" s="964"/>
      <c r="B237" s="965"/>
      <c r="C237" s="260" t="s">
        <v>401</v>
      </c>
      <c r="D237" s="778" t="s">
        <v>517</v>
      </c>
      <c r="E237" s="260" t="s">
        <v>402</v>
      </c>
      <c r="F237" s="260" t="s">
        <v>403</v>
      </c>
      <c r="G237" s="261" t="s">
        <v>770</v>
      </c>
    </row>
    <row r="238" spans="1:16" ht="28.5" customHeight="1" thickBot="1" x14ac:dyDescent="0.25">
      <c r="A238" s="796" t="s">
        <v>660</v>
      </c>
      <c r="B238" s="292" t="s">
        <v>661</v>
      </c>
      <c r="C238" s="299">
        <v>6556000</v>
      </c>
      <c r="D238" s="299">
        <v>6756000</v>
      </c>
      <c r="E238" s="299">
        <f>G238-D238</f>
        <v>-6756000</v>
      </c>
      <c r="F238" s="286">
        <f>G238/D238*100</f>
        <v>0</v>
      </c>
      <c r="G238" s="800">
        <f>'[1]Kiadások részletes COFOG'!F388+'[1]Kiadások részletes COFOG'!F389</f>
        <v>0</v>
      </c>
      <c r="H238" s="42"/>
      <c r="I238" s="282"/>
    </row>
    <row r="239" spans="1:16" ht="24" customHeight="1" thickBot="1" x14ac:dyDescent="0.25">
      <c r="A239" s="939" t="s">
        <v>595</v>
      </c>
      <c r="B239" s="939"/>
      <c r="C239" s="300">
        <v>6556000</v>
      </c>
      <c r="D239" s="300">
        <v>6756000</v>
      </c>
      <c r="E239" s="300">
        <f>SUM(E238)</f>
        <v>-6756000</v>
      </c>
      <c r="F239" s="293">
        <f>G239/D239*100</f>
        <v>0</v>
      </c>
      <c r="G239" s="799">
        <f>SUM(G238)</f>
        <v>0</v>
      </c>
    </row>
    <row r="240" spans="1:16" ht="26.25" customHeight="1" thickBot="1" x14ac:dyDescent="0.25">
      <c r="A240" s="953" t="s">
        <v>496</v>
      </c>
      <c r="B240" s="953"/>
      <c r="C240" s="953"/>
      <c r="D240" s="953"/>
      <c r="E240" s="953"/>
      <c r="F240" s="953"/>
      <c r="G240" s="953"/>
    </row>
    <row r="241" spans="1:7" ht="17.25" customHeight="1" thickBot="1" x14ac:dyDescent="0.25">
      <c r="A241" s="964" t="s">
        <v>398</v>
      </c>
      <c r="B241" s="965" t="s">
        <v>399</v>
      </c>
      <c r="C241" s="966">
        <v>2019</v>
      </c>
      <c r="D241" s="967"/>
      <c r="E241" s="967"/>
      <c r="F241" s="967"/>
      <c r="G241" s="968"/>
    </row>
    <row r="242" spans="1:7" ht="25.5" customHeight="1" thickBot="1" x14ac:dyDescent="0.25">
      <c r="A242" s="964"/>
      <c r="B242" s="965"/>
      <c r="C242" s="260" t="s">
        <v>401</v>
      </c>
      <c r="D242" s="778" t="s">
        <v>517</v>
      </c>
      <c r="E242" s="260" t="s">
        <v>402</v>
      </c>
      <c r="F242" s="260" t="s">
        <v>403</v>
      </c>
      <c r="G242" s="261" t="s">
        <v>770</v>
      </c>
    </row>
    <row r="243" spans="1:7" ht="21" customHeight="1" x14ac:dyDescent="0.2">
      <c r="A243" s="175" t="s">
        <v>611</v>
      </c>
      <c r="B243" s="185" t="s">
        <v>662</v>
      </c>
      <c r="C243" s="244">
        <v>0</v>
      </c>
      <c r="D243" s="244">
        <v>1200000</v>
      </c>
      <c r="E243" s="244">
        <f>G243-D243</f>
        <v>0</v>
      </c>
      <c r="F243" s="245">
        <f>G243/D243*100</f>
        <v>100</v>
      </c>
      <c r="G243" s="249">
        <f>'[1]Kiadások részletes COFOG'!F394</f>
        <v>1200000</v>
      </c>
    </row>
    <row r="244" spans="1:7" ht="21" customHeight="1" thickBot="1" x14ac:dyDescent="0.25">
      <c r="A244" s="175" t="s">
        <v>562</v>
      </c>
      <c r="B244" s="271" t="s">
        <v>563</v>
      </c>
      <c r="C244" s="244">
        <v>0</v>
      </c>
      <c r="D244" s="244">
        <v>324000</v>
      </c>
      <c r="E244" s="244">
        <f>G244-D244</f>
        <v>0</v>
      </c>
      <c r="F244" s="245">
        <f>G244/D244*100</f>
        <v>100</v>
      </c>
      <c r="G244" s="249">
        <f>'[1]Kiadások részletes COFOG'!F395</f>
        <v>324000</v>
      </c>
    </row>
    <row r="245" spans="1:7" ht="19.5" customHeight="1" thickBot="1" x14ac:dyDescent="0.25">
      <c r="A245" s="939" t="s">
        <v>595</v>
      </c>
      <c r="B245" s="939"/>
      <c r="C245" s="188">
        <v>0</v>
      </c>
      <c r="D245" s="188">
        <v>1524000</v>
      </c>
      <c r="E245" s="188">
        <f>E243+E244</f>
        <v>0</v>
      </c>
      <c r="F245" s="189">
        <f>G245/D245*100</f>
        <v>100</v>
      </c>
      <c r="G245" s="748">
        <f>G243+G244</f>
        <v>1524000</v>
      </c>
    </row>
    <row r="246" spans="1:7" ht="22.5" customHeight="1" thickBot="1" x14ac:dyDescent="0.25">
      <c r="A246" s="953" t="s">
        <v>663</v>
      </c>
      <c r="B246" s="953"/>
      <c r="C246" s="953"/>
      <c r="D246" s="953"/>
      <c r="E246" s="953"/>
      <c r="F246" s="953"/>
      <c r="G246" s="953"/>
    </row>
    <row r="247" spans="1:7" ht="19.5" customHeight="1" thickBot="1" x14ac:dyDescent="0.25">
      <c r="A247" s="964" t="s">
        <v>398</v>
      </c>
      <c r="B247" s="965" t="s">
        <v>399</v>
      </c>
      <c r="C247" s="966">
        <v>2019</v>
      </c>
      <c r="D247" s="967"/>
      <c r="E247" s="967"/>
      <c r="F247" s="967"/>
      <c r="G247" s="968"/>
    </row>
    <row r="248" spans="1:7" ht="21.75" customHeight="1" thickBot="1" x14ac:dyDescent="0.25">
      <c r="A248" s="964"/>
      <c r="B248" s="965"/>
      <c r="C248" s="260" t="s">
        <v>401</v>
      </c>
      <c r="D248" s="778" t="s">
        <v>517</v>
      </c>
      <c r="E248" s="260" t="s">
        <v>402</v>
      </c>
      <c r="F248" s="260" t="s">
        <v>403</v>
      </c>
      <c r="G248" s="261" t="s">
        <v>770</v>
      </c>
    </row>
    <row r="249" spans="1:7" ht="19.5" customHeight="1" x14ac:dyDescent="0.2">
      <c r="A249" s="268" t="s">
        <v>611</v>
      </c>
      <c r="B249" s="301" t="s">
        <v>612</v>
      </c>
      <c r="C249" s="238">
        <v>27559</v>
      </c>
      <c r="D249" s="238">
        <v>27559</v>
      </c>
      <c r="E249" s="238">
        <f>G249-D249</f>
        <v>0</v>
      </c>
      <c r="F249" s="248">
        <f>G249/D249*100</f>
        <v>100</v>
      </c>
      <c r="G249" s="239">
        <f>'[1]Kiadások részletes COFOG'!F405</f>
        <v>27559</v>
      </c>
    </row>
    <row r="250" spans="1:7" ht="19.5" customHeight="1" thickBot="1" x14ac:dyDescent="0.25">
      <c r="A250" s="268" t="s">
        <v>562</v>
      </c>
      <c r="B250" s="301" t="s">
        <v>563</v>
      </c>
      <c r="C250" s="238">
        <v>7441</v>
      </c>
      <c r="D250" s="238">
        <v>7440.93</v>
      </c>
      <c r="E250" s="238">
        <f>G250-D250</f>
        <v>0</v>
      </c>
      <c r="F250" s="248">
        <f>G250/D250*100</f>
        <v>100</v>
      </c>
      <c r="G250" s="239">
        <f>'[1]Kiadások részletes COFOG'!F406</f>
        <v>7440.93</v>
      </c>
    </row>
    <row r="251" spans="1:7" ht="19.5" customHeight="1" thickBot="1" x14ac:dyDescent="0.25">
      <c r="A251" s="939" t="s">
        <v>595</v>
      </c>
      <c r="B251" s="939"/>
      <c r="C251" s="188">
        <v>35000</v>
      </c>
      <c r="D251" s="188">
        <v>34999.93</v>
      </c>
      <c r="E251" s="188">
        <f>SUM(E249:E250)</f>
        <v>0</v>
      </c>
      <c r="F251" s="189">
        <f>G251/D251*100</f>
        <v>100</v>
      </c>
      <c r="G251" s="748">
        <f>SUM(G249:G250)</f>
        <v>34999.93</v>
      </c>
    </row>
    <row r="252" spans="1:7" ht="23.25" customHeight="1" thickBot="1" x14ac:dyDescent="0.25">
      <c r="A252" s="953" t="s">
        <v>512</v>
      </c>
      <c r="B252" s="953"/>
      <c r="C252" s="953"/>
      <c r="D252" s="953"/>
      <c r="E252" s="953"/>
      <c r="F252" s="953"/>
      <c r="G252" s="953"/>
    </row>
    <row r="253" spans="1:7" ht="16.5" customHeight="1" thickBot="1" x14ac:dyDescent="0.25">
      <c r="A253" s="964" t="s">
        <v>398</v>
      </c>
      <c r="B253" s="965" t="s">
        <v>399</v>
      </c>
      <c r="C253" s="966">
        <v>2019</v>
      </c>
      <c r="D253" s="967"/>
      <c r="E253" s="967"/>
      <c r="F253" s="967"/>
      <c r="G253" s="968"/>
    </row>
    <row r="254" spans="1:7" ht="25.5" customHeight="1" thickBot="1" x14ac:dyDescent="0.25">
      <c r="A254" s="964"/>
      <c r="B254" s="965"/>
      <c r="C254" s="260" t="s">
        <v>401</v>
      </c>
      <c r="D254" s="778" t="s">
        <v>517</v>
      </c>
      <c r="E254" s="260" t="s">
        <v>402</v>
      </c>
      <c r="F254" s="260" t="s">
        <v>403</v>
      </c>
      <c r="G254" s="261" t="s">
        <v>770</v>
      </c>
    </row>
    <row r="255" spans="1:7" ht="25.5" customHeight="1" thickBot="1" x14ac:dyDescent="0.25">
      <c r="A255" s="272" t="s">
        <v>664</v>
      </c>
      <c r="B255" s="273" t="s">
        <v>665</v>
      </c>
      <c r="C255" s="302">
        <v>0</v>
      </c>
      <c r="D255" s="302">
        <v>103500</v>
      </c>
      <c r="E255" s="274">
        <f>G255-D255</f>
        <v>0</v>
      </c>
      <c r="F255" s="245">
        <f>G255/D255*100</f>
        <v>100</v>
      </c>
      <c r="G255" s="303">
        <f>'[1]Kiadások részletes COFOG'!F400</f>
        <v>103500</v>
      </c>
    </row>
    <row r="256" spans="1:7" ht="21" customHeight="1" thickBot="1" x14ac:dyDescent="0.25">
      <c r="A256" s="939" t="s">
        <v>595</v>
      </c>
      <c r="B256" s="939"/>
      <c r="C256" s="188">
        <v>0</v>
      </c>
      <c r="D256" s="188">
        <v>103500</v>
      </c>
      <c r="E256" s="188">
        <f>SUM(E255:E255)</f>
        <v>0</v>
      </c>
      <c r="F256" s="189">
        <f>G256/D256*100</f>
        <v>100</v>
      </c>
      <c r="G256" s="748">
        <f>SUM(G255:G255)</f>
        <v>103500</v>
      </c>
    </row>
    <row r="257" spans="1:13" ht="24.75" customHeight="1" thickBot="1" x14ac:dyDescent="0.25">
      <c r="A257" s="953" t="s">
        <v>666</v>
      </c>
      <c r="B257" s="953"/>
      <c r="C257" s="953"/>
      <c r="D257" s="953"/>
      <c r="E257" s="953"/>
      <c r="F257" s="953"/>
      <c r="G257" s="953"/>
    </row>
    <row r="258" spans="1:13" ht="15.75" customHeight="1" thickBot="1" x14ac:dyDescent="0.25">
      <c r="A258" s="964" t="s">
        <v>398</v>
      </c>
      <c r="B258" s="965" t="s">
        <v>399</v>
      </c>
      <c r="C258" s="966">
        <v>2019</v>
      </c>
      <c r="D258" s="967"/>
      <c r="E258" s="967"/>
      <c r="F258" s="967"/>
      <c r="G258" s="968"/>
    </row>
    <row r="259" spans="1:13" ht="24" customHeight="1" thickBot="1" x14ac:dyDescent="0.25">
      <c r="A259" s="969"/>
      <c r="B259" s="970"/>
      <c r="C259" s="260" t="s">
        <v>401</v>
      </c>
      <c r="D259" s="778" t="s">
        <v>517</v>
      </c>
      <c r="E259" s="260" t="s">
        <v>402</v>
      </c>
      <c r="F259" s="260" t="s">
        <v>403</v>
      </c>
      <c r="G259" s="261" t="s">
        <v>770</v>
      </c>
    </row>
    <row r="260" spans="1:13" ht="24" customHeight="1" x14ac:dyDescent="0.2">
      <c r="A260" s="801" t="s">
        <v>773</v>
      </c>
      <c r="B260" s="802" t="s">
        <v>622</v>
      </c>
      <c r="C260" s="803">
        <v>0</v>
      </c>
      <c r="D260" s="804">
        <v>0</v>
      </c>
      <c r="E260" s="295">
        <f t="shared" ref="E260:E262" si="26">G260-D260</f>
        <v>150000</v>
      </c>
      <c r="F260" s="805"/>
      <c r="G260" s="806">
        <f>'[1]Kiadások részletes COFOG'!F411</f>
        <v>150000</v>
      </c>
    </row>
    <row r="261" spans="1:13" ht="24" customHeight="1" x14ac:dyDescent="0.2">
      <c r="A261" s="781" t="s">
        <v>774</v>
      </c>
      <c r="B261" s="782" t="s">
        <v>533</v>
      </c>
      <c r="C261" s="783">
        <v>0</v>
      </c>
      <c r="D261" s="784">
        <v>0</v>
      </c>
      <c r="E261" s="295">
        <f t="shared" si="26"/>
        <v>26250</v>
      </c>
      <c r="F261" s="807"/>
      <c r="G261" s="808">
        <f>'[1]Kiadások részletes COFOG'!F412</f>
        <v>26250</v>
      </c>
    </row>
    <row r="262" spans="1:13" ht="24" customHeight="1" x14ac:dyDescent="0.2">
      <c r="A262" s="172" t="s">
        <v>556</v>
      </c>
      <c r="B262" s="168" t="s">
        <v>557</v>
      </c>
      <c r="C262" s="251">
        <v>25500</v>
      </c>
      <c r="D262" s="251">
        <v>25500</v>
      </c>
      <c r="E262" s="295">
        <f t="shared" si="26"/>
        <v>0</v>
      </c>
      <c r="F262" s="809">
        <f>G262/D262*100</f>
        <v>100</v>
      </c>
      <c r="G262" s="252">
        <f>'[1]Kiadások részletes COFOG'!F413</f>
        <v>25500</v>
      </c>
    </row>
    <row r="263" spans="1:13" ht="24.75" customHeight="1" thickBot="1" x14ac:dyDescent="0.25">
      <c r="A263" s="175" t="s">
        <v>660</v>
      </c>
      <c r="B263" s="185" t="s">
        <v>667</v>
      </c>
      <c r="C263" s="295">
        <v>400000</v>
      </c>
      <c r="D263" s="295">
        <v>400000</v>
      </c>
      <c r="E263" s="295">
        <f>G263-D263</f>
        <v>-400000</v>
      </c>
      <c r="F263" s="809">
        <f>G263/D263*100</f>
        <v>0</v>
      </c>
      <c r="G263" s="296">
        <f>'[1]Kiadások részletes COFOG'!F414</f>
        <v>0</v>
      </c>
      <c r="H263" s="277"/>
      <c r="M263" s="159"/>
    </row>
    <row r="264" spans="1:13" ht="21.75" customHeight="1" thickBot="1" x14ac:dyDescent="0.25">
      <c r="A264" s="939" t="s">
        <v>595</v>
      </c>
      <c r="B264" s="939"/>
      <c r="C264" s="300">
        <v>425500</v>
      </c>
      <c r="D264" s="300">
        <v>425500</v>
      </c>
      <c r="E264" s="300">
        <f>SUM(E260:E263)</f>
        <v>-223750</v>
      </c>
      <c r="F264" s="810">
        <f>G264/D264*100</f>
        <v>47.414806110458287</v>
      </c>
      <c r="G264" s="799">
        <f>SUM(G260:G263)</f>
        <v>201750</v>
      </c>
    </row>
    <row r="265" spans="1:13" ht="24.75" customHeight="1" thickBot="1" x14ac:dyDescent="0.25">
      <c r="A265" s="941" t="s">
        <v>668</v>
      </c>
      <c r="B265" s="941"/>
      <c r="C265" s="941"/>
      <c r="D265" s="941"/>
      <c r="E265" s="941"/>
      <c r="F265" s="941"/>
      <c r="G265" s="941"/>
    </row>
    <row r="266" spans="1:13" ht="18.75" customHeight="1" thickBot="1" x14ac:dyDescent="0.25">
      <c r="A266" s="964" t="s">
        <v>398</v>
      </c>
      <c r="B266" s="965" t="s">
        <v>399</v>
      </c>
      <c r="C266" s="966">
        <v>2019</v>
      </c>
      <c r="D266" s="967"/>
      <c r="E266" s="967"/>
      <c r="F266" s="967"/>
      <c r="G266" s="968"/>
    </row>
    <row r="267" spans="1:13" ht="25.5" customHeight="1" thickBot="1" x14ac:dyDescent="0.25">
      <c r="A267" s="964"/>
      <c r="B267" s="965"/>
      <c r="C267" s="260" t="s">
        <v>401</v>
      </c>
      <c r="D267" s="778" t="s">
        <v>517</v>
      </c>
      <c r="E267" s="260" t="s">
        <v>402</v>
      </c>
      <c r="F267" s="260" t="s">
        <v>403</v>
      </c>
      <c r="G267" s="261" t="s">
        <v>770</v>
      </c>
    </row>
    <row r="268" spans="1:13" ht="21" customHeight="1" x14ac:dyDescent="0.2">
      <c r="A268" s="272" t="s">
        <v>538</v>
      </c>
      <c r="B268" s="273" t="s">
        <v>669</v>
      </c>
      <c r="C268" s="274">
        <v>0</v>
      </c>
      <c r="D268" s="274">
        <v>2758000</v>
      </c>
      <c r="E268" s="274">
        <f>G268-D268</f>
        <v>0</v>
      </c>
      <c r="F268" s="275">
        <f t="shared" ref="F268:F271" si="27">G268/D268*100</f>
        <v>100</v>
      </c>
      <c r="G268" s="276">
        <f>'[1]Kiadások részletes COFOG'!F419+'[1]Kiadások részletes COFOG'!F420</f>
        <v>2758000</v>
      </c>
    </row>
    <row r="269" spans="1:13" ht="21" customHeight="1" x14ac:dyDescent="0.2">
      <c r="A269" s="272" t="s">
        <v>550</v>
      </c>
      <c r="B269" s="273" t="s">
        <v>551</v>
      </c>
      <c r="C269" s="274">
        <v>0</v>
      </c>
      <c r="D269" s="274">
        <v>0</v>
      </c>
      <c r="E269" s="274">
        <f t="shared" ref="E269:E274" si="28">G269-D269</f>
        <v>0</v>
      </c>
      <c r="F269" s="275"/>
      <c r="G269" s="276">
        <v>0</v>
      </c>
    </row>
    <row r="270" spans="1:13" ht="18.75" customHeight="1" x14ac:dyDescent="0.2">
      <c r="A270" s="272" t="s">
        <v>558</v>
      </c>
      <c r="B270" s="273" t="s">
        <v>670</v>
      </c>
      <c r="C270" s="274">
        <v>0</v>
      </c>
      <c r="D270" s="274">
        <v>500000</v>
      </c>
      <c r="E270" s="274">
        <f t="shared" si="28"/>
        <v>0</v>
      </c>
      <c r="F270" s="275">
        <f t="shared" si="27"/>
        <v>100</v>
      </c>
      <c r="G270" s="276">
        <f>'[1]Kiadások részletes COFOG'!F421</f>
        <v>500000</v>
      </c>
    </row>
    <row r="271" spans="1:13" ht="18" customHeight="1" x14ac:dyDescent="0.2">
      <c r="A271" s="272" t="s">
        <v>562</v>
      </c>
      <c r="B271" s="273" t="s">
        <v>671</v>
      </c>
      <c r="C271" s="274">
        <v>0</v>
      </c>
      <c r="D271" s="274">
        <v>900000</v>
      </c>
      <c r="E271" s="274">
        <f t="shared" si="28"/>
        <v>0</v>
      </c>
      <c r="F271" s="275">
        <f t="shared" si="27"/>
        <v>100</v>
      </c>
      <c r="G271" s="276">
        <f>'[1]Kiadások részletes COFOG'!F422</f>
        <v>900000</v>
      </c>
    </row>
    <row r="272" spans="1:13" ht="18" customHeight="1" x14ac:dyDescent="0.2">
      <c r="A272" s="272" t="s">
        <v>672</v>
      </c>
      <c r="B272" s="273" t="s">
        <v>673</v>
      </c>
      <c r="C272" s="274">
        <v>500000</v>
      </c>
      <c r="D272" s="274">
        <v>500000</v>
      </c>
      <c r="E272" s="274">
        <f t="shared" si="28"/>
        <v>0</v>
      </c>
      <c r="F272" s="275">
        <f>G272/D272*100</f>
        <v>100</v>
      </c>
      <c r="G272" s="276">
        <f>'[1]Kiadások részletes COFOG'!F423</f>
        <v>500000</v>
      </c>
    </row>
    <row r="273" spans="1:16" ht="24" customHeight="1" x14ac:dyDescent="0.2">
      <c r="A273" s="172" t="s">
        <v>672</v>
      </c>
      <c r="B273" s="168" t="s">
        <v>674</v>
      </c>
      <c r="C273" s="238">
        <v>5017000</v>
      </c>
      <c r="D273" s="238">
        <v>5017000</v>
      </c>
      <c r="E273" s="274">
        <f t="shared" si="28"/>
        <v>0</v>
      </c>
      <c r="F273" s="275">
        <f t="shared" ref="F273:F274" si="29">G273/D273*100</f>
        <v>100</v>
      </c>
      <c r="G273" s="239">
        <f>'[1]Kiadások részletes COFOG'!F424</f>
        <v>5017000</v>
      </c>
    </row>
    <row r="274" spans="1:16" ht="21" customHeight="1" thickBot="1" x14ac:dyDescent="0.25">
      <c r="A274" s="175" t="s">
        <v>672</v>
      </c>
      <c r="B274" s="185" t="s">
        <v>675</v>
      </c>
      <c r="C274" s="244">
        <v>5190000</v>
      </c>
      <c r="D274" s="244">
        <v>5190000</v>
      </c>
      <c r="E274" s="274">
        <f t="shared" si="28"/>
        <v>0</v>
      </c>
      <c r="F274" s="275">
        <f t="shared" si="29"/>
        <v>100</v>
      </c>
      <c r="G274" s="249">
        <f>'[1]Kiadások részletes COFOG'!F426</f>
        <v>5190000</v>
      </c>
      <c r="N274" s="305"/>
      <c r="O274" s="305"/>
      <c r="P274" s="304"/>
    </row>
    <row r="275" spans="1:16" ht="19.5" customHeight="1" thickBot="1" x14ac:dyDescent="0.25">
      <c r="A275" s="939" t="s">
        <v>595</v>
      </c>
      <c r="B275" s="939"/>
      <c r="C275" s="188">
        <v>10707000</v>
      </c>
      <c r="D275" s="188">
        <v>14865000</v>
      </c>
      <c r="E275" s="188">
        <f>SUM(E268:E274)</f>
        <v>0</v>
      </c>
      <c r="F275" s="189">
        <f>G275/D275*100</f>
        <v>100</v>
      </c>
      <c r="G275" s="748">
        <f>SUM(G268:G274)</f>
        <v>14865000</v>
      </c>
      <c r="N275" s="962"/>
      <c r="O275" s="962"/>
      <c r="P275" s="304"/>
    </row>
    <row r="276" spans="1:16" x14ac:dyDescent="0.2">
      <c r="N276" s="962"/>
      <c r="O276" s="962"/>
      <c r="P276" s="304"/>
    </row>
    <row r="277" spans="1:16" ht="6.75" customHeight="1" x14ac:dyDescent="0.2">
      <c r="N277" s="962"/>
      <c r="O277" s="962"/>
      <c r="P277" s="304"/>
    </row>
    <row r="278" spans="1:16" ht="0.75" customHeight="1" thickBot="1" x14ac:dyDescent="0.25">
      <c r="N278" s="962"/>
      <c r="O278" s="962"/>
      <c r="P278" s="304"/>
    </row>
    <row r="279" spans="1:16" ht="21.75" customHeight="1" thickBot="1" x14ac:dyDescent="0.25">
      <c r="A279" s="306" t="s">
        <v>188</v>
      </c>
      <c r="B279" s="307"/>
      <c r="C279" s="811">
        <f>C50+C65+C76+C86+C92+C98+C108+C117+C128+C136+C144+C168+C194+C200+C212+C217+C234+C239+C245+C251+C256+C264+C275</f>
        <v>425416438</v>
      </c>
      <c r="D279" s="811">
        <f>D50+D65+D76+D86+D92+D98+D108+D117+D128+D136+D144+D168+D194+D200+D212+D217+D234+D239+D245+D251+D256+D264+D275</f>
        <v>492363343.93000001</v>
      </c>
      <c r="E279" s="811">
        <f>E50+E65+E76+E86+E92+E98+E108+E117+E128+E136+E144+E168+E194+E200+E212+E217+E234+E239+E245+E251+E256+E264+E275</f>
        <v>27677656</v>
      </c>
      <c r="F279" s="812">
        <f>G279/D279*100</f>
        <v>105.62138841999882</v>
      </c>
      <c r="G279" s="811">
        <f>G50+G65+G76+G86+G92+G98+G108+G117+G128+G136+G144+G168+G194+G200+G212+G217+G234+G239+G245+G251+G256+G264+G275</f>
        <v>520040999.93000001</v>
      </c>
      <c r="N279" s="963"/>
      <c r="O279" s="963"/>
      <c r="P279" s="304"/>
    </row>
    <row r="280" spans="1:16" x14ac:dyDescent="0.2">
      <c r="P280" s="304"/>
    </row>
    <row r="281" spans="1:16" x14ac:dyDescent="0.2">
      <c r="D281" s="776"/>
      <c r="E281" s="776"/>
      <c r="F281" s="776"/>
      <c r="G281" s="776">
        <f>G279-'[1]Kiadások részletes COFOG'!F439</f>
        <v>0</v>
      </c>
    </row>
    <row r="284" spans="1:16" x14ac:dyDescent="0.2">
      <c r="L284" s="3"/>
    </row>
    <row r="287" spans="1:16" x14ac:dyDescent="0.2">
      <c r="L287" s="3"/>
    </row>
    <row r="290" spans="12:15" x14ac:dyDescent="0.2">
      <c r="L290" s="3"/>
    </row>
    <row r="292" spans="12:15" x14ac:dyDescent="0.2">
      <c r="O292" s="3"/>
    </row>
    <row r="293" spans="12:15" x14ac:dyDescent="0.2">
      <c r="O293" s="3"/>
    </row>
    <row r="297" spans="12:15" x14ac:dyDescent="0.2">
      <c r="M297" s="3"/>
    </row>
    <row r="300" spans="12:15" x14ac:dyDescent="0.2">
      <c r="M300" s="3"/>
    </row>
    <row r="304" spans="12:15" x14ac:dyDescent="0.2">
      <c r="L304" s="3"/>
    </row>
  </sheetData>
  <mergeCells count="127">
    <mergeCell ref="A217:B217"/>
    <mergeCell ref="A218:G218"/>
    <mergeCell ref="A219:A220"/>
    <mergeCell ref="A236:A237"/>
    <mergeCell ref="B236:B237"/>
    <mergeCell ref="A234:B234"/>
    <mergeCell ref="A253:A254"/>
    <mergeCell ref="B253:B254"/>
    <mergeCell ref="A251:B251"/>
    <mergeCell ref="B219:B220"/>
    <mergeCell ref="C219:G219"/>
    <mergeCell ref="A235:G235"/>
    <mergeCell ref="C236:G236"/>
    <mergeCell ref="A239:B239"/>
    <mergeCell ref="A240:G240"/>
    <mergeCell ref="A241:A242"/>
    <mergeCell ref="B241:B242"/>
    <mergeCell ref="C241:G241"/>
    <mergeCell ref="A212:B212"/>
    <mergeCell ref="A214:A215"/>
    <mergeCell ref="B214:B215"/>
    <mergeCell ref="A200:B200"/>
    <mergeCell ref="A201:G201"/>
    <mergeCell ref="A202:A203"/>
    <mergeCell ref="B202:B203"/>
    <mergeCell ref="C202:G202"/>
    <mergeCell ref="A213:G213"/>
    <mergeCell ref="C214:G214"/>
    <mergeCell ref="A136:B136"/>
    <mergeCell ref="A137:G137"/>
    <mergeCell ref="A138:A139"/>
    <mergeCell ref="B138:B139"/>
    <mergeCell ref="C138:G138"/>
    <mergeCell ref="A194:B194"/>
    <mergeCell ref="A195:G195"/>
    <mergeCell ref="A196:A197"/>
    <mergeCell ref="B196:B197"/>
    <mergeCell ref="C196:G196"/>
    <mergeCell ref="A144:B144"/>
    <mergeCell ref="A145:G145"/>
    <mergeCell ref="A146:A147"/>
    <mergeCell ref="B146:B147"/>
    <mergeCell ref="C146:G146"/>
    <mergeCell ref="A168:B168"/>
    <mergeCell ref="A169:G169"/>
    <mergeCell ref="A170:A171"/>
    <mergeCell ref="B170:B171"/>
    <mergeCell ref="C170:G170"/>
    <mergeCell ref="A118:G118"/>
    <mergeCell ref="A119:A120"/>
    <mergeCell ref="B119:B120"/>
    <mergeCell ref="C119:G119"/>
    <mergeCell ref="J126:K126"/>
    <mergeCell ref="A128:B128"/>
    <mergeCell ref="A129:G129"/>
    <mergeCell ref="A130:A131"/>
    <mergeCell ref="B130:B131"/>
    <mergeCell ref="C130:G130"/>
    <mergeCell ref="A100:A101"/>
    <mergeCell ref="B100:B101"/>
    <mergeCell ref="C100:G100"/>
    <mergeCell ref="A108:B108"/>
    <mergeCell ref="A109:G109"/>
    <mergeCell ref="A110:A111"/>
    <mergeCell ref="B110:B111"/>
    <mergeCell ref="C110:G110"/>
    <mergeCell ref="A117:B117"/>
    <mergeCell ref="A66:G66"/>
    <mergeCell ref="A76:B76"/>
    <mergeCell ref="A78:A79"/>
    <mergeCell ref="B78:B79"/>
    <mergeCell ref="A86:B86"/>
    <mergeCell ref="A65:B65"/>
    <mergeCell ref="A67:A68"/>
    <mergeCell ref="B67:B68"/>
    <mergeCell ref="C67:G67"/>
    <mergeCell ref="A40:A42"/>
    <mergeCell ref="A50:B50"/>
    <mergeCell ref="A52:A53"/>
    <mergeCell ref="B52:B53"/>
    <mergeCell ref="A8:A9"/>
    <mergeCell ref="B8:B9"/>
    <mergeCell ref="F1:G1"/>
    <mergeCell ref="A2:G2"/>
    <mergeCell ref="A3:G3"/>
    <mergeCell ref="A5:G5"/>
    <mergeCell ref="A7:G7"/>
    <mergeCell ref="C8:G8"/>
    <mergeCell ref="A51:G51"/>
    <mergeCell ref="C52:G52"/>
    <mergeCell ref="J75:K75"/>
    <mergeCell ref="A77:G77"/>
    <mergeCell ref="C78:G78"/>
    <mergeCell ref="A87:G87"/>
    <mergeCell ref="C88:G88"/>
    <mergeCell ref="A93:G93"/>
    <mergeCell ref="C94:G94"/>
    <mergeCell ref="A98:B98"/>
    <mergeCell ref="A99:G99"/>
    <mergeCell ref="A94:A95"/>
    <mergeCell ref="B94:B95"/>
    <mergeCell ref="A88:A89"/>
    <mergeCell ref="B88:B89"/>
    <mergeCell ref="A92:B92"/>
    <mergeCell ref="A275:B275"/>
    <mergeCell ref="N275:O275"/>
    <mergeCell ref="N276:O276"/>
    <mergeCell ref="N277:O277"/>
    <mergeCell ref="N278:O278"/>
    <mergeCell ref="N279:O279"/>
    <mergeCell ref="A245:B245"/>
    <mergeCell ref="A246:G246"/>
    <mergeCell ref="A247:A248"/>
    <mergeCell ref="B247:B248"/>
    <mergeCell ref="C247:G247"/>
    <mergeCell ref="A252:G252"/>
    <mergeCell ref="C253:G253"/>
    <mergeCell ref="A256:B256"/>
    <mergeCell ref="A257:G257"/>
    <mergeCell ref="A258:A259"/>
    <mergeCell ref="B258:B259"/>
    <mergeCell ref="C258:G258"/>
    <mergeCell ref="A264:B264"/>
    <mergeCell ref="A265:G265"/>
    <mergeCell ref="A266:A267"/>
    <mergeCell ref="B266:B267"/>
    <mergeCell ref="C266:G26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F22"/>
  <sheetViews>
    <sheetView zoomScaleNormal="100" workbookViewId="0">
      <selection activeCell="I15" sqref="I15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1089" t="s">
        <v>388</v>
      </c>
      <c r="B1" s="1089"/>
      <c r="C1" s="1089"/>
      <c r="D1" s="1089"/>
      <c r="E1" s="1089"/>
      <c r="F1" s="12"/>
    </row>
    <row r="2" spans="1:6" ht="15" x14ac:dyDescent="0.2">
      <c r="B2" s="11"/>
      <c r="C2" s="11"/>
      <c r="D2" s="11"/>
      <c r="E2" s="11"/>
      <c r="F2" s="11"/>
    </row>
    <row r="3" spans="1:6" ht="42" customHeight="1" x14ac:dyDescent="0.2">
      <c r="B3" s="1181" t="s">
        <v>268</v>
      </c>
      <c r="C3" s="1181"/>
      <c r="D3" s="1181"/>
      <c r="E3" s="1181"/>
    </row>
    <row r="4" spans="1:6" ht="15" thickBot="1" x14ac:dyDescent="0.25">
      <c r="B4" s="94"/>
      <c r="C4" s="94"/>
      <c r="D4" s="95"/>
      <c r="E4" s="96" t="s">
        <v>11</v>
      </c>
    </row>
    <row r="5" spans="1:6" ht="18.75" customHeight="1" thickBot="1" x14ac:dyDescent="0.3">
      <c r="A5" s="98"/>
      <c r="B5" s="99" t="s">
        <v>8</v>
      </c>
      <c r="C5" s="99">
        <v>2019</v>
      </c>
      <c r="D5" s="100">
        <v>2020</v>
      </c>
      <c r="E5" s="101">
        <v>2021</v>
      </c>
    </row>
    <row r="6" spans="1:6" ht="18.75" customHeight="1" x14ac:dyDescent="0.25">
      <c r="A6" s="110" t="s">
        <v>15</v>
      </c>
      <c r="B6" s="102" t="s">
        <v>269</v>
      </c>
      <c r="C6" s="119">
        <v>79500</v>
      </c>
      <c r="D6" s="119">
        <f t="shared" ref="D6:E6" si="0">D7+D8+D9+D10+D11+D12</f>
        <v>60300</v>
      </c>
      <c r="E6" s="121">
        <f t="shared" si="0"/>
        <v>61200</v>
      </c>
    </row>
    <row r="7" spans="1:6" ht="18.75" customHeight="1" x14ac:dyDescent="0.25">
      <c r="A7" s="111" t="s">
        <v>271</v>
      </c>
      <c r="B7" s="103" t="s">
        <v>270</v>
      </c>
      <c r="C7" s="104">
        <v>79300</v>
      </c>
      <c r="D7" s="104">
        <v>60000</v>
      </c>
      <c r="E7" s="112">
        <v>61000</v>
      </c>
    </row>
    <row r="8" spans="1:6" ht="35.25" customHeight="1" x14ac:dyDescent="0.25">
      <c r="A8" s="111" t="s">
        <v>273</v>
      </c>
      <c r="B8" s="103" t="s">
        <v>272</v>
      </c>
      <c r="C8" s="143"/>
      <c r="D8" s="143"/>
      <c r="E8" s="144"/>
    </row>
    <row r="9" spans="1:6" ht="19.5" customHeight="1" x14ac:dyDescent="0.25">
      <c r="A9" s="111" t="s">
        <v>274</v>
      </c>
      <c r="B9" s="103" t="s">
        <v>275</v>
      </c>
      <c r="C9" s="143"/>
      <c r="D9" s="143"/>
      <c r="E9" s="144"/>
    </row>
    <row r="10" spans="1:6" ht="32.25" customHeight="1" x14ac:dyDescent="0.25">
      <c r="A10" s="111" t="s">
        <v>276</v>
      </c>
      <c r="B10" s="103" t="s">
        <v>277</v>
      </c>
      <c r="C10" s="143"/>
      <c r="D10" s="143"/>
      <c r="E10" s="144"/>
    </row>
    <row r="11" spans="1:6" ht="18.75" customHeight="1" x14ac:dyDescent="0.25">
      <c r="A11" s="111" t="s">
        <v>278</v>
      </c>
      <c r="B11" s="103" t="s">
        <v>279</v>
      </c>
      <c r="C11" s="104">
        <v>200</v>
      </c>
      <c r="D11" s="104">
        <v>300</v>
      </c>
      <c r="E11" s="112">
        <v>200</v>
      </c>
    </row>
    <row r="12" spans="1:6" ht="18.75" customHeight="1" x14ac:dyDescent="0.25">
      <c r="A12" s="111" t="s">
        <v>280</v>
      </c>
      <c r="B12" s="103" t="s">
        <v>281</v>
      </c>
      <c r="C12" s="104"/>
      <c r="D12" s="104"/>
      <c r="E12" s="112"/>
    </row>
    <row r="13" spans="1:6" ht="18.75" customHeight="1" x14ac:dyDescent="0.25">
      <c r="A13" s="113" t="s">
        <v>37</v>
      </c>
      <c r="B13" s="105" t="s">
        <v>282</v>
      </c>
      <c r="C13" s="104"/>
      <c r="D13" s="104"/>
      <c r="E13" s="112"/>
    </row>
    <row r="14" spans="1:6" ht="18.75" customHeight="1" x14ac:dyDescent="0.25">
      <c r="A14" s="113" t="s">
        <v>38</v>
      </c>
      <c r="B14" s="106" t="s">
        <v>283</v>
      </c>
      <c r="C14" s="120">
        <f>C15+C16+C17+C18+C19+C20+C21</f>
        <v>0</v>
      </c>
      <c r="D14" s="120">
        <f t="shared" ref="D14:E14" si="1">D15+D16+D17+D18+D19+D20+D21</f>
        <v>0</v>
      </c>
      <c r="E14" s="122">
        <f t="shared" si="1"/>
        <v>0</v>
      </c>
    </row>
    <row r="15" spans="1:6" ht="18.75" customHeight="1" x14ac:dyDescent="0.25">
      <c r="A15" s="111" t="s">
        <v>284</v>
      </c>
      <c r="B15" s="103" t="s">
        <v>285</v>
      </c>
      <c r="C15" s="107">
        <v>0</v>
      </c>
      <c r="D15" s="107">
        <v>0</v>
      </c>
      <c r="E15" s="114">
        <v>0</v>
      </c>
    </row>
    <row r="16" spans="1:6" ht="24" customHeight="1" x14ac:dyDescent="0.25">
      <c r="A16" s="111" t="s">
        <v>286</v>
      </c>
      <c r="B16" s="108" t="s">
        <v>287</v>
      </c>
      <c r="C16" s="107">
        <v>0</v>
      </c>
      <c r="D16" s="107">
        <v>0</v>
      </c>
      <c r="E16" s="114">
        <v>0</v>
      </c>
    </row>
    <row r="17" spans="1:5" ht="22.5" customHeight="1" x14ac:dyDescent="0.25">
      <c r="A17" s="111" t="s">
        <v>288</v>
      </c>
      <c r="B17" s="103" t="s">
        <v>289</v>
      </c>
      <c r="C17" s="107">
        <v>0</v>
      </c>
      <c r="D17" s="107">
        <v>0</v>
      </c>
      <c r="E17" s="114">
        <v>0</v>
      </c>
    </row>
    <row r="18" spans="1:5" ht="15.75" x14ac:dyDescent="0.25">
      <c r="A18" s="111" t="s">
        <v>291</v>
      </c>
      <c r="B18" s="109" t="s">
        <v>290</v>
      </c>
      <c r="C18" s="109">
        <v>0</v>
      </c>
      <c r="D18" s="109">
        <v>0</v>
      </c>
      <c r="E18" s="115">
        <v>0</v>
      </c>
    </row>
    <row r="19" spans="1:5" ht="15.75" x14ac:dyDescent="0.25">
      <c r="A19" s="111" t="s">
        <v>292</v>
      </c>
      <c r="B19" s="109" t="s">
        <v>293</v>
      </c>
      <c r="C19" s="109">
        <v>0</v>
      </c>
      <c r="D19" s="109">
        <v>0</v>
      </c>
      <c r="E19" s="115">
        <v>0</v>
      </c>
    </row>
    <row r="20" spans="1:5" ht="15.75" x14ac:dyDescent="0.25">
      <c r="A20" s="111" t="s">
        <v>294</v>
      </c>
      <c r="B20" s="109" t="s">
        <v>295</v>
      </c>
      <c r="C20" s="109">
        <v>0</v>
      </c>
      <c r="D20" s="109">
        <v>0</v>
      </c>
      <c r="E20" s="115">
        <v>0</v>
      </c>
    </row>
    <row r="21" spans="1:5" ht="16.5" thickBot="1" x14ac:dyDescent="0.3">
      <c r="A21" s="116" t="s">
        <v>296</v>
      </c>
      <c r="B21" s="117" t="s">
        <v>297</v>
      </c>
      <c r="C21" s="117">
        <v>0</v>
      </c>
      <c r="D21" s="117">
        <v>0</v>
      </c>
      <c r="E21" s="118">
        <v>0</v>
      </c>
    </row>
    <row r="22" spans="1:5" x14ac:dyDescent="0.2">
      <c r="A22" s="97"/>
    </row>
  </sheetData>
  <mergeCells count="2">
    <mergeCell ref="B3:E3"/>
    <mergeCell ref="A1:E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0DF8-C670-4C29-A07C-19F118ECBF42}">
  <dimension ref="A1:G27"/>
  <sheetViews>
    <sheetView workbookViewId="0">
      <selection activeCell="K7" sqref="K7"/>
    </sheetView>
  </sheetViews>
  <sheetFormatPr defaultRowHeight="12.75" x14ac:dyDescent="0.2"/>
  <cols>
    <col min="1" max="1" width="12.28515625" customWidth="1"/>
    <col min="2" max="2" width="37.28515625" customWidth="1"/>
    <col min="3" max="3" width="14.2851562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ht="15.75" x14ac:dyDescent="0.25">
      <c r="A2" s="949" t="s">
        <v>775</v>
      </c>
      <c r="B2" s="949"/>
      <c r="C2" s="949"/>
      <c r="D2" s="949"/>
      <c r="E2" s="949"/>
      <c r="F2" s="949"/>
      <c r="G2" s="949"/>
    </row>
    <row r="3" spans="1:7" ht="15.75" x14ac:dyDescent="0.25">
      <c r="A3" s="949" t="s">
        <v>254</v>
      </c>
      <c r="B3" s="949"/>
      <c r="C3" s="949"/>
      <c r="D3" s="949"/>
      <c r="E3" s="949"/>
      <c r="F3" s="949"/>
      <c r="G3" s="949"/>
    </row>
    <row r="4" spans="1:7" ht="13.5" thickBot="1" x14ac:dyDescent="0.25">
      <c r="G4" s="258" t="s">
        <v>395</v>
      </c>
    </row>
    <row r="5" spans="1:7" ht="15.75" x14ac:dyDescent="0.25">
      <c r="A5" s="989" t="s">
        <v>676</v>
      </c>
      <c r="B5" s="990"/>
      <c r="C5" s="990"/>
      <c r="D5" s="990"/>
      <c r="E5" s="990"/>
      <c r="F5" s="990"/>
      <c r="G5" s="991"/>
    </row>
    <row r="6" spans="1:7" ht="14.25" x14ac:dyDescent="0.2">
      <c r="A6" s="985" t="s">
        <v>398</v>
      </c>
      <c r="B6" s="987" t="s">
        <v>399</v>
      </c>
      <c r="C6" s="992">
        <v>2019</v>
      </c>
      <c r="D6" s="993"/>
      <c r="E6" s="993"/>
      <c r="F6" s="994"/>
      <c r="G6" s="308">
        <v>2019</v>
      </c>
    </row>
    <row r="7" spans="1:7" ht="13.5" thickBot="1" x14ac:dyDescent="0.25">
      <c r="A7" s="986"/>
      <c r="B7" s="988"/>
      <c r="C7" s="309" t="s">
        <v>677</v>
      </c>
      <c r="D7" s="309" t="s">
        <v>678</v>
      </c>
      <c r="E7" s="813" t="s">
        <v>402</v>
      </c>
      <c r="F7" s="309" t="s">
        <v>403</v>
      </c>
      <c r="G7" s="310" t="s">
        <v>776</v>
      </c>
    </row>
    <row r="8" spans="1:7" ht="24" x14ac:dyDescent="0.2">
      <c r="A8" s="323" t="s">
        <v>480</v>
      </c>
      <c r="B8" s="324" t="s">
        <v>481</v>
      </c>
      <c r="C8" s="339">
        <v>816000</v>
      </c>
      <c r="D8" s="325">
        <v>816868</v>
      </c>
      <c r="E8" s="325">
        <f>G8-D8</f>
        <v>0</v>
      </c>
      <c r="F8" s="326">
        <f>G8/D8*100</f>
        <v>100</v>
      </c>
      <c r="G8" s="327">
        <v>816868</v>
      </c>
    </row>
    <row r="9" spans="1:7" x14ac:dyDescent="0.2">
      <c r="A9" s="995" t="s">
        <v>679</v>
      </c>
      <c r="B9" s="328" t="s">
        <v>680</v>
      </c>
      <c r="C9" s="819">
        <v>64890800</v>
      </c>
      <c r="D9" s="329">
        <v>72398400</v>
      </c>
      <c r="E9" s="325">
        <f>G9-D9</f>
        <v>0</v>
      </c>
      <c r="F9" s="326">
        <f t="shared" ref="F9:F12" si="0">G9/D9*100</f>
        <v>100</v>
      </c>
      <c r="G9" s="330">
        <f>G10+G12+G11</f>
        <v>72398400</v>
      </c>
    </row>
    <row r="10" spans="1:7" x14ac:dyDescent="0.2">
      <c r="A10" s="996"/>
      <c r="B10" s="331" t="s">
        <v>681</v>
      </c>
      <c r="C10" s="820">
        <v>59390800</v>
      </c>
      <c r="D10" s="332">
        <v>59390800</v>
      </c>
      <c r="E10" s="333">
        <f t="shared" ref="E10:E12" si="1">G10-D10</f>
        <v>0</v>
      </c>
      <c r="F10" s="334">
        <f t="shared" si="0"/>
        <v>100</v>
      </c>
      <c r="G10" s="335">
        <f>57295800+2095000</f>
        <v>59390800</v>
      </c>
    </row>
    <row r="11" spans="1:7" x14ac:dyDescent="0.2">
      <c r="A11" s="996"/>
      <c r="B11" s="331" t="s">
        <v>682</v>
      </c>
      <c r="C11" s="821">
        <v>0</v>
      </c>
      <c r="D11" s="336">
        <v>9507600</v>
      </c>
      <c r="E11" s="333">
        <f t="shared" si="1"/>
        <v>0</v>
      </c>
      <c r="F11" s="334">
        <f t="shared" si="0"/>
        <v>100</v>
      </c>
      <c r="G11" s="337">
        <v>9507600</v>
      </c>
    </row>
    <row r="12" spans="1:7" ht="13.5" thickBot="1" x14ac:dyDescent="0.25">
      <c r="A12" s="996"/>
      <c r="B12" s="338" t="s">
        <v>683</v>
      </c>
      <c r="C12" s="821">
        <v>5500000</v>
      </c>
      <c r="D12" s="336">
        <v>3500000</v>
      </c>
      <c r="E12" s="333">
        <f t="shared" si="1"/>
        <v>0</v>
      </c>
      <c r="F12" s="334">
        <f t="shared" si="0"/>
        <v>100</v>
      </c>
      <c r="G12" s="337">
        <v>3500000</v>
      </c>
    </row>
    <row r="13" spans="1:7" ht="16.5" thickBot="1" x14ac:dyDescent="0.3">
      <c r="A13" s="997" t="s">
        <v>83</v>
      </c>
      <c r="B13" s="998"/>
      <c r="C13" s="814">
        <v>65706800</v>
      </c>
      <c r="D13" s="311">
        <v>73215268</v>
      </c>
      <c r="E13" s="312">
        <f>SUM(E8:E9)</f>
        <v>0</v>
      </c>
      <c r="F13" s="313">
        <f>G13/D13*100</f>
        <v>100</v>
      </c>
      <c r="G13" s="311">
        <f>SUM(G8:G9)</f>
        <v>73215268</v>
      </c>
    </row>
    <row r="14" spans="1:7" ht="15.75" x14ac:dyDescent="0.25">
      <c r="A14" s="989" t="s">
        <v>684</v>
      </c>
      <c r="B14" s="990"/>
      <c r="C14" s="990"/>
      <c r="D14" s="990"/>
      <c r="E14" s="990"/>
      <c r="F14" s="990"/>
      <c r="G14" s="991"/>
    </row>
    <row r="15" spans="1:7" ht="14.25" x14ac:dyDescent="0.2">
      <c r="A15" s="985" t="s">
        <v>398</v>
      </c>
      <c r="B15" s="987" t="s">
        <v>399</v>
      </c>
      <c r="C15" s="992">
        <v>2019</v>
      </c>
      <c r="D15" s="993"/>
      <c r="E15" s="993"/>
      <c r="F15" s="994"/>
      <c r="G15" s="308">
        <v>2019</v>
      </c>
    </row>
    <row r="16" spans="1:7" ht="13.5" thickBot="1" x14ac:dyDescent="0.25">
      <c r="A16" s="986"/>
      <c r="B16" s="988"/>
      <c r="C16" s="309" t="s">
        <v>677</v>
      </c>
      <c r="D16" s="309" t="s">
        <v>678</v>
      </c>
      <c r="E16" s="813" t="s">
        <v>402</v>
      </c>
      <c r="F16" s="309" t="s">
        <v>403</v>
      </c>
      <c r="G16" s="310" t="s">
        <v>776</v>
      </c>
    </row>
    <row r="17" spans="1:7" ht="24" x14ac:dyDescent="0.2">
      <c r="A17" s="822" t="s">
        <v>409</v>
      </c>
      <c r="B17" s="823" t="s">
        <v>685</v>
      </c>
      <c r="C17" s="824">
        <v>5500000</v>
      </c>
      <c r="D17" s="824">
        <v>3500000</v>
      </c>
      <c r="E17" s="339">
        <f>G17-D17</f>
        <v>0</v>
      </c>
      <c r="F17" s="326">
        <f>G17/D17*100</f>
        <v>100</v>
      </c>
      <c r="G17" s="825">
        <v>3500000</v>
      </c>
    </row>
    <row r="18" spans="1:7" ht="24" x14ac:dyDescent="0.2">
      <c r="A18" s="323" t="s">
        <v>686</v>
      </c>
      <c r="B18" s="826" t="s">
        <v>687</v>
      </c>
      <c r="C18" s="339">
        <v>0</v>
      </c>
      <c r="D18" s="339">
        <v>50000</v>
      </c>
      <c r="E18" s="339">
        <f>G18-D18</f>
        <v>43000</v>
      </c>
      <c r="F18" s="326">
        <f t="shared" ref="F18:F19" si="2">G18/D18*100</f>
        <v>186</v>
      </c>
      <c r="G18" s="340">
        <v>93000</v>
      </c>
    </row>
    <row r="19" spans="1:7" ht="13.5" thickBot="1" x14ac:dyDescent="0.25">
      <c r="A19" s="323" t="s">
        <v>688</v>
      </c>
      <c r="B19" s="324" t="s">
        <v>689</v>
      </c>
      <c r="C19" s="339">
        <v>0</v>
      </c>
      <c r="D19" s="339">
        <v>5659</v>
      </c>
      <c r="E19" s="339">
        <f>G19-D19</f>
        <v>-43</v>
      </c>
      <c r="F19" s="326">
        <f t="shared" si="2"/>
        <v>99.240148436119455</v>
      </c>
      <c r="G19" s="340">
        <f>5659-43</f>
        <v>5616</v>
      </c>
    </row>
    <row r="20" spans="1:7" ht="16.5" thickBot="1" x14ac:dyDescent="0.3">
      <c r="A20" s="999" t="s">
        <v>83</v>
      </c>
      <c r="B20" s="1000"/>
      <c r="C20" s="815">
        <v>5500000</v>
      </c>
      <c r="D20" s="318">
        <v>3555659</v>
      </c>
      <c r="E20" s="318">
        <f>SUM(E17:E19)</f>
        <v>42957</v>
      </c>
      <c r="F20" s="319">
        <f>G20/D20*100</f>
        <v>101.20813047595396</v>
      </c>
      <c r="G20" s="318">
        <f>SUM(G17:G19)</f>
        <v>3598616</v>
      </c>
    </row>
    <row r="21" spans="1:7" ht="15.75" x14ac:dyDescent="0.25">
      <c r="A21" s="989" t="s">
        <v>690</v>
      </c>
      <c r="B21" s="990"/>
      <c r="C21" s="990"/>
      <c r="D21" s="990"/>
      <c r="E21" s="990"/>
      <c r="F21" s="990"/>
      <c r="G21" s="991"/>
    </row>
    <row r="22" spans="1:7" ht="14.25" x14ac:dyDescent="0.2">
      <c r="A22" s="985" t="s">
        <v>398</v>
      </c>
      <c r="B22" s="987" t="s">
        <v>399</v>
      </c>
      <c r="C22" s="992">
        <v>2019</v>
      </c>
      <c r="D22" s="993"/>
      <c r="E22" s="993"/>
      <c r="F22" s="994"/>
      <c r="G22" s="308">
        <v>2019</v>
      </c>
    </row>
    <row r="23" spans="1:7" ht="13.5" thickBot="1" x14ac:dyDescent="0.25">
      <c r="A23" s="986"/>
      <c r="B23" s="988"/>
      <c r="C23" s="309" t="s">
        <v>677</v>
      </c>
      <c r="D23" s="309" t="s">
        <v>678</v>
      </c>
      <c r="E23" s="813" t="s">
        <v>402</v>
      </c>
      <c r="F23" s="309" t="s">
        <v>403</v>
      </c>
      <c r="G23" s="310" t="s">
        <v>776</v>
      </c>
    </row>
    <row r="24" spans="1:7" ht="24.75" thickBot="1" x14ac:dyDescent="0.25">
      <c r="A24" s="314" t="s">
        <v>409</v>
      </c>
      <c r="B24" s="315" t="s">
        <v>691</v>
      </c>
      <c r="C24" s="816">
        <v>0</v>
      </c>
      <c r="D24" s="316">
        <v>1169073</v>
      </c>
      <c r="E24" s="339">
        <f>G24-D24</f>
        <v>1837043</v>
      </c>
      <c r="F24" s="326">
        <f>G24/D24*100</f>
        <v>257.13672285648545</v>
      </c>
      <c r="G24" s="317">
        <v>3006116</v>
      </c>
    </row>
    <row r="25" spans="1:7" ht="16.5" thickBot="1" x14ac:dyDescent="0.3">
      <c r="A25" s="997" t="s">
        <v>83</v>
      </c>
      <c r="B25" s="998"/>
      <c r="C25" s="817">
        <v>0</v>
      </c>
      <c r="D25" s="311">
        <v>1169073</v>
      </c>
      <c r="E25" s="311">
        <f>SUM(E24:E24)</f>
        <v>1837043</v>
      </c>
      <c r="F25" s="313">
        <f>G25/D25*100</f>
        <v>257.13672285648545</v>
      </c>
      <c r="G25" s="311">
        <f>SUM(G24:G24)</f>
        <v>3006116</v>
      </c>
    </row>
    <row r="26" spans="1:7" ht="16.5" thickBot="1" x14ac:dyDescent="0.3">
      <c r="A26" s="320"/>
      <c r="B26" s="320"/>
      <c r="C26" s="320"/>
      <c r="D26" s="254"/>
      <c r="E26" s="254"/>
      <c r="F26" s="321"/>
      <c r="G26" s="254"/>
    </row>
    <row r="27" spans="1:7" ht="16.5" thickBot="1" x14ac:dyDescent="0.3">
      <c r="A27" s="997" t="s">
        <v>692</v>
      </c>
      <c r="B27" s="998"/>
      <c r="C27" s="818"/>
      <c r="D27" s="311">
        <f>D13+D20+D25</f>
        <v>77940000</v>
      </c>
      <c r="E27" s="311">
        <f>E13+E20+E25</f>
        <v>1880000</v>
      </c>
      <c r="F27" s="322">
        <f>G27/D27*100</f>
        <v>102.41211188093405</v>
      </c>
      <c r="G27" s="311">
        <f>G13+G20+G25</f>
        <v>79820000</v>
      </c>
    </row>
  </sheetData>
  <mergeCells count="19">
    <mergeCell ref="A27:B27"/>
    <mergeCell ref="A20:B20"/>
    <mergeCell ref="A22:A23"/>
    <mergeCell ref="B22:B23"/>
    <mergeCell ref="A25:B25"/>
    <mergeCell ref="A21:G21"/>
    <mergeCell ref="C22:F22"/>
    <mergeCell ref="A9:A12"/>
    <mergeCell ref="A13:B13"/>
    <mergeCell ref="A15:A16"/>
    <mergeCell ref="B15:B16"/>
    <mergeCell ref="A14:G14"/>
    <mergeCell ref="C15:F15"/>
    <mergeCell ref="A6:A7"/>
    <mergeCell ref="B6:B7"/>
    <mergeCell ref="A2:G2"/>
    <mergeCell ref="A3:G3"/>
    <mergeCell ref="A5:G5"/>
    <mergeCell ref="C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0A71-1359-4B1B-A878-234A984DF445}">
  <dimension ref="A1:O51"/>
  <sheetViews>
    <sheetView workbookViewId="0">
      <selection activeCell="K22" sqref="K22"/>
    </sheetView>
  </sheetViews>
  <sheetFormatPr defaultRowHeight="12.75" x14ac:dyDescent="0.2"/>
  <cols>
    <col min="1" max="1" width="11.5703125" customWidth="1"/>
    <col min="2" max="2" width="39.140625" customWidth="1"/>
    <col min="3" max="3" width="15.5703125" customWidth="1"/>
    <col min="4" max="4" width="13.140625" customWidth="1"/>
    <col min="5" max="5" width="11.42578125" customWidth="1"/>
    <col min="6" max="6" width="9.85546875" customWidth="1"/>
    <col min="7" max="7" width="15.85546875" customWidth="1"/>
    <col min="8" max="8" width="11.42578125" bestFit="1" customWidth="1"/>
    <col min="9" max="9" width="12.42578125" bestFit="1" customWidth="1"/>
    <col min="10" max="10" width="11.42578125" bestFit="1" customWidth="1"/>
    <col min="11" max="12" width="15.28515625" bestFit="1" customWidth="1"/>
    <col min="13" max="13" width="13.7109375" bestFit="1" customWidth="1"/>
    <col min="14" max="14" width="12.5703125" bestFit="1" customWidth="1"/>
    <col min="15" max="15" width="15.28515625" bestFit="1" customWidth="1"/>
  </cols>
  <sheetData>
    <row r="1" spans="1:15" x14ac:dyDescent="0.2">
      <c r="D1" s="1001"/>
      <c r="E1" s="982"/>
      <c r="F1" s="982"/>
      <c r="G1" s="982"/>
    </row>
    <row r="2" spans="1:15" ht="15.75" x14ac:dyDescent="0.25">
      <c r="A2" s="949" t="s">
        <v>775</v>
      </c>
      <c r="B2" s="949"/>
      <c r="C2" s="949"/>
      <c r="D2" s="949"/>
      <c r="E2" s="949"/>
      <c r="F2" s="949"/>
      <c r="G2" s="949"/>
    </row>
    <row r="3" spans="1:15" ht="15.75" x14ac:dyDescent="0.25">
      <c r="A3" s="949" t="s">
        <v>254</v>
      </c>
      <c r="B3" s="949"/>
      <c r="C3" s="949"/>
      <c r="D3" s="949"/>
      <c r="E3" s="949"/>
      <c r="F3" s="949"/>
      <c r="G3" s="949"/>
    </row>
    <row r="4" spans="1:15" x14ac:dyDescent="0.2">
      <c r="G4" s="258" t="s">
        <v>395</v>
      </c>
    </row>
    <row r="5" spans="1:15" ht="13.5" thickBot="1" x14ac:dyDescent="0.25">
      <c r="A5" s="1013" t="s">
        <v>516</v>
      </c>
      <c r="B5" s="1013"/>
      <c r="C5" s="1013"/>
      <c r="D5" s="1013"/>
      <c r="E5" s="1013"/>
      <c r="F5" s="1013"/>
      <c r="G5" s="1013"/>
      <c r="K5" s="341"/>
      <c r="L5" s="341"/>
      <c r="M5" s="341"/>
    </row>
    <row r="6" spans="1:15" ht="13.5" thickBot="1" x14ac:dyDescent="0.25">
      <c r="A6" s="1002" t="s">
        <v>397</v>
      </c>
      <c r="B6" s="1003"/>
      <c r="C6" s="1004"/>
      <c r="D6" s="1004"/>
      <c r="E6" s="1004"/>
      <c r="F6" s="1004"/>
      <c r="G6" s="1005"/>
      <c r="I6" s="253"/>
    </row>
    <row r="7" spans="1:15" x14ac:dyDescent="0.2">
      <c r="A7" s="1009" t="s">
        <v>398</v>
      </c>
      <c r="B7" s="1011" t="s">
        <v>693</v>
      </c>
      <c r="C7" s="1006">
        <v>2019</v>
      </c>
      <c r="D7" s="1007"/>
      <c r="E7" s="1007"/>
      <c r="F7" s="1008"/>
      <c r="G7" s="827">
        <v>2019</v>
      </c>
    </row>
    <row r="8" spans="1:15" ht="13.5" thickBot="1" x14ac:dyDescent="0.25">
      <c r="A8" s="1010"/>
      <c r="B8" s="1012"/>
      <c r="C8" s="828" t="s">
        <v>677</v>
      </c>
      <c r="D8" s="829" t="s">
        <v>678</v>
      </c>
      <c r="E8" s="830" t="s">
        <v>402</v>
      </c>
      <c r="F8" s="830" t="s">
        <v>403</v>
      </c>
      <c r="G8" s="831" t="s">
        <v>776</v>
      </c>
    </row>
    <row r="9" spans="1:15" x14ac:dyDescent="0.2">
      <c r="A9" s="345" t="s">
        <v>518</v>
      </c>
      <c r="B9" s="346" t="s">
        <v>643</v>
      </c>
      <c r="C9" s="357">
        <v>41152225</v>
      </c>
      <c r="D9" s="372">
        <v>51800000</v>
      </c>
      <c r="E9" s="372">
        <f>G9-D9</f>
        <v>100000</v>
      </c>
      <c r="F9" s="373">
        <f>G9/D9*100</f>
        <v>100.1930501930502</v>
      </c>
      <c r="G9" s="354">
        <v>51900000</v>
      </c>
      <c r="I9" s="243"/>
      <c r="J9" s="157"/>
      <c r="K9" s="832"/>
      <c r="L9" s="833"/>
      <c r="M9" s="833"/>
      <c r="N9" s="833"/>
      <c r="O9" s="834"/>
    </row>
    <row r="10" spans="1:15" x14ac:dyDescent="0.2">
      <c r="A10" s="351" t="s">
        <v>520</v>
      </c>
      <c r="B10" s="352" t="s">
        <v>521</v>
      </c>
      <c r="C10" s="357">
        <v>0</v>
      </c>
      <c r="D10" s="372">
        <v>0</v>
      </c>
      <c r="E10" s="372">
        <f t="shared" ref="E10:E19" si="0">G10-D10</f>
        <v>0</v>
      </c>
      <c r="F10" s="373"/>
      <c r="G10" s="354">
        <v>0</v>
      </c>
      <c r="I10" s="243"/>
      <c r="J10" s="157"/>
      <c r="K10" s="157"/>
    </row>
    <row r="11" spans="1:15" x14ac:dyDescent="0.2">
      <c r="A11" s="355" t="s">
        <v>694</v>
      </c>
      <c r="B11" s="352" t="s">
        <v>695</v>
      </c>
      <c r="C11" s="357">
        <v>0</v>
      </c>
      <c r="D11" s="372">
        <v>1238000</v>
      </c>
      <c r="E11" s="372">
        <f t="shared" si="0"/>
        <v>100000</v>
      </c>
      <c r="F11" s="373">
        <f t="shared" ref="F11" si="1">G11/D11*100</f>
        <v>108.07754442649436</v>
      </c>
      <c r="G11" s="354">
        <v>1338000</v>
      </c>
      <c r="I11" s="243"/>
      <c r="J11" s="157"/>
      <c r="K11" s="157"/>
    </row>
    <row r="12" spans="1:15" ht="21" x14ac:dyDescent="0.2">
      <c r="A12" s="355" t="s">
        <v>644</v>
      </c>
      <c r="B12" s="352" t="s">
        <v>696</v>
      </c>
      <c r="C12" s="357">
        <v>500000</v>
      </c>
      <c r="D12" s="372">
        <v>0</v>
      </c>
      <c r="E12" s="372">
        <f t="shared" si="0"/>
        <v>0</v>
      </c>
      <c r="F12" s="373"/>
      <c r="G12" s="354">
        <v>0</v>
      </c>
      <c r="I12" s="243"/>
      <c r="J12" s="157"/>
      <c r="K12" s="157"/>
    </row>
    <row r="13" spans="1:15" x14ac:dyDescent="0.2">
      <c r="A13" s="355" t="s">
        <v>697</v>
      </c>
      <c r="B13" s="352" t="s">
        <v>698</v>
      </c>
      <c r="C13" s="357">
        <v>2823468</v>
      </c>
      <c r="D13" s="372">
        <v>3265000</v>
      </c>
      <c r="E13" s="372">
        <f t="shared" si="0"/>
        <v>33000</v>
      </c>
      <c r="F13" s="373">
        <f t="shared" ref="F13:F22" si="2">G13/D13*100</f>
        <v>101.01071975497702</v>
      </c>
      <c r="G13" s="354">
        <v>3298000</v>
      </c>
    </row>
    <row r="14" spans="1:15" x14ac:dyDescent="0.2">
      <c r="A14" s="355" t="s">
        <v>646</v>
      </c>
      <c r="B14" s="352" t="s">
        <v>699</v>
      </c>
      <c r="C14" s="357">
        <v>2812000</v>
      </c>
      <c r="D14" s="372">
        <v>2500000</v>
      </c>
      <c r="E14" s="372">
        <f t="shared" si="0"/>
        <v>0</v>
      </c>
      <c r="F14" s="373">
        <f t="shared" si="2"/>
        <v>100</v>
      </c>
      <c r="G14" s="354">
        <v>2500000</v>
      </c>
    </row>
    <row r="15" spans="1:15" x14ac:dyDescent="0.2">
      <c r="A15" s="355" t="s">
        <v>522</v>
      </c>
      <c r="B15" s="352" t="s">
        <v>523</v>
      </c>
      <c r="C15" s="357">
        <v>550000</v>
      </c>
      <c r="D15" s="372">
        <v>150000</v>
      </c>
      <c r="E15" s="372">
        <f t="shared" si="0"/>
        <v>0</v>
      </c>
      <c r="F15" s="373">
        <f t="shared" si="2"/>
        <v>100</v>
      </c>
      <c r="G15" s="354">
        <v>150000</v>
      </c>
    </row>
    <row r="16" spans="1:15" x14ac:dyDescent="0.2">
      <c r="A16" s="351" t="s">
        <v>631</v>
      </c>
      <c r="B16" s="352" t="s">
        <v>632</v>
      </c>
      <c r="C16" s="357">
        <v>156000</v>
      </c>
      <c r="D16" s="372">
        <v>156000</v>
      </c>
      <c r="E16" s="372">
        <f t="shared" si="0"/>
        <v>0</v>
      </c>
      <c r="F16" s="373">
        <f t="shared" si="2"/>
        <v>100</v>
      </c>
      <c r="G16" s="354">
        <v>156000</v>
      </c>
    </row>
    <row r="17" spans="1:10" s="97" customFormat="1" x14ac:dyDescent="0.2">
      <c r="A17" s="355" t="s">
        <v>700</v>
      </c>
      <c r="B17" s="356" t="s">
        <v>525</v>
      </c>
      <c r="C17" s="357">
        <v>100000</v>
      </c>
      <c r="D17" s="835">
        <v>100000</v>
      </c>
      <c r="E17" s="372">
        <f t="shared" si="0"/>
        <v>-100000</v>
      </c>
      <c r="F17" s="373">
        <f t="shared" si="2"/>
        <v>0</v>
      </c>
      <c r="G17" s="354">
        <v>0</v>
      </c>
    </row>
    <row r="18" spans="1:10" x14ac:dyDescent="0.2">
      <c r="A18" s="351" t="s">
        <v>623</v>
      </c>
      <c r="B18" s="352" t="s">
        <v>624</v>
      </c>
      <c r="C18" s="357">
        <v>0</v>
      </c>
      <c r="D18" s="372">
        <v>1563800</v>
      </c>
      <c r="E18" s="372">
        <f t="shared" si="0"/>
        <v>110000</v>
      </c>
      <c r="F18" s="373">
        <f t="shared" si="2"/>
        <v>107.03414758920577</v>
      </c>
      <c r="G18" s="354">
        <v>1673800</v>
      </c>
    </row>
    <row r="19" spans="1:10" s="97" customFormat="1" ht="21.75" thickBot="1" x14ac:dyDescent="0.25">
      <c r="A19" s="358" t="s">
        <v>528</v>
      </c>
      <c r="B19" s="359" t="s">
        <v>529</v>
      </c>
      <c r="C19" s="836">
        <v>8400000</v>
      </c>
      <c r="D19" s="379">
        <v>680000</v>
      </c>
      <c r="E19" s="372">
        <f t="shared" si="0"/>
        <v>-47000</v>
      </c>
      <c r="F19" s="380">
        <f t="shared" si="2"/>
        <v>93.088235294117652</v>
      </c>
      <c r="G19" s="363">
        <v>633000</v>
      </c>
    </row>
    <row r="20" spans="1:10" s="97" customFormat="1" ht="13.5" thickBot="1" x14ac:dyDescent="0.25">
      <c r="A20" s="1014" t="s">
        <v>3</v>
      </c>
      <c r="B20" s="1016"/>
      <c r="C20" s="837">
        <v>56493693</v>
      </c>
      <c r="D20" s="364">
        <v>61452800</v>
      </c>
      <c r="E20" s="364">
        <f>SUM(E9:E19)</f>
        <v>196000</v>
      </c>
      <c r="F20" s="365">
        <f>G20/D20*100</f>
        <v>100.31894397000625</v>
      </c>
      <c r="G20" s="366">
        <f>SUM(G9:G19)</f>
        <v>61648800</v>
      </c>
    </row>
    <row r="21" spans="1:10" x14ac:dyDescent="0.2">
      <c r="A21" s="345" t="s">
        <v>532</v>
      </c>
      <c r="B21" s="346" t="s">
        <v>533</v>
      </c>
      <c r="C21" s="838">
        <v>11579939</v>
      </c>
      <c r="D21" s="347">
        <v>11487959</v>
      </c>
      <c r="E21" s="839">
        <f t="shared" ref="E21:E22" si="3">G21-D21</f>
        <v>-96000</v>
      </c>
      <c r="F21" s="392">
        <f t="shared" si="2"/>
        <v>99.164342421486708</v>
      </c>
      <c r="G21" s="437">
        <v>11391959</v>
      </c>
    </row>
    <row r="22" spans="1:10" ht="13.5" thickBot="1" x14ac:dyDescent="0.25">
      <c r="A22" s="368" t="s">
        <v>534</v>
      </c>
      <c r="B22" s="369" t="s">
        <v>535</v>
      </c>
      <c r="C22" s="840">
        <v>0</v>
      </c>
      <c r="D22" s="360">
        <v>280000</v>
      </c>
      <c r="E22" s="361">
        <f t="shared" si="3"/>
        <v>-66407</v>
      </c>
      <c r="F22" s="349">
        <f t="shared" si="2"/>
        <v>76.28321428571428</v>
      </c>
      <c r="G22" s="363">
        <f>280000-66407</f>
        <v>213593</v>
      </c>
    </row>
    <row r="23" spans="1:10" ht="13.5" thickBot="1" x14ac:dyDescent="0.25">
      <c r="A23" s="1019" t="s">
        <v>701</v>
      </c>
      <c r="B23" s="1016"/>
      <c r="C23" s="837">
        <v>11579939</v>
      </c>
      <c r="D23" s="364">
        <v>11767959</v>
      </c>
      <c r="E23" s="364">
        <f>E21+E22</f>
        <v>-162407</v>
      </c>
      <c r="F23" s="365">
        <f>G23/D23*100</f>
        <v>98.619922112237134</v>
      </c>
      <c r="G23" s="366">
        <f>SUM(G21:G22)</f>
        <v>11605552</v>
      </c>
    </row>
    <row r="24" spans="1:10" x14ac:dyDescent="0.2">
      <c r="A24" s="370" t="s">
        <v>536</v>
      </c>
      <c r="B24" s="841" t="s">
        <v>634</v>
      </c>
      <c r="C24" s="842">
        <v>100000</v>
      </c>
      <c r="D24" s="391">
        <v>100000</v>
      </c>
      <c r="E24" s="391">
        <f t="shared" ref="E24:E32" si="4">G24-D24</f>
        <v>0</v>
      </c>
      <c r="F24" s="392">
        <f>G24/D24*100</f>
        <v>100</v>
      </c>
      <c r="G24" s="437">
        <v>100000</v>
      </c>
    </row>
    <row r="25" spans="1:10" x14ac:dyDescent="0.2">
      <c r="A25" s="351" t="s">
        <v>538</v>
      </c>
      <c r="B25" s="841" t="s">
        <v>539</v>
      </c>
      <c r="C25" s="357">
        <v>100000</v>
      </c>
      <c r="D25" s="372">
        <v>100000</v>
      </c>
      <c r="E25" s="372">
        <f t="shared" si="4"/>
        <v>0</v>
      </c>
      <c r="F25" s="373">
        <f t="shared" ref="F25:F32" si="5">G25/D25*100</f>
        <v>100</v>
      </c>
      <c r="G25" s="354">
        <v>100000</v>
      </c>
      <c r="H25" s="374"/>
    </row>
    <row r="26" spans="1:10" x14ac:dyDescent="0.2">
      <c r="A26" s="355" t="s">
        <v>649</v>
      </c>
      <c r="B26" s="841" t="s">
        <v>702</v>
      </c>
      <c r="C26" s="357">
        <v>435000</v>
      </c>
      <c r="D26" s="372">
        <v>435000</v>
      </c>
      <c r="E26" s="372">
        <f t="shared" si="4"/>
        <v>0</v>
      </c>
      <c r="F26" s="373">
        <f t="shared" si="5"/>
        <v>100</v>
      </c>
      <c r="G26" s="354">
        <v>435000</v>
      </c>
      <c r="H26" s="374"/>
    </row>
    <row r="27" spans="1:10" x14ac:dyDescent="0.2">
      <c r="A27" s="375" t="s">
        <v>542</v>
      </c>
      <c r="B27" s="352" t="s">
        <v>703</v>
      </c>
      <c r="C27" s="357">
        <v>40000</v>
      </c>
      <c r="D27" s="372">
        <v>40000</v>
      </c>
      <c r="E27" s="377">
        <f t="shared" si="4"/>
        <v>0</v>
      </c>
      <c r="F27" s="373">
        <f t="shared" si="5"/>
        <v>100</v>
      </c>
      <c r="G27" s="354">
        <v>40000</v>
      </c>
    </row>
    <row r="28" spans="1:10" x14ac:dyDescent="0.2">
      <c r="A28" s="351" t="s">
        <v>556</v>
      </c>
      <c r="B28" s="352" t="s">
        <v>557</v>
      </c>
      <c r="C28" s="357">
        <v>1000000</v>
      </c>
      <c r="D28" s="372">
        <v>1633168</v>
      </c>
      <c r="E28" s="372">
        <f t="shared" si="4"/>
        <v>0</v>
      </c>
      <c r="F28" s="373">
        <f t="shared" si="5"/>
        <v>100</v>
      </c>
      <c r="G28" s="354">
        <v>1633168</v>
      </c>
      <c r="H28" s="255" t="s">
        <v>704</v>
      </c>
      <c r="I28" s="255" t="s">
        <v>705</v>
      </c>
    </row>
    <row r="29" spans="1:10" x14ac:dyDescent="0.2">
      <c r="A29" s="351" t="s">
        <v>558</v>
      </c>
      <c r="B29" s="841" t="s">
        <v>559</v>
      </c>
      <c r="C29" s="357">
        <v>400000</v>
      </c>
      <c r="D29" s="372">
        <v>560000</v>
      </c>
      <c r="E29" s="372">
        <f t="shared" si="4"/>
        <v>0</v>
      </c>
      <c r="F29" s="373">
        <f t="shared" si="5"/>
        <v>100</v>
      </c>
      <c r="G29" s="354">
        <v>560000</v>
      </c>
      <c r="H29" s="255" t="s">
        <v>706</v>
      </c>
    </row>
    <row r="30" spans="1:10" x14ac:dyDescent="0.2">
      <c r="A30" s="345" t="s">
        <v>613</v>
      </c>
      <c r="B30" s="352" t="s">
        <v>614</v>
      </c>
      <c r="C30" s="357">
        <v>0</v>
      </c>
      <c r="D30" s="372">
        <v>250000</v>
      </c>
      <c r="E30" s="372">
        <f t="shared" si="4"/>
        <v>75000</v>
      </c>
      <c r="F30" s="373">
        <f t="shared" si="5"/>
        <v>130</v>
      </c>
      <c r="G30" s="354">
        <v>325000</v>
      </c>
      <c r="I30" s="374"/>
      <c r="J30" s="42"/>
    </row>
    <row r="31" spans="1:10" ht="21" x14ac:dyDescent="0.2">
      <c r="A31" s="351" t="s">
        <v>562</v>
      </c>
      <c r="B31" s="352" t="s">
        <v>563</v>
      </c>
      <c r="C31" s="357">
        <v>425000</v>
      </c>
      <c r="D31" s="372">
        <v>425000</v>
      </c>
      <c r="E31" s="372">
        <f t="shared" si="4"/>
        <v>-175000</v>
      </c>
      <c r="F31" s="373">
        <f t="shared" si="5"/>
        <v>58.82352941176471</v>
      </c>
      <c r="G31" s="354">
        <v>250000</v>
      </c>
      <c r="I31" s="374"/>
      <c r="J31" s="374"/>
    </row>
    <row r="32" spans="1:10" ht="13.5" thickBot="1" x14ac:dyDescent="0.25">
      <c r="A32" s="368" t="s">
        <v>568</v>
      </c>
      <c r="B32" s="369" t="s">
        <v>707</v>
      </c>
      <c r="C32" s="836">
        <v>0</v>
      </c>
      <c r="D32" s="379">
        <v>7000</v>
      </c>
      <c r="E32" s="379">
        <f t="shared" si="4"/>
        <v>0</v>
      </c>
      <c r="F32" s="373">
        <f t="shared" si="5"/>
        <v>100</v>
      </c>
      <c r="G32" s="363">
        <v>7000</v>
      </c>
    </row>
    <row r="33" spans="1:9" ht="13.5" thickBot="1" x14ac:dyDescent="0.25">
      <c r="A33" s="1019" t="s">
        <v>5</v>
      </c>
      <c r="B33" s="1016"/>
      <c r="C33" s="843">
        <v>2500000</v>
      </c>
      <c r="D33" s="381">
        <v>3550168</v>
      </c>
      <c r="E33" s="381">
        <f>SUM(E24:E32)</f>
        <v>-100000</v>
      </c>
      <c r="F33" s="365">
        <f>G33/D33*100</f>
        <v>97.183231892124539</v>
      </c>
      <c r="G33" s="366">
        <f>SUM(G24:G32)</f>
        <v>3450168</v>
      </c>
    </row>
    <row r="34" spans="1:9" ht="13.5" thickBot="1" x14ac:dyDescent="0.25">
      <c r="A34" s="382" t="s">
        <v>578</v>
      </c>
      <c r="B34" s="346" t="s">
        <v>708</v>
      </c>
      <c r="C34" s="844">
        <v>633168</v>
      </c>
      <c r="D34" s="384">
        <v>0</v>
      </c>
      <c r="E34" s="384">
        <f>G34-D34</f>
        <v>0</v>
      </c>
      <c r="F34" s="349"/>
      <c r="G34" s="350">
        <v>0</v>
      </c>
      <c r="I34" s="255"/>
    </row>
    <row r="35" spans="1:9" ht="13.5" thickBot="1" x14ac:dyDescent="0.25">
      <c r="A35" s="1017" t="s">
        <v>595</v>
      </c>
      <c r="B35" s="1018"/>
      <c r="C35" s="845">
        <v>71206800</v>
      </c>
      <c r="D35" s="385">
        <v>76770927</v>
      </c>
      <c r="E35" s="385">
        <f>E20+E23+E33+E34</f>
        <v>-66407</v>
      </c>
      <c r="F35" s="386">
        <f>G35/D35*100</f>
        <v>99.913499807029808</v>
      </c>
      <c r="G35" s="385">
        <f>G20+G23+G33+G34</f>
        <v>76704520</v>
      </c>
      <c r="I35" s="147"/>
    </row>
    <row r="36" spans="1:9" ht="13.5" thickBot="1" x14ac:dyDescent="0.25">
      <c r="A36" s="1022" t="s">
        <v>709</v>
      </c>
      <c r="B36" s="1023"/>
      <c r="C36" s="1023"/>
      <c r="D36" s="1023"/>
      <c r="E36" s="1023"/>
      <c r="F36" s="1023"/>
      <c r="G36" s="1024"/>
      <c r="H36" s="387"/>
    </row>
    <row r="37" spans="1:9" x14ac:dyDescent="0.2">
      <c r="A37" s="1020" t="s">
        <v>398</v>
      </c>
      <c r="B37" s="1021" t="s">
        <v>693</v>
      </c>
      <c r="C37" s="1006">
        <v>2019</v>
      </c>
      <c r="D37" s="1007"/>
      <c r="E37" s="1007"/>
      <c r="F37" s="1008"/>
      <c r="G37" s="827">
        <v>2019</v>
      </c>
    </row>
    <row r="38" spans="1:9" ht="13.5" thickBot="1" x14ac:dyDescent="0.25">
      <c r="A38" s="1010"/>
      <c r="B38" s="1012"/>
      <c r="C38" s="846" t="s">
        <v>677</v>
      </c>
      <c r="D38" s="847" t="s">
        <v>678</v>
      </c>
      <c r="E38" s="343" t="s">
        <v>402</v>
      </c>
      <c r="F38" s="343" t="s">
        <v>403</v>
      </c>
      <c r="G38" s="344" t="s">
        <v>776</v>
      </c>
    </row>
    <row r="39" spans="1:9" x14ac:dyDescent="0.2">
      <c r="A39" s="382" t="s">
        <v>623</v>
      </c>
      <c r="B39" s="346" t="s">
        <v>624</v>
      </c>
      <c r="C39" s="844">
        <v>0</v>
      </c>
      <c r="D39" s="384">
        <v>536380</v>
      </c>
      <c r="E39" s="384">
        <f>G39-D39</f>
        <v>807620</v>
      </c>
      <c r="F39" s="349">
        <f>G39/D39*100</f>
        <v>250.56862671986281</v>
      </c>
      <c r="G39" s="350">
        <v>1344000</v>
      </c>
    </row>
    <row r="40" spans="1:9" ht="21" x14ac:dyDescent="0.2">
      <c r="A40" s="355" t="s">
        <v>528</v>
      </c>
      <c r="B40" s="352" t="s">
        <v>529</v>
      </c>
      <c r="C40" s="844">
        <v>0</v>
      </c>
      <c r="D40" s="384">
        <v>0</v>
      </c>
      <c r="E40" s="384">
        <f>G40-D40</f>
        <v>0</v>
      </c>
      <c r="F40" s="349"/>
      <c r="G40" s="354">
        <v>0</v>
      </c>
    </row>
    <row r="41" spans="1:9" ht="13.5" thickBot="1" x14ac:dyDescent="0.25">
      <c r="A41" s="358" t="s">
        <v>530</v>
      </c>
      <c r="B41" s="369" t="s">
        <v>710</v>
      </c>
      <c r="C41" s="848">
        <v>0</v>
      </c>
      <c r="D41" s="388">
        <v>409000</v>
      </c>
      <c r="E41" s="388">
        <f>G41-D41</f>
        <v>800480</v>
      </c>
      <c r="F41" s="349">
        <f t="shared" ref="F41" si="6">G41/D41*100</f>
        <v>295.71638141809291</v>
      </c>
      <c r="G41" s="363">
        <f>1089000+101480+19000</f>
        <v>1209480</v>
      </c>
    </row>
    <row r="42" spans="1:9" ht="13.5" thickBot="1" x14ac:dyDescent="0.25">
      <c r="A42" s="1014" t="s">
        <v>3</v>
      </c>
      <c r="B42" s="1015"/>
      <c r="C42" s="843">
        <v>0</v>
      </c>
      <c r="D42" s="381">
        <v>945380</v>
      </c>
      <c r="E42" s="381">
        <f>E39+E40+E41</f>
        <v>1608100</v>
      </c>
      <c r="F42" s="365">
        <f>G42/D42*100</f>
        <v>270.10091180266136</v>
      </c>
      <c r="G42" s="366">
        <f>SUM(G39:G41)</f>
        <v>2553480</v>
      </c>
    </row>
    <row r="43" spans="1:9" x14ac:dyDescent="0.2">
      <c r="A43" s="389" t="s">
        <v>711</v>
      </c>
      <c r="B43" s="849" t="s">
        <v>533</v>
      </c>
      <c r="C43" s="842">
        <v>0</v>
      </c>
      <c r="D43" s="391">
        <v>190537</v>
      </c>
      <c r="E43" s="391">
        <f>G43-D43</f>
        <v>249463</v>
      </c>
      <c r="F43" s="392">
        <f>G43/D43*100</f>
        <v>230.92627678613601</v>
      </c>
      <c r="G43" s="393">
        <v>440000</v>
      </c>
    </row>
    <row r="44" spans="1:9" ht="21.75" thickBot="1" x14ac:dyDescent="0.25">
      <c r="A44" s="358" t="s">
        <v>712</v>
      </c>
      <c r="B44" s="369" t="s">
        <v>713</v>
      </c>
      <c r="C44" s="848">
        <v>0</v>
      </c>
      <c r="D44" s="388">
        <v>0</v>
      </c>
      <c r="E44" s="388">
        <f>G44-D44</f>
        <v>44000</v>
      </c>
      <c r="F44" s="362"/>
      <c r="G44" s="363">
        <v>44000</v>
      </c>
    </row>
    <row r="45" spans="1:9" ht="13.5" thickBot="1" x14ac:dyDescent="0.25">
      <c r="A45" s="1014" t="s">
        <v>714</v>
      </c>
      <c r="B45" s="1016"/>
      <c r="C45" s="843">
        <v>0</v>
      </c>
      <c r="D45" s="381">
        <v>190537</v>
      </c>
      <c r="E45" s="381">
        <f>E43+E44</f>
        <v>293463</v>
      </c>
      <c r="F45" s="365">
        <f>G45/D45*100</f>
        <v>254.01890446474962</v>
      </c>
      <c r="G45" s="366">
        <f>SUM(G43:G44)</f>
        <v>484000</v>
      </c>
    </row>
    <row r="46" spans="1:9" x14ac:dyDescent="0.2">
      <c r="A46" s="382" t="s">
        <v>538</v>
      </c>
      <c r="B46" s="346" t="s">
        <v>539</v>
      </c>
      <c r="C46" s="844">
        <v>0</v>
      </c>
      <c r="D46" s="384">
        <v>26106</v>
      </c>
      <c r="E46" s="384">
        <f>G46-D46</f>
        <v>34894</v>
      </c>
      <c r="F46" s="349">
        <f>G46/D46*100</f>
        <v>233.66275951888454</v>
      </c>
      <c r="G46" s="350">
        <v>61000</v>
      </c>
    </row>
    <row r="47" spans="1:9" ht="21.75" thickBot="1" x14ac:dyDescent="0.25">
      <c r="A47" s="358" t="s">
        <v>562</v>
      </c>
      <c r="B47" s="369" t="s">
        <v>563</v>
      </c>
      <c r="C47" s="840">
        <v>0</v>
      </c>
      <c r="D47" s="394">
        <v>7050</v>
      </c>
      <c r="E47" s="384">
        <f>G47-D47</f>
        <v>9950</v>
      </c>
      <c r="F47" s="349">
        <f>G47/D47*100</f>
        <v>241.13475177304963</v>
      </c>
      <c r="G47" s="363">
        <v>17000</v>
      </c>
    </row>
    <row r="48" spans="1:9" ht="13.5" thickBot="1" x14ac:dyDescent="0.25">
      <c r="A48" s="1014" t="s">
        <v>5</v>
      </c>
      <c r="B48" s="1016"/>
      <c r="C48" s="837">
        <v>0</v>
      </c>
      <c r="D48" s="395">
        <v>33156</v>
      </c>
      <c r="E48" s="395">
        <f>E46+E47</f>
        <v>44844</v>
      </c>
      <c r="F48" s="365">
        <f>G48/D48*100</f>
        <v>235.2515381831343</v>
      </c>
      <c r="G48" s="366">
        <f>SUM(G46:G47)</f>
        <v>78000</v>
      </c>
    </row>
    <row r="49" spans="1:8" ht="13.5" thickBot="1" x14ac:dyDescent="0.25">
      <c r="A49" s="1017" t="s">
        <v>595</v>
      </c>
      <c r="B49" s="1018"/>
      <c r="C49" s="845">
        <v>0</v>
      </c>
      <c r="D49" s="385">
        <v>1169073</v>
      </c>
      <c r="E49" s="385">
        <f>E42+E45</f>
        <v>1901563</v>
      </c>
      <c r="F49" s="396">
        <f>G49/D49*100</f>
        <v>266.491485133948</v>
      </c>
      <c r="G49" s="385">
        <f>G42+G45+G48</f>
        <v>3115480</v>
      </c>
      <c r="H49" s="42"/>
    </row>
    <row r="50" spans="1:8" ht="13.5" thickBot="1" x14ac:dyDescent="0.25">
      <c r="A50" s="397"/>
      <c r="C50" s="850"/>
      <c r="D50" s="3"/>
      <c r="E50" s="3"/>
      <c r="F50" s="3"/>
      <c r="G50" s="398"/>
    </row>
    <row r="51" spans="1:8" ht="13.5" thickBot="1" x14ac:dyDescent="0.25">
      <c r="A51" s="399" t="s">
        <v>715</v>
      </c>
      <c r="B51" s="400"/>
      <c r="C51" s="851">
        <v>71206800</v>
      </c>
      <c r="D51" s="852">
        <v>77940000</v>
      </c>
      <c r="E51" s="852">
        <f>E35+E49</f>
        <v>1835156</v>
      </c>
      <c r="F51" s="401">
        <f>G51/D51*100</f>
        <v>102.41211188093405</v>
      </c>
      <c r="G51" s="402">
        <f>G35+G49</f>
        <v>79820000</v>
      </c>
    </row>
  </sheetData>
  <mergeCells count="20">
    <mergeCell ref="A42:B42"/>
    <mergeCell ref="A45:B45"/>
    <mergeCell ref="A48:B48"/>
    <mergeCell ref="A49:B49"/>
    <mergeCell ref="A20:B20"/>
    <mergeCell ref="A23:B23"/>
    <mergeCell ref="A33:B33"/>
    <mergeCell ref="A35:B35"/>
    <mergeCell ref="A37:A38"/>
    <mergeCell ref="B37:B38"/>
    <mergeCell ref="A36:G36"/>
    <mergeCell ref="C37:F37"/>
    <mergeCell ref="D1:G1"/>
    <mergeCell ref="A6:G6"/>
    <mergeCell ref="C7:F7"/>
    <mergeCell ref="A7:A8"/>
    <mergeCell ref="B7:B8"/>
    <mergeCell ref="A2:G2"/>
    <mergeCell ref="A3:G3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6007-824E-4B9A-BD4C-2900C98641CD}">
  <dimension ref="A1:G15"/>
  <sheetViews>
    <sheetView workbookViewId="0">
      <selection activeCell="C23" sqref="C23"/>
    </sheetView>
  </sheetViews>
  <sheetFormatPr defaultRowHeight="12.75" x14ac:dyDescent="0.2"/>
  <cols>
    <col min="1" max="1" width="12.28515625" customWidth="1"/>
    <col min="2" max="2" width="37.28515625" customWidth="1"/>
    <col min="3" max="3" width="12.8554687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x14ac:dyDescent="0.2">
      <c r="A2" s="1029" t="s">
        <v>775</v>
      </c>
      <c r="B2" s="1029"/>
      <c r="C2" s="1029"/>
      <c r="D2" s="1029"/>
      <c r="E2" s="1029"/>
      <c r="F2" s="1029"/>
      <c r="G2" s="1029"/>
    </row>
    <row r="3" spans="1:7" x14ac:dyDescent="0.2">
      <c r="A3" s="1029" t="s">
        <v>716</v>
      </c>
      <c r="B3" s="1029"/>
      <c r="C3" s="1029"/>
      <c r="D3" s="1029"/>
      <c r="E3" s="1029"/>
      <c r="F3" s="1029"/>
      <c r="G3" s="1029"/>
    </row>
    <row r="4" spans="1:7" x14ac:dyDescent="0.2">
      <c r="A4" s="403"/>
      <c r="B4" s="403"/>
      <c r="C4" s="403"/>
      <c r="D4" s="403"/>
      <c r="E4" s="403"/>
      <c r="F4" s="403"/>
      <c r="G4" s="404" t="s">
        <v>395</v>
      </c>
    </row>
    <row r="5" spans="1:7" ht="13.5" thickBot="1" x14ac:dyDescent="0.25">
      <c r="A5" s="1030" t="s">
        <v>1</v>
      </c>
      <c r="B5" s="1030"/>
      <c r="C5" s="1030"/>
      <c r="D5" s="1030"/>
      <c r="E5" s="1030"/>
      <c r="F5" s="1030"/>
      <c r="G5" s="1030"/>
    </row>
    <row r="6" spans="1:7" x14ac:dyDescent="0.2">
      <c r="A6" s="1031" t="s">
        <v>398</v>
      </c>
      <c r="B6" s="1033" t="s">
        <v>399</v>
      </c>
      <c r="C6" s="1035">
        <v>2019</v>
      </c>
      <c r="D6" s="1007"/>
      <c r="E6" s="1007"/>
      <c r="F6" s="1008"/>
      <c r="G6" s="853">
        <v>2019</v>
      </c>
    </row>
    <row r="7" spans="1:7" ht="13.5" thickBot="1" x14ac:dyDescent="0.25">
      <c r="A7" s="1032"/>
      <c r="B7" s="1034"/>
      <c r="C7" s="406" t="s">
        <v>677</v>
      </c>
      <c r="D7" s="854" t="s">
        <v>678</v>
      </c>
      <c r="E7" s="406" t="s">
        <v>402</v>
      </c>
      <c r="F7" s="406" t="s">
        <v>403</v>
      </c>
      <c r="G7" s="407" t="s">
        <v>776</v>
      </c>
    </row>
    <row r="8" spans="1:7" x14ac:dyDescent="0.2">
      <c r="A8" s="413" t="s">
        <v>417</v>
      </c>
      <c r="B8" s="428" t="s">
        <v>354</v>
      </c>
      <c r="C8" s="429">
        <v>100000</v>
      </c>
      <c r="D8" s="429">
        <v>97400</v>
      </c>
      <c r="E8" s="429">
        <f>G8-D8</f>
        <v>0</v>
      </c>
      <c r="F8" s="416">
        <f t="shared" ref="F8:F9" si="0">G8/D8*100</f>
        <v>100</v>
      </c>
      <c r="G8" s="430">
        <f>'[2]Bevételek COFOG'!G17</f>
        <v>97400</v>
      </c>
    </row>
    <row r="9" spans="1:7" x14ac:dyDescent="0.2">
      <c r="A9" s="413" t="s">
        <v>688</v>
      </c>
      <c r="B9" s="414" t="s">
        <v>689</v>
      </c>
      <c r="C9" s="429">
        <v>0</v>
      </c>
      <c r="D9" s="429">
        <v>1511</v>
      </c>
      <c r="E9" s="429">
        <f>G9-D9</f>
        <v>0</v>
      </c>
      <c r="F9" s="416">
        <f t="shared" si="0"/>
        <v>100</v>
      </c>
      <c r="G9" s="430">
        <f>'[2]Bevételek COFOG'!G18</f>
        <v>1511</v>
      </c>
    </row>
    <row r="10" spans="1:7" ht="21" x14ac:dyDescent="0.2">
      <c r="A10" s="413" t="s">
        <v>480</v>
      </c>
      <c r="B10" s="414" t="s">
        <v>481</v>
      </c>
      <c r="C10" s="429">
        <v>102000</v>
      </c>
      <c r="D10" s="415">
        <v>103089</v>
      </c>
      <c r="E10" s="415">
        <f>G10-D10</f>
        <v>0</v>
      </c>
      <c r="F10" s="416">
        <f>G10/D10*100</f>
        <v>100</v>
      </c>
      <c r="G10" s="417">
        <f>'[2]Bevételek COFOG'!G9</f>
        <v>103089</v>
      </c>
    </row>
    <row r="11" spans="1:7" x14ac:dyDescent="0.2">
      <c r="A11" s="1025" t="s">
        <v>679</v>
      </c>
      <c r="B11" s="418" t="s">
        <v>680</v>
      </c>
      <c r="C11" s="856">
        <v>13566400</v>
      </c>
      <c r="D11" s="419">
        <v>13566400</v>
      </c>
      <c r="E11" s="415">
        <f>G11-D11</f>
        <v>0</v>
      </c>
      <c r="F11" s="416">
        <f t="shared" ref="F11:F13" si="1">G11/D11*100</f>
        <v>100</v>
      </c>
      <c r="G11" s="420">
        <f>'[2]Bevételek COFOG'!G10</f>
        <v>13566400</v>
      </c>
    </row>
    <row r="12" spans="1:7" x14ac:dyDescent="0.2">
      <c r="A12" s="1026"/>
      <c r="B12" s="421" t="s">
        <v>681</v>
      </c>
      <c r="C12" s="857">
        <v>13566400</v>
      </c>
      <c r="D12" s="422">
        <v>3017740</v>
      </c>
      <c r="E12" s="423">
        <f t="shared" ref="E12:E13" si="2">G12-D12</f>
        <v>0</v>
      </c>
      <c r="F12" s="416">
        <f t="shared" si="1"/>
        <v>100</v>
      </c>
      <c r="G12" s="424">
        <f>'[2]Bevételek COFOG'!G11</f>
        <v>3017740</v>
      </c>
    </row>
    <row r="13" spans="1:7" ht="13.5" thickBot="1" x14ac:dyDescent="0.25">
      <c r="A13" s="1026"/>
      <c r="B13" s="425" t="s">
        <v>717</v>
      </c>
      <c r="C13" s="858">
        <v>0</v>
      </c>
      <c r="D13" s="426">
        <v>10548660</v>
      </c>
      <c r="E13" s="423">
        <f t="shared" si="2"/>
        <v>0</v>
      </c>
      <c r="F13" s="416">
        <f t="shared" si="1"/>
        <v>100</v>
      </c>
      <c r="G13" s="427">
        <f>'[2]Bevételek COFOG'!G12</f>
        <v>10548660</v>
      </c>
    </row>
    <row r="14" spans="1:7" ht="13.5" thickBot="1" x14ac:dyDescent="0.25">
      <c r="A14" s="1027" t="s">
        <v>777</v>
      </c>
      <c r="B14" s="1028"/>
      <c r="C14" s="855">
        <v>13768400</v>
      </c>
      <c r="D14" s="408">
        <v>13768400</v>
      </c>
      <c r="E14" s="408">
        <f>E8+E9+E10</f>
        <v>0</v>
      </c>
      <c r="F14" s="412">
        <f>G14/D14*100</f>
        <v>100</v>
      </c>
      <c r="G14" s="408">
        <f>G8+G9+G10+G11</f>
        <v>13768400</v>
      </c>
    </row>
    <row r="15" spans="1:7" x14ac:dyDescent="0.2">
      <c r="A15" s="409"/>
      <c r="B15" s="409"/>
      <c r="C15" s="409"/>
      <c r="D15" s="410"/>
      <c r="E15" s="410"/>
      <c r="F15" s="411"/>
      <c r="G15" s="410"/>
    </row>
  </sheetData>
  <mergeCells count="8">
    <mergeCell ref="A11:A13"/>
    <mergeCell ref="A14:B14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2864-A6DF-4AB6-A8D7-D81D1B3F87A4}">
  <dimension ref="A1:M59"/>
  <sheetViews>
    <sheetView topLeftCell="A37" workbookViewId="0">
      <selection activeCell="K10" sqref="K10"/>
    </sheetView>
  </sheetViews>
  <sheetFormatPr defaultRowHeight="12.75" x14ac:dyDescent="0.2"/>
  <cols>
    <col min="1" max="1" width="11.5703125" customWidth="1"/>
    <col min="2" max="2" width="39.140625" customWidth="1"/>
    <col min="3" max="3" width="13.28515625" customWidth="1"/>
    <col min="4" max="4" width="13.140625" customWidth="1"/>
    <col min="5" max="5" width="11.42578125" customWidth="1"/>
    <col min="6" max="6" width="9.85546875" customWidth="1"/>
    <col min="7" max="7" width="17.42578125" customWidth="1"/>
    <col min="8" max="8" width="11.42578125" bestFit="1" customWidth="1"/>
    <col min="9" max="9" width="12.42578125" style="255" bestFit="1" customWidth="1"/>
    <col min="10" max="10" width="11.42578125" style="255" bestFit="1" customWidth="1"/>
    <col min="11" max="12" width="15.28515625" style="255" bestFit="1" customWidth="1"/>
    <col min="13" max="13" width="13.7109375" style="255" bestFit="1" customWidth="1"/>
    <col min="14" max="14" width="12.5703125" bestFit="1" customWidth="1"/>
    <col min="15" max="15" width="15.28515625" bestFit="1" customWidth="1"/>
  </cols>
  <sheetData>
    <row r="1" spans="1:13" x14ac:dyDescent="0.2">
      <c r="D1" s="1001"/>
      <c r="E1" s="982"/>
      <c r="F1" s="982"/>
      <c r="G1" s="982"/>
    </row>
    <row r="2" spans="1:13" x14ac:dyDescent="0.2">
      <c r="A2" s="1029" t="s">
        <v>775</v>
      </c>
      <c r="B2" s="1029"/>
      <c r="C2" s="1029"/>
      <c r="D2" s="1029"/>
      <c r="E2" s="1029"/>
      <c r="F2" s="1029"/>
      <c r="G2" s="1029"/>
    </row>
    <row r="3" spans="1:13" x14ac:dyDescent="0.2">
      <c r="A3" s="1029" t="s">
        <v>716</v>
      </c>
      <c r="B3" s="1029"/>
      <c r="C3" s="1029"/>
      <c r="D3" s="1029"/>
      <c r="E3" s="1029"/>
      <c r="F3" s="1029"/>
      <c r="G3" s="1029"/>
    </row>
    <row r="4" spans="1:13" x14ac:dyDescent="0.2">
      <c r="G4" s="258" t="s">
        <v>395</v>
      </c>
    </row>
    <row r="5" spans="1:13" ht="21.95" customHeight="1" thickBot="1" x14ac:dyDescent="0.25">
      <c r="A5" s="1041" t="s">
        <v>516</v>
      </c>
      <c r="B5" s="1041"/>
      <c r="C5" s="1041"/>
      <c r="D5" s="1041"/>
      <c r="E5" s="1041"/>
      <c r="F5" s="1041"/>
      <c r="G5" s="1041"/>
      <c r="K5" s="431"/>
      <c r="L5" s="431"/>
      <c r="M5" s="431"/>
    </row>
    <row r="6" spans="1:13" ht="21.95" customHeight="1" x14ac:dyDescent="0.2">
      <c r="A6" s="1002" t="s">
        <v>718</v>
      </c>
      <c r="B6" s="1003"/>
      <c r="C6" s="1003"/>
      <c r="D6" s="1003"/>
      <c r="E6" s="1003"/>
      <c r="F6" s="1003"/>
      <c r="G6" s="1042"/>
      <c r="I6" s="432"/>
    </row>
    <row r="7" spans="1:13" ht="18.75" customHeight="1" x14ac:dyDescent="0.2">
      <c r="A7" s="1009" t="s">
        <v>398</v>
      </c>
      <c r="B7" s="1039" t="s">
        <v>693</v>
      </c>
      <c r="C7" s="1011">
        <v>2019</v>
      </c>
      <c r="D7" s="993"/>
      <c r="E7" s="993"/>
      <c r="F7" s="994"/>
      <c r="G7" s="342">
        <v>2019</v>
      </c>
    </row>
    <row r="8" spans="1:13" ht="25.5" customHeight="1" thickBot="1" x14ac:dyDescent="0.25">
      <c r="A8" s="1010"/>
      <c r="B8" s="1040"/>
      <c r="C8" s="343" t="s">
        <v>677</v>
      </c>
      <c r="D8" s="847" t="s">
        <v>678</v>
      </c>
      <c r="E8" s="343" t="s">
        <v>402</v>
      </c>
      <c r="F8" s="343" t="s">
        <v>403</v>
      </c>
      <c r="G8" s="344" t="s">
        <v>776</v>
      </c>
    </row>
    <row r="9" spans="1:13" ht="21.95" customHeight="1" x14ac:dyDescent="0.2">
      <c r="A9" s="370" t="s">
        <v>536</v>
      </c>
      <c r="B9" s="371" t="s">
        <v>634</v>
      </c>
      <c r="C9" s="859">
        <v>250000</v>
      </c>
      <c r="D9" s="372">
        <v>162500</v>
      </c>
      <c r="E9" s="372">
        <f t="shared" ref="E9:E11" si="0">G9-D9</f>
        <v>0</v>
      </c>
      <c r="F9" s="373">
        <f>G9/D9*100</f>
        <v>100</v>
      </c>
      <c r="G9" s="354">
        <v>162500</v>
      </c>
    </row>
    <row r="10" spans="1:13" ht="21.95" customHeight="1" x14ac:dyDescent="0.2">
      <c r="A10" s="351" t="s">
        <v>558</v>
      </c>
      <c r="B10" s="371" t="s">
        <v>559</v>
      </c>
      <c r="C10" s="859">
        <v>0</v>
      </c>
      <c r="D10" s="372">
        <v>0</v>
      </c>
      <c r="E10" s="372">
        <f t="shared" si="0"/>
        <v>0</v>
      </c>
      <c r="F10" s="373"/>
      <c r="G10" s="354">
        <v>0</v>
      </c>
      <c r="H10" s="255"/>
    </row>
    <row r="11" spans="1:13" ht="21.95" customHeight="1" thickBot="1" x14ac:dyDescent="0.25">
      <c r="A11" s="351" t="s">
        <v>562</v>
      </c>
      <c r="B11" s="376" t="s">
        <v>563</v>
      </c>
      <c r="C11" s="835">
        <v>12500</v>
      </c>
      <c r="D11" s="372">
        <v>12500</v>
      </c>
      <c r="E11" s="372">
        <f t="shared" si="0"/>
        <v>0</v>
      </c>
      <c r="F11" s="373">
        <f>G11/D11*100</f>
        <v>100</v>
      </c>
      <c r="G11" s="354">
        <v>12500</v>
      </c>
      <c r="I11" s="433"/>
      <c r="J11" s="433"/>
    </row>
    <row r="12" spans="1:13" ht="21.95" customHeight="1" thickBot="1" x14ac:dyDescent="0.25">
      <c r="A12" s="1017" t="s">
        <v>595</v>
      </c>
      <c r="B12" s="1043"/>
      <c r="C12" s="860">
        <v>262500</v>
      </c>
      <c r="D12" s="385">
        <v>175000</v>
      </c>
      <c r="E12" s="385">
        <f>SUM(E9:E11)</f>
        <v>0</v>
      </c>
      <c r="F12" s="386">
        <f>G12/D12*100</f>
        <v>100</v>
      </c>
      <c r="G12" s="385">
        <f>SUM(G9:G11)</f>
        <v>175000</v>
      </c>
      <c r="I12" s="434"/>
    </row>
    <row r="13" spans="1:13" ht="26.25" customHeight="1" thickBot="1" x14ac:dyDescent="0.25">
      <c r="A13" s="1022" t="s">
        <v>719</v>
      </c>
      <c r="B13" s="1023"/>
      <c r="C13" s="1023"/>
      <c r="D13" s="1023"/>
      <c r="E13" s="1023"/>
      <c r="F13" s="1023"/>
      <c r="G13" s="1024"/>
      <c r="H13" s="387"/>
    </row>
    <row r="14" spans="1:13" ht="24.95" customHeight="1" x14ac:dyDescent="0.2">
      <c r="A14" s="1020" t="s">
        <v>398</v>
      </c>
      <c r="B14" s="1044" t="s">
        <v>693</v>
      </c>
      <c r="C14" s="1011">
        <v>2019</v>
      </c>
      <c r="D14" s="993"/>
      <c r="E14" s="993"/>
      <c r="F14" s="994"/>
      <c r="G14" s="342">
        <v>2019</v>
      </c>
    </row>
    <row r="15" spans="1:13" ht="24.95" customHeight="1" thickBot="1" x14ac:dyDescent="0.25">
      <c r="A15" s="1010"/>
      <c r="B15" s="1040"/>
      <c r="C15" s="343" t="s">
        <v>677</v>
      </c>
      <c r="D15" s="847" t="s">
        <v>678</v>
      </c>
      <c r="E15" s="343" t="s">
        <v>402</v>
      </c>
      <c r="F15" s="343" t="s">
        <v>403</v>
      </c>
      <c r="G15" s="344" t="s">
        <v>776</v>
      </c>
    </row>
    <row r="16" spans="1:13" ht="21.95" customHeight="1" thickBot="1" x14ac:dyDescent="0.25">
      <c r="A16" s="355" t="s">
        <v>528</v>
      </c>
      <c r="B16" s="376" t="s">
        <v>529</v>
      </c>
      <c r="C16" s="861">
        <v>720000</v>
      </c>
      <c r="D16" s="384">
        <v>720000</v>
      </c>
      <c r="E16" s="384">
        <f>G16-D16</f>
        <v>0</v>
      </c>
      <c r="F16" s="349">
        <f>G16/D16*100</f>
        <v>100</v>
      </c>
      <c r="G16" s="354">
        <v>720000</v>
      </c>
      <c r="I16" s="255" t="s">
        <v>720</v>
      </c>
    </row>
    <row r="17" spans="1:9" ht="21.95" customHeight="1" thickBot="1" x14ac:dyDescent="0.25">
      <c r="A17" s="1014" t="s">
        <v>3</v>
      </c>
      <c r="B17" s="1038"/>
      <c r="C17" s="862">
        <v>720000</v>
      </c>
      <c r="D17" s="381">
        <v>720000</v>
      </c>
      <c r="E17" s="381">
        <f>SUM(E16:E16)</f>
        <v>0</v>
      </c>
      <c r="F17" s="365"/>
      <c r="G17" s="366">
        <f>SUM(G16:G16)</f>
        <v>720000</v>
      </c>
    </row>
    <row r="18" spans="1:9" ht="21.95" customHeight="1" x14ac:dyDescent="0.2">
      <c r="A18" s="389" t="s">
        <v>711</v>
      </c>
      <c r="B18" s="390" t="s">
        <v>533</v>
      </c>
      <c r="C18" s="863">
        <v>158400</v>
      </c>
      <c r="D18" s="391">
        <v>158400</v>
      </c>
      <c r="E18" s="391">
        <f>G18-D18</f>
        <v>0</v>
      </c>
      <c r="F18" s="392">
        <f>G18/D18*100</f>
        <v>100</v>
      </c>
      <c r="G18" s="393">
        <v>158400</v>
      </c>
    </row>
    <row r="19" spans="1:9" ht="21.95" customHeight="1" thickBot="1" x14ac:dyDescent="0.25">
      <c r="A19" s="358" t="s">
        <v>712</v>
      </c>
      <c r="B19" s="378" t="s">
        <v>713</v>
      </c>
      <c r="C19" s="864">
        <v>0</v>
      </c>
      <c r="D19" s="388">
        <v>0</v>
      </c>
      <c r="E19" s="388">
        <f>G19-D19</f>
        <v>0</v>
      </c>
      <c r="F19" s="362"/>
      <c r="G19" s="363">
        <v>0</v>
      </c>
    </row>
    <row r="20" spans="1:9" ht="21.95" customHeight="1" thickBot="1" x14ac:dyDescent="0.25">
      <c r="A20" s="1014" t="s">
        <v>714</v>
      </c>
      <c r="B20" s="1045"/>
      <c r="C20" s="862">
        <v>158400</v>
      </c>
      <c r="D20" s="381">
        <v>158400</v>
      </c>
      <c r="E20" s="381">
        <f>SUM(E18:E19)</f>
        <v>0</v>
      </c>
      <c r="F20" s="365">
        <f>G20/D20*100</f>
        <v>100</v>
      </c>
      <c r="G20" s="366">
        <f>SUM(G18:G19)</f>
        <v>158400</v>
      </c>
    </row>
    <row r="21" spans="1:9" ht="21.95" customHeight="1" x14ac:dyDescent="0.2">
      <c r="A21" s="382" t="s">
        <v>536</v>
      </c>
      <c r="B21" s="383" t="s">
        <v>634</v>
      </c>
      <c r="C21" s="861">
        <v>311000</v>
      </c>
      <c r="D21" s="384">
        <v>0</v>
      </c>
      <c r="E21" s="384">
        <f>G21-D21</f>
        <v>0</v>
      </c>
      <c r="F21" s="349"/>
      <c r="G21" s="350">
        <v>0</v>
      </c>
    </row>
    <row r="22" spans="1:9" ht="21.95" customHeight="1" x14ac:dyDescent="0.2">
      <c r="A22" s="355" t="s">
        <v>538</v>
      </c>
      <c r="B22" s="376" t="s">
        <v>539</v>
      </c>
      <c r="C22" s="835">
        <v>20000</v>
      </c>
      <c r="D22" s="372">
        <v>0</v>
      </c>
      <c r="E22" s="372">
        <f t="shared" ref="E22:E24" si="1">G22-D22</f>
        <v>0</v>
      </c>
      <c r="F22" s="349"/>
      <c r="G22" s="354">
        <v>0</v>
      </c>
    </row>
    <row r="23" spans="1:9" ht="21.95" customHeight="1" x14ac:dyDescent="0.2">
      <c r="A23" s="355" t="s">
        <v>552</v>
      </c>
      <c r="B23" s="376" t="s">
        <v>721</v>
      </c>
      <c r="C23" s="835">
        <v>124000</v>
      </c>
      <c r="D23" s="372">
        <v>0</v>
      </c>
      <c r="E23" s="372">
        <f t="shared" si="1"/>
        <v>0</v>
      </c>
      <c r="F23" s="349"/>
      <c r="G23" s="354">
        <v>0</v>
      </c>
    </row>
    <row r="24" spans="1:9" ht="21.95" customHeight="1" thickBot="1" x14ac:dyDescent="0.25">
      <c r="A24" s="358" t="s">
        <v>562</v>
      </c>
      <c r="B24" s="378" t="s">
        <v>563</v>
      </c>
      <c r="C24" s="865">
        <v>123000</v>
      </c>
      <c r="D24" s="379">
        <v>0</v>
      </c>
      <c r="E24" s="379">
        <f t="shared" si="1"/>
        <v>0</v>
      </c>
      <c r="F24" s="349"/>
      <c r="G24" s="363">
        <v>0</v>
      </c>
    </row>
    <row r="25" spans="1:9" ht="21.95" customHeight="1" thickBot="1" x14ac:dyDescent="0.25">
      <c r="A25" s="1014" t="s">
        <v>5</v>
      </c>
      <c r="B25" s="1045"/>
      <c r="C25" s="866">
        <v>578000</v>
      </c>
      <c r="D25" s="395">
        <v>0</v>
      </c>
      <c r="E25" s="395">
        <f>SUM(E21:E24)</f>
        <v>0</v>
      </c>
      <c r="F25" s="365"/>
      <c r="G25" s="366">
        <f>SUM(G21:G24)</f>
        <v>0</v>
      </c>
    </row>
    <row r="26" spans="1:9" ht="21.95" customHeight="1" thickBot="1" x14ac:dyDescent="0.25">
      <c r="A26" s="1017" t="s">
        <v>595</v>
      </c>
      <c r="B26" s="1043"/>
      <c r="C26" s="860">
        <v>1456400</v>
      </c>
      <c r="D26" s="385">
        <v>878400</v>
      </c>
      <c r="E26" s="385">
        <f>E17+E20+E25</f>
        <v>0</v>
      </c>
      <c r="F26" s="396">
        <f>G26/D26*100</f>
        <v>100</v>
      </c>
      <c r="G26" s="385">
        <f>G17+G20+G25</f>
        <v>878400</v>
      </c>
    </row>
    <row r="27" spans="1:9" ht="21.95" customHeight="1" x14ac:dyDescent="0.2">
      <c r="A27" s="1002" t="s">
        <v>722</v>
      </c>
      <c r="B27" s="1003"/>
      <c r="C27" s="1003"/>
      <c r="D27" s="1003"/>
      <c r="E27" s="1003"/>
      <c r="F27" s="1003"/>
      <c r="G27" s="1042"/>
    </row>
    <row r="28" spans="1:9" ht="21.95" customHeight="1" x14ac:dyDescent="0.2">
      <c r="A28" s="1009" t="s">
        <v>398</v>
      </c>
      <c r="B28" s="1039" t="s">
        <v>693</v>
      </c>
      <c r="C28" s="1011">
        <v>2019</v>
      </c>
      <c r="D28" s="993"/>
      <c r="E28" s="993"/>
      <c r="F28" s="994"/>
      <c r="G28" s="342">
        <v>2019</v>
      </c>
    </row>
    <row r="29" spans="1:9" ht="21.95" customHeight="1" thickBot="1" x14ac:dyDescent="0.25">
      <c r="A29" s="1010"/>
      <c r="B29" s="1040"/>
      <c r="C29" s="343" t="s">
        <v>677</v>
      </c>
      <c r="D29" s="847" t="s">
        <v>678</v>
      </c>
      <c r="E29" s="343" t="s">
        <v>402</v>
      </c>
      <c r="F29" s="343" t="s">
        <v>403</v>
      </c>
      <c r="G29" s="344" t="s">
        <v>776</v>
      </c>
    </row>
    <row r="30" spans="1:9" ht="21.95" customHeight="1" x14ac:dyDescent="0.2">
      <c r="A30" s="345" t="s">
        <v>518</v>
      </c>
      <c r="B30" s="346" t="s">
        <v>643</v>
      </c>
      <c r="C30" s="867">
        <v>6100000</v>
      </c>
      <c r="D30" s="391">
        <v>6103000</v>
      </c>
      <c r="E30" s="348">
        <f>G30-D30</f>
        <v>0</v>
      </c>
      <c r="F30" s="349">
        <f>G30/D30*100</f>
        <v>100</v>
      </c>
      <c r="G30" s="350">
        <v>6103000</v>
      </c>
    </row>
    <row r="31" spans="1:9" ht="21.95" customHeight="1" x14ac:dyDescent="0.2">
      <c r="A31" s="355" t="s">
        <v>646</v>
      </c>
      <c r="B31" s="352" t="s">
        <v>699</v>
      </c>
      <c r="C31" s="868">
        <v>48000</v>
      </c>
      <c r="D31" s="372">
        <v>48000</v>
      </c>
      <c r="E31" s="348">
        <f t="shared" ref="E31:E36" si="2">G31-D31</f>
        <v>0</v>
      </c>
      <c r="F31" s="349">
        <f t="shared" ref="F31:F34" si="3">G31/D31*100</f>
        <v>100</v>
      </c>
      <c r="G31" s="354">
        <v>48000</v>
      </c>
      <c r="I31" s="255" t="s">
        <v>723</v>
      </c>
    </row>
    <row r="32" spans="1:9" ht="21.95" customHeight="1" x14ac:dyDescent="0.2">
      <c r="A32" s="355" t="s">
        <v>522</v>
      </c>
      <c r="B32" s="352" t="s">
        <v>523</v>
      </c>
      <c r="C32" s="868">
        <v>120000</v>
      </c>
      <c r="D32" s="372">
        <v>0</v>
      </c>
      <c r="E32" s="348">
        <f>G32-D32</f>
        <v>0</v>
      </c>
      <c r="F32" s="349"/>
      <c r="G32" s="354">
        <v>0</v>
      </c>
    </row>
    <row r="33" spans="1:7" ht="21.95" customHeight="1" x14ac:dyDescent="0.2">
      <c r="A33" s="351" t="s">
        <v>631</v>
      </c>
      <c r="B33" s="352" t="s">
        <v>632</v>
      </c>
      <c r="C33" s="868">
        <v>24000</v>
      </c>
      <c r="D33" s="372">
        <v>24000</v>
      </c>
      <c r="E33" s="348">
        <f t="shared" si="2"/>
        <v>0</v>
      </c>
      <c r="F33" s="349">
        <f t="shared" si="3"/>
        <v>100</v>
      </c>
      <c r="G33" s="354">
        <v>24000</v>
      </c>
    </row>
    <row r="34" spans="1:7" ht="21.95" customHeight="1" x14ac:dyDescent="0.2">
      <c r="A34" s="351" t="s">
        <v>623</v>
      </c>
      <c r="B34" s="352" t="s">
        <v>624</v>
      </c>
      <c r="C34" s="868">
        <v>84000</v>
      </c>
      <c r="D34" s="372">
        <v>84000</v>
      </c>
      <c r="E34" s="348">
        <f t="shared" si="2"/>
        <v>0</v>
      </c>
      <c r="F34" s="349">
        <f t="shared" si="3"/>
        <v>100</v>
      </c>
      <c r="G34" s="354">
        <v>84000</v>
      </c>
    </row>
    <row r="35" spans="1:7" ht="21.95" customHeight="1" x14ac:dyDescent="0.2">
      <c r="A35" s="358" t="s">
        <v>700</v>
      </c>
      <c r="B35" s="369" t="s">
        <v>525</v>
      </c>
      <c r="C35" s="869">
        <v>0</v>
      </c>
      <c r="D35" s="379"/>
      <c r="E35" s="348">
        <f t="shared" si="2"/>
        <v>60000</v>
      </c>
      <c r="F35" s="373"/>
      <c r="G35" s="363">
        <v>60000</v>
      </c>
    </row>
    <row r="36" spans="1:7" ht="21.95" customHeight="1" thickBot="1" x14ac:dyDescent="0.25">
      <c r="A36" s="358" t="s">
        <v>528</v>
      </c>
      <c r="B36" s="359" t="s">
        <v>529</v>
      </c>
      <c r="C36" s="870">
        <v>200000</v>
      </c>
      <c r="D36" s="871">
        <v>171000</v>
      </c>
      <c r="E36" s="361">
        <f t="shared" si="2"/>
        <v>-60000</v>
      </c>
      <c r="F36" s="362">
        <f t="shared" ref="F36" si="4">G36/D36*100</f>
        <v>64.912280701754383</v>
      </c>
      <c r="G36" s="363">
        <f>171000-60000</f>
        <v>111000</v>
      </c>
    </row>
    <row r="37" spans="1:7" ht="21.95" customHeight="1" thickBot="1" x14ac:dyDescent="0.25">
      <c r="A37" s="1014" t="s">
        <v>3</v>
      </c>
      <c r="B37" s="1046"/>
      <c r="C37" s="866">
        <v>6576000</v>
      </c>
      <c r="D37" s="364">
        <v>6430000</v>
      </c>
      <c r="E37" s="364">
        <f>SUM(E30:E36)</f>
        <v>0</v>
      </c>
      <c r="F37" s="365">
        <f>G37/D37*100</f>
        <v>100</v>
      </c>
      <c r="G37" s="366">
        <f>SUM(G30:G36)</f>
        <v>6430000</v>
      </c>
    </row>
    <row r="38" spans="1:7" ht="21.95" customHeight="1" x14ac:dyDescent="0.2">
      <c r="A38" s="345" t="s">
        <v>532</v>
      </c>
      <c r="B38" s="346" t="s">
        <v>533</v>
      </c>
      <c r="C38" s="867">
        <v>1189500</v>
      </c>
      <c r="D38" s="391">
        <v>1200000</v>
      </c>
      <c r="E38" s="348">
        <f t="shared" ref="E38:E39" si="5">G38-D38</f>
        <v>0</v>
      </c>
      <c r="F38" s="349">
        <f t="shared" ref="F38:F39" si="6">G38/D38*100</f>
        <v>100</v>
      </c>
      <c r="G38" s="350">
        <v>1200000</v>
      </c>
    </row>
    <row r="39" spans="1:7" ht="21.95" customHeight="1" thickBot="1" x14ac:dyDescent="0.25">
      <c r="A39" s="368" t="s">
        <v>534</v>
      </c>
      <c r="B39" s="369" t="s">
        <v>535</v>
      </c>
      <c r="C39" s="870">
        <v>20000</v>
      </c>
      <c r="D39" s="871">
        <v>9500</v>
      </c>
      <c r="E39" s="361">
        <f t="shared" si="5"/>
        <v>0</v>
      </c>
      <c r="F39" s="362">
        <f t="shared" si="6"/>
        <v>100</v>
      </c>
      <c r="G39" s="363">
        <v>9500</v>
      </c>
    </row>
    <row r="40" spans="1:7" ht="21.95" customHeight="1" thickBot="1" x14ac:dyDescent="0.25">
      <c r="A40" s="1019" t="s">
        <v>701</v>
      </c>
      <c r="B40" s="1046"/>
      <c r="C40" s="866">
        <v>1209500</v>
      </c>
      <c r="D40" s="364">
        <v>1209500</v>
      </c>
      <c r="E40" s="364">
        <f>SUM(E38:E39)</f>
        <v>0</v>
      </c>
      <c r="F40" s="365">
        <f>G40/D40*100</f>
        <v>100</v>
      </c>
      <c r="G40" s="366">
        <f>SUM(G38:G39)</f>
        <v>1209500</v>
      </c>
    </row>
    <row r="41" spans="1:7" ht="21.95" customHeight="1" x14ac:dyDescent="0.2">
      <c r="A41" s="370" t="s">
        <v>536</v>
      </c>
      <c r="B41" s="371" t="s">
        <v>634</v>
      </c>
      <c r="C41" s="859">
        <v>300000</v>
      </c>
      <c r="D41" s="372">
        <v>300000</v>
      </c>
      <c r="E41" s="372">
        <f t="shared" ref="E41:E53" si="7">G41-D41</f>
        <v>0</v>
      </c>
      <c r="F41" s="373">
        <f t="shared" ref="F41:F52" si="8">G41/D41*100</f>
        <v>100</v>
      </c>
      <c r="G41" s="354">
        <v>300000</v>
      </c>
    </row>
    <row r="42" spans="1:7" ht="21.95" customHeight="1" x14ac:dyDescent="0.2">
      <c r="A42" s="351" t="s">
        <v>538</v>
      </c>
      <c r="B42" s="371" t="s">
        <v>539</v>
      </c>
      <c r="C42" s="859">
        <v>446000</v>
      </c>
      <c r="D42" s="372">
        <v>446000</v>
      </c>
      <c r="E42" s="372">
        <f t="shared" si="7"/>
        <v>0</v>
      </c>
      <c r="F42" s="373">
        <f t="shared" si="8"/>
        <v>100</v>
      </c>
      <c r="G42" s="354">
        <v>446000</v>
      </c>
    </row>
    <row r="43" spans="1:7" ht="21.95" customHeight="1" x14ac:dyDescent="0.2">
      <c r="A43" s="355" t="s">
        <v>649</v>
      </c>
      <c r="B43" s="371" t="s">
        <v>702</v>
      </c>
      <c r="C43" s="859">
        <v>80000</v>
      </c>
      <c r="D43" s="372">
        <v>80000</v>
      </c>
      <c r="E43" s="372">
        <f t="shared" si="7"/>
        <v>0</v>
      </c>
      <c r="F43" s="373">
        <f t="shared" si="8"/>
        <v>100</v>
      </c>
      <c r="G43" s="354">
        <v>80000</v>
      </c>
    </row>
    <row r="44" spans="1:7" ht="21.95" customHeight="1" x14ac:dyDescent="0.2">
      <c r="A44" s="375" t="s">
        <v>542</v>
      </c>
      <c r="B44" s="376" t="s">
        <v>703</v>
      </c>
      <c r="C44" s="835">
        <v>60000</v>
      </c>
      <c r="D44" s="372">
        <v>61500</v>
      </c>
      <c r="E44" s="372">
        <f t="shared" si="7"/>
        <v>8500</v>
      </c>
      <c r="F44" s="373">
        <f t="shared" si="8"/>
        <v>113.82113821138211</v>
      </c>
      <c r="G44" s="354">
        <v>70000</v>
      </c>
    </row>
    <row r="45" spans="1:7" ht="21.95" customHeight="1" x14ac:dyDescent="0.2">
      <c r="A45" s="358" t="s">
        <v>544</v>
      </c>
      <c r="B45" s="376" t="s">
        <v>545</v>
      </c>
      <c r="C45" s="835">
        <v>100000</v>
      </c>
      <c r="D45" s="372">
        <v>100000</v>
      </c>
      <c r="E45" s="372">
        <f t="shared" si="7"/>
        <v>0</v>
      </c>
      <c r="F45" s="373">
        <f t="shared" si="8"/>
        <v>100</v>
      </c>
      <c r="G45" s="354">
        <v>100000</v>
      </c>
    </row>
    <row r="46" spans="1:7" ht="21.95" customHeight="1" x14ac:dyDescent="0.2">
      <c r="A46" s="355" t="s">
        <v>546</v>
      </c>
      <c r="B46" s="376" t="s">
        <v>547</v>
      </c>
      <c r="C46" s="835">
        <v>1100000</v>
      </c>
      <c r="D46" s="372">
        <v>1100000</v>
      </c>
      <c r="E46" s="372">
        <f t="shared" si="7"/>
        <v>0</v>
      </c>
      <c r="F46" s="373">
        <f t="shared" si="8"/>
        <v>100</v>
      </c>
      <c r="G46" s="354">
        <v>1100000</v>
      </c>
    </row>
    <row r="47" spans="1:7" ht="21.95" customHeight="1" x14ac:dyDescent="0.2">
      <c r="A47" s="435" t="s">
        <v>597</v>
      </c>
      <c r="B47" s="376" t="s">
        <v>724</v>
      </c>
      <c r="C47" s="835">
        <v>130000</v>
      </c>
      <c r="D47" s="372">
        <v>130000</v>
      </c>
      <c r="E47" s="372">
        <f t="shared" si="7"/>
        <v>0</v>
      </c>
      <c r="F47" s="373">
        <f t="shared" si="8"/>
        <v>100</v>
      </c>
      <c r="G47" s="354">
        <v>130000</v>
      </c>
    </row>
    <row r="48" spans="1:7" ht="21.95" customHeight="1" x14ac:dyDescent="0.2">
      <c r="A48" s="355" t="s">
        <v>552</v>
      </c>
      <c r="B48" s="376" t="s">
        <v>721</v>
      </c>
      <c r="C48" s="835">
        <v>450000</v>
      </c>
      <c r="D48" s="372">
        <v>450000</v>
      </c>
      <c r="E48" s="372">
        <f t="shared" si="7"/>
        <v>0</v>
      </c>
      <c r="F48" s="373">
        <f t="shared" si="8"/>
        <v>100</v>
      </c>
      <c r="G48" s="354">
        <v>450000</v>
      </c>
    </row>
    <row r="49" spans="1:8" ht="21.95" customHeight="1" x14ac:dyDescent="0.2">
      <c r="A49" s="351" t="s">
        <v>558</v>
      </c>
      <c r="B49" s="371" t="s">
        <v>559</v>
      </c>
      <c r="C49" s="859">
        <v>600000</v>
      </c>
      <c r="D49" s="372">
        <v>595000</v>
      </c>
      <c r="E49" s="372">
        <f t="shared" si="7"/>
        <v>0</v>
      </c>
      <c r="F49" s="373">
        <f t="shared" si="8"/>
        <v>100</v>
      </c>
      <c r="G49" s="354">
        <v>595000</v>
      </c>
    </row>
    <row r="50" spans="1:8" ht="21.95" customHeight="1" x14ac:dyDescent="0.2">
      <c r="A50" s="345" t="s">
        <v>613</v>
      </c>
      <c r="B50" s="376" t="s">
        <v>614</v>
      </c>
      <c r="C50" s="835">
        <v>0</v>
      </c>
      <c r="D50" s="372">
        <v>175000</v>
      </c>
      <c r="E50" s="372">
        <f t="shared" si="7"/>
        <v>25000</v>
      </c>
      <c r="F50" s="373">
        <f t="shared" si="8"/>
        <v>114.28571428571428</v>
      </c>
      <c r="G50" s="354">
        <v>200000</v>
      </c>
    </row>
    <row r="51" spans="1:8" ht="21.95" customHeight="1" x14ac:dyDescent="0.2">
      <c r="A51" s="351" t="s">
        <v>562</v>
      </c>
      <c r="B51" s="376" t="s">
        <v>563</v>
      </c>
      <c r="C51" s="835">
        <v>617000</v>
      </c>
      <c r="D51" s="372">
        <v>617000</v>
      </c>
      <c r="E51" s="372">
        <f t="shared" si="7"/>
        <v>-33500</v>
      </c>
      <c r="F51" s="373">
        <f t="shared" si="8"/>
        <v>94.570502431118314</v>
      </c>
      <c r="G51" s="354">
        <f>617000-33500</f>
        <v>583500</v>
      </c>
    </row>
    <row r="52" spans="1:8" ht="21.75" customHeight="1" thickBot="1" x14ac:dyDescent="0.25">
      <c r="A52" s="368" t="s">
        <v>568</v>
      </c>
      <c r="B52" s="378" t="s">
        <v>707</v>
      </c>
      <c r="C52" s="865">
        <v>0</v>
      </c>
      <c r="D52" s="379">
        <v>5000</v>
      </c>
      <c r="E52" s="379">
        <f t="shared" si="7"/>
        <v>0</v>
      </c>
      <c r="F52" s="373">
        <f t="shared" si="8"/>
        <v>100</v>
      </c>
      <c r="G52" s="363">
        <v>5000</v>
      </c>
    </row>
    <row r="53" spans="1:8" ht="21.95" customHeight="1" thickBot="1" x14ac:dyDescent="0.25">
      <c r="A53" s="1019" t="s">
        <v>5</v>
      </c>
      <c r="B53" s="1045"/>
      <c r="C53" s="862">
        <v>3883000</v>
      </c>
      <c r="D53" s="381">
        <v>4059500</v>
      </c>
      <c r="E53" s="381">
        <f t="shared" si="7"/>
        <v>0</v>
      </c>
      <c r="F53" s="365">
        <f>G53/D53*100</f>
        <v>100</v>
      </c>
      <c r="G53" s="366">
        <f>SUM(G41:G52)</f>
        <v>4059500</v>
      </c>
    </row>
    <row r="54" spans="1:8" ht="21.95" customHeight="1" x14ac:dyDescent="0.2">
      <c r="A54" s="389" t="s">
        <v>585</v>
      </c>
      <c r="B54" s="436" t="s">
        <v>725</v>
      </c>
      <c r="C54" s="863">
        <v>300000</v>
      </c>
      <c r="D54" s="391">
        <v>800000</v>
      </c>
      <c r="E54" s="391">
        <f>G54-D54</f>
        <v>0</v>
      </c>
      <c r="F54" s="392">
        <f>G54/D54*100</f>
        <v>100</v>
      </c>
      <c r="G54" s="437">
        <v>800000</v>
      </c>
      <c r="H54" s="255" t="s">
        <v>726</v>
      </c>
    </row>
    <row r="55" spans="1:8" ht="21.95" customHeight="1" thickBot="1" x14ac:dyDescent="0.25">
      <c r="A55" s="355" t="s">
        <v>587</v>
      </c>
      <c r="B55" s="376" t="s">
        <v>727</v>
      </c>
      <c r="C55" s="835">
        <v>81000</v>
      </c>
      <c r="D55" s="372">
        <v>216000</v>
      </c>
      <c r="E55" s="384">
        <f>G55-D55</f>
        <v>0</v>
      </c>
      <c r="F55" s="349">
        <f>G55/D55*100</f>
        <v>100</v>
      </c>
      <c r="G55" s="354">
        <v>216000</v>
      </c>
    </row>
    <row r="56" spans="1:8" ht="21.95" customHeight="1" thickBot="1" x14ac:dyDescent="0.25">
      <c r="A56" s="1019" t="s">
        <v>728</v>
      </c>
      <c r="B56" s="1045"/>
      <c r="C56" s="862">
        <v>381000</v>
      </c>
      <c r="D56" s="381">
        <v>1016000</v>
      </c>
      <c r="E56" s="381">
        <f>SUM(E54:E55)</f>
        <v>0</v>
      </c>
      <c r="F56" s="365">
        <f>G56/D56*100</f>
        <v>100</v>
      </c>
      <c r="G56" s="366">
        <f>SUM(G54:G55)</f>
        <v>1016000</v>
      </c>
    </row>
    <row r="57" spans="1:8" ht="21.95" customHeight="1" thickBot="1" x14ac:dyDescent="0.25">
      <c r="A57" s="1036" t="s">
        <v>595</v>
      </c>
      <c r="B57" s="1037"/>
      <c r="C57" s="872">
        <v>12049500</v>
      </c>
      <c r="D57" s="438">
        <v>12715000</v>
      </c>
      <c r="E57" s="438">
        <f>E37+E40+E53+E56</f>
        <v>0</v>
      </c>
      <c r="F57" s="439">
        <f>G57/D57*100</f>
        <v>100</v>
      </c>
      <c r="G57" s="438">
        <f>G37+G40+G53+G56</f>
        <v>12715000</v>
      </c>
    </row>
    <row r="58" spans="1:8" ht="21.95" customHeight="1" thickBot="1" x14ac:dyDescent="0.25">
      <c r="A58" s="397"/>
      <c r="D58" s="3"/>
      <c r="E58" s="3"/>
      <c r="F58" s="3"/>
      <c r="G58" s="398"/>
    </row>
    <row r="59" spans="1:8" ht="21.95" customHeight="1" thickBot="1" x14ac:dyDescent="0.25">
      <c r="A59" s="399" t="s">
        <v>715</v>
      </c>
      <c r="B59" s="400"/>
      <c r="C59" s="852">
        <f>C12+C26+C57</f>
        <v>13768400</v>
      </c>
      <c r="D59" s="852">
        <f>D12+D26+D57</f>
        <v>13768400</v>
      </c>
      <c r="E59" s="852">
        <f>E12+E26+E57</f>
        <v>0</v>
      </c>
      <c r="F59" s="873">
        <f>G59/D59*100</f>
        <v>100</v>
      </c>
      <c r="G59" s="852">
        <f>G12+G26+G57</f>
        <v>13768400</v>
      </c>
    </row>
  </sheetData>
  <mergeCells count="26">
    <mergeCell ref="A56:B56"/>
    <mergeCell ref="A37:B37"/>
    <mergeCell ref="A40:B40"/>
    <mergeCell ref="A53:B53"/>
    <mergeCell ref="A25:B25"/>
    <mergeCell ref="A26:B26"/>
    <mergeCell ref="A28:A29"/>
    <mergeCell ref="B28:B29"/>
    <mergeCell ref="A27:G27"/>
    <mergeCell ref="C28:F28"/>
    <mergeCell ref="A57:B57"/>
    <mergeCell ref="A17:B17"/>
    <mergeCell ref="A7:A8"/>
    <mergeCell ref="B7:B8"/>
    <mergeCell ref="D1:G1"/>
    <mergeCell ref="A2:G2"/>
    <mergeCell ref="A3:G3"/>
    <mergeCell ref="A5:G5"/>
    <mergeCell ref="A6:G6"/>
    <mergeCell ref="C7:F7"/>
    <mergeCell ref="A13:G13"/>
    <mergeCell ref="A12:B12"/>
    <mergeCell ref="A14:A15"/>
    <mergeCell ref="B14:B15"/>
    <mergeCell ref="C14:F14"/>
    <mergeCell ref="A20:B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6DE1-E812-4E6E-BB41-E39A21F4228D}">
  <dimension ref="A1:G16"/>
  <sheetViews>
    <sheetView workbookViewId="0">
      <selection activeCell="A8" sqref="A8:G14"/>
    </sheetView>
  </sheetViews>
  <sheetFormatPr defaultRowHeight="12.75" x14ac:dyDescent="0.2"/>
  <cols>
    <col min="1" max="1" width="12.28515625" customWidth="1"/>
    <col min="2" max="2" width="37.28515625" customWidth="1"/>
    <col min="3" max="3" width="13.4257812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x14ac:dyDescent="0.2">
      <c r="A2" s="1029" t="s">
        <v>775</v>
      </c>
      <c r="B2" s="1029"/>
      <c r="C2" s="1029"/>
      <c r="D2" s="1029"/>
      <c r="E2" s="1029"/>
      <c r="F2" s="1029"/>
      <c r="G2" s="1029"/>
    </row>
    <row r="3" spans="1:7" x14ac:dyDescent="0.2">
      <c r="A3" s="1029" t="s">
        <v>729</v>
      </c>
      <c r="B3" s="1029"/>
      <c r="C3" s="1029"/>
      <c r="D3" s="1029"/>
      <c r="E3" s="1029"/>
      <c r="F3" s="1029"/>
      <c r="G3" s="1029"/>
    </row>
    <row r="4" spans="1:7" ht="13.5" thickBot="1" x14ac:dyDescent="0.25">
      <c r="A4" s="403"/>
      <c r="B4" s="403"/>
      <c r="C4" s="403"/>
      <c r="D4" s="403"/>
      <c r="E4" s="403"/>
      <c r="F4" s="403"/>
      <c r="G4" s="404" t="s">
        <v>395</v>
      </c>
    </row>
    <row r="5" spans="1:7" x14ac:dyDescent="0.2">
      <c r="A5" s="1047" t="s">
        <v>1</v>
      </c>
      <c r="B5" s="1048"/>
      <c r="C5" s="1048"/>
      <c r="D5" s="1048"/>
      <c r="E5" s="1048"/>
      <c r="F5" s="1048"/>
      <c r="G5" s="1049"/>
    </row>
    <row r="6" spans="1:7" x14ac:dyDescent="0.2">
      <c r="A6" s="1050" t="s">
        <v>398</v>
      </c>
      <c r="B6" s="1051" t="s">
        <v>399</v>
      </c>
      <c r="C6" s="1052">
        <v>2019</v>
      </c>
      <c r="D6" s="993"/>
      <c r="E6" s="993"/>
      <c r="F6" s="994"/>
      <c r="G6" s="405">
        <v>2019</v>
      </c>
    </row>
    <row r="7" spans="1:7" ht="13.5" thickBot="1" x14ac:dyDescent="0.25">
      <c r="A7" s="1032"/>
      <c r="B7" s="1034"/>
      <c r="C7" s="406" t="s">
        <v>677</v>
      </c>
      <c r="D7" s="406" t="s">
        <v>678</v>
      </c>
      <c r="E7" s="874" t="s">
        <v>402</v>
      </c>
      <c r="F7" s="406" t="s">
        <v>403</v>
      </c>
      <c r="G7" s="407" t="s">
        <v>776</v>
      </c>
    </row>
    <row r="8" spans="1:7" ht="21" x14ac:dyDescent="0.2">
      <c r="A8" s="440" t="s">
        <v>409</v>
      </c>
      <c r="B8" s="441" t="s">
        <v>731</v>
      </c>
      <c r="C8" s="442">
        <v>0</v>
      </c>
      <c r="D8" s="442">
        <v>0</v>
      </c>
      <c r="E8" s="429">
        <f>G8-D8</f>
        <v>0</v>
      </c>
      <c r="F8" s="416"/>
      <c r="G8" s="443">
        <v>0</v>
      </c>
    </row>
    <row r="9" spans="1:7" x14ac:dyDescent="0.2">
      <c r="A9" s="413" t="s">
        <v>417</v>
      </c>
      <c r="B9" s="428" t="s">
        <v>354</v>
      </c>
      <c r="C9" s="429">
        <v>0</v>
      </c>
      <c r="D9" s="429">
        <v>28000</v>
      </c>
      <c r="E9" s="429">
        <f>G9-D9</f>
        <v>0</v>
      </c>
      <c r="F9" s="416">
        <f t="shared" ref="F9:F10" si="0">G9/D9*100</f>
        <v>100</v>
      </c>
      <c r="G9" s="430">
        <f>'[3]Bevételek COFOG'!G18</f>
        <v>28000</v>
      </c>
    </row>
    <row r="10" spans="1:7" x14ac:dyDescent="0.2">
      <c r="A10" s="413" t="s">
        <v>688</v>
      </c>
      <c r="B10" s="414" t="s">
        <v>689</v>
      </c>
      <c r="C10" s="429">
        <v>0</v>
      </c>
      <c r="D10" s="429">
        <v>1370012</v>
      </c>
      <c r="E10" s="429">
        <f t="shared" ref="E10:E11" si="1">G10-D10</f>
        <v>0</v>
      </c>
      <c r="F10" s="416">
        <f t="shared" si="0"/>
        <v>100</v>
      </c>
      <c r="G10" s="430">
        <f>'[3]Bevételek COFOG'!G19</f>
        <v>1370012</v>
      </c>
    </row>
    <row r="11" spans="1:7" ht="21" x14ac:dyDescent="0.2">
      <c r="A11" s="413" t="s">
        <v>480</v>
      </c>
      <c r="B11" s="414" t="s">
        <v>481</v>
      </c>
      <c r="C11" s="429">
        <v>298000</v>
      </c>
      <c r="D11" s="415">
        <v>298687</v>
      </c>
      <c r="E11" s="429">
        <f t="shared" si="1"/>
        <v>0</v>
      </c>
      <c r="F11" s="416">
        <f>G11/D11*100</f>
        <v>100</v>
      </c>
      <c r="G11" s="417">
        <f>'[3]Bevételek COFOG'!G9</f>
        <v>298687</v>
      </c>
    </row>
    <row r="12" spans="1:7" x14ac:dyDescent="0.2">
      <c r="A12" s="1025" t="s">
        <v>679</v>
      </c>
      <c r="B12" s="418" t="s">
        <v>680</v>
      </c>
      <c r="C12" s="856">
        <v>63412301</v>
      </c>
      <c r="D12" s="419">
        <v>63412301</v>
      </c>
      <c r="E12" s="415">
        <f>G12-D12</f>
        <v>0</v>
      </c>
      <c r="F12" s="416">
        <f t="shared" ref="F12:F14" si="2">G12/D12*100</f>
        <v>100</v>
      </c>
      <c r="G12" s="420">
        <f>G13+G14</f>
        <v>63412301</v>
      </c>
    </row>
    <row r="13" spans="1:7" x14ac:dyDescent="0.2">
      <c r="A13" s="1026"/>
      <c r="B13" s="421" t="s">
        <v>681</v>
      </c>
      <c r="C13" s="857">
        <v>63412301</v>
      </c>
      <c r="D13" s="422">
        <v>57834478</v>
      </c>
      <c r="E13" s="415">
        <f t="shared" ref="E13:E14" si="3">G13-D13</f>
        <v>0</v>
      </c>
      <c r="F13" s="416">
        <f t="shared" si="2"/>
        <v>100</v>
      </c>
      <c r="G13" s="424">
        <f>'[3]Bevételek COFOG'!G11</f>
        <v>57834478</v>
      </c>
    </row>
    <row r="14" spans="1:7" ht="13.5" thickBot="1" x14ac:dyDescent="0.25">
      <c r="A14" s="1026"/>
      <c r="B14" s="425" t="s">
        <v>717</v>
      </c>
      <c r="C14" s="858"/>
      <c r="D14" s="426">
        <v>5577823</v>
      </c>
      <c r="E14" s="415">
        <f t="shared" si="3"/>
        <v>0</v>
      </c>
      <c r="F14" s="416">
        <f t="shared" si="2"/>
        <v>100</v>
      </c>
      <c r="G14" s="427">
        <f>'[3]Bevételek COFOG'!G12</f>
        <v>5577823</v>
      </c>
    </row>
    <row r="15" spans="1:7" ht="13.5" thickBot="1" x14ac:dyDescent="0.25">
      <c r="A15" s="1027" t="s">
        <v>777</v>
      </c>
      <c r="B15" s="1028"/>
      <c r="C15" s="408">
        <f>C8+C9+C10+C11+C12</f>
        <v>63710301</v>
      </c>
      <c r="D15" s="408">
        <f>D8+D9+D10+D11+D12</f>
        <v>65109000</v>
      </c>
      <c r="E15" s="408">
        <f>E8+E9+E10+E11+E12</f>
        <v>0</v>
      </c>
      <c r="F15" s="412">
        <f>G15/D15*100</f>
        <v>100</v>
      </c>
      <c r="G15" s="408">
        <f t="shared" ref="G15" si="4">G8+G9+G10+G11+G12</f>
        <v>65109000</v>
      </c>
    </row>
    <row r="16" spans="1:7" x14ac:dyDescent="0.2">
      <c r="A16" s="409"/>
      <c r="B16" s="409"/>
      <c r="C16" s="409"/>
      <c r="D16" s="410"/>
      <c r="E16" s="410"/>
      <c r="F16" s="411"/>
      <c r="G16" s="410"/>
    </row>
  </sheetData>
  <mergeCells count="8">
    <mergeCell ref="A12:A14"/>
    <mergeCell ref="A15:B15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D77C-60CA-4936-A668-8AA801DC298A}">
  <dimension ref="A1:M85"/>
  <sheetViews>
    <sheetView topLeftCell="A43" workbookViewId="0">
      <selection activeCell="J21" sqref="J21"/>
    </sheetView>
  </sheetViews>
  <sheetFormatPr defaultRowHeight="12.75" x14ac:dyDescent="0.2"/>
  <cols>
    <col min="1" max="1" width="11.5703125" customWidth="1"/>
    <col min="2" max="2" width="39.140625" customWidth="1"/>
    <col min="3" max="3" width="12.7109375" customWidth="1"/>
    <col min="4" max="4" width="13.140625" customWidth="1"/>
    <col min="5" max="5" width="11.42578125" customWidth="1"/>
    <col min="6" max="6" width="9.85546875" customWidth="1"/>
    <col min="7" max="7" width="15.85546875" customWidth="1"/>
    <col min="8" max="8" width="11.42578125" bestFit="1" customWidth="1"/>
    <col min="9" max="9" width="12.42578125" style="255" bestFit="1" customWidth="1"/>
    <col min="10" max="10" width="11.42578125" style="255" bestFit="1" customWidth="1"/>
    <col min="11" max="12" width="15.28515625" style="255" bestFit="1" customWidth="1"/>
    <col min="13" max="13" width="13.7109375" style="255" bestFit="1" customWidth="1"/>
    <col min="14" max="14" width="12.5703125" bestFit="1" customWidth="1"/>
    <col min="15" max="15" width="15.28515625" bestFit="1" customWidth="1"/>
  </cols>
  <sheetData>
    <row r="1" spans="1:13" x14ac:dyDescent="0.2">
      <c r="D1" s="1001"/>
      <c r="E1" s="982"/>
      <c r="F1" s="982"/>
      <c r="G1" s="982"/>
    </row>
    <row r="2" spans="1:13" x14ac:dyDescent="0.2">
      <c r="A2" s="1029" t="s">
        <v>775</v>
      </c>
      <c r="B2" s="1029"/>
      <c r="C2" s="1029"/>
      <c r="D2" s="1029"/>
      <c r="E2" s="1029"/>
      <c r="F2" s="1029"/>
      <c r="G2" s="1029"/>
    </row>
    <row r="3" spans="1:13" x14ac:dyDescent="0.2">
      <c r="A3" s="1029" t="s">
        <v>729</v>
      </c>
      <c r="B3" s="1029"/>
      <c r="C3" s="1029"/>
      <c r="D3" s="1029"/>
      <c r="E3" s="1029"/>
      <c r="F3" s="1029"/>
      <c r="G3" s="1029"/>
    </row>
    <row r="4" spans="1:13" x14ac:dyDescent="0.2">
      <c r="G4" s="258" t="s">
        <v>395</v>
      </c>
    </row>
    <row r="5" spans="1:13" ht="21.95" customHeight="1" thickBot="1" x14ac:dyDescent="0.25">
      <c r="A5" s="1041" t="s">
        <v>516</v>
      </c>
      <c r="B5" s="1041"/>
      <c r="C5" s="1041"/>
      <c r="D5" s="1041"/>
      <c r="E5" s="1041"/>
      <c r="F5" s="1041"/>
      <c r="G5" s="1041"/>
      <c r="K5" s="431"/>
      <c r="L5" s="431"/>
      <c r="M5" s="431"/>
    </row>
    <row r="6" spans="1:13" ht="21.95" customHeight="1" x14ac:dyDescent="0.2">
      <c r="A6" s="1002" t="s">
        <v>732</v>
      </c>
      <c r="B6" s="1003"/>
      <c r="C6" s="1003"/>
      <c r="D6" s="1003"/>
      <c r="E6" s="1003"/>
      <c r="F6" s="1003"/>
      <c r="G6" s="1042"/>
      <c r="I6" s="432"/>
    </row>
    <row r="7" spans="1:13" ht="18.75" customHeight="1" x14ac:dyDescent="0.2">
      <c r="A7" s="1009" t="s">
        <v>398</v>
      </c>
      <c r="B7" s="1039" t="s">
        <v>693</v>
      </c>
      <c r="C7" s="1011">
        <v>2019</v>
      </c>
      <c r="D7" s="993"/>
      <c r="E7" s="993"/>
      <c r="F7" s="994"/>
      <c r="G7" s="342">
        <v>2019</v>
      </c>
    </row>
    <row r="8" spans="1:13" ht="25.5" customHeight="1" thickBot="1" x14ac:dyDescent="0.25">
      <c r="A8" s="1010"/>
      <c r="B8" s="1040"/>
      <c r="C8" s="343" t="s">
        <v>677</v>
      </c>
      <c r="D8" s="343" t="s">
        <v>678</v>
      </c>
      <c r="E8" s="875" t="s">
        <v>402</v>
      </c>
      <c r="F8" s="343" t="s">
        <v>403</v>
      </c>
      <c r="G8" s="344" t="s">
        <v>776</v>
      </c>
    </row>
    <row r="9" spans="1:13" ht="21.95" customHeight="1" x14ac:dyDescent="0.2">
      <c r="A9" s="345" t="s">
        <v>518</v>
      </c>
      <c r="B9" s="346" t="s">
        <v>643</v>
      </c>
      <c r="C9" s="437">
        <v>17536698</v>
      </c>
      <c r="D9" s="347">
        <v>17356698</v>
      </c>
      <c r="E9" s="348">
        <f>G9-D9</f>
        <v>-1456698</v>
      </c>
      <c r="F9" s="349">
        <f>G9/D9*100</f>
        <v>91.607286132419887</v>
      </c>
      <c r="G9" s="350">
        <v>15900000</v>
      </c>
    </row>
    <row r="10" spans="1:13" ht="21.95" customHeight="1" x14ac:dyDescent="0.2">
      <c r="A10" s="382" t="s">
        <v>694</v>
      </c>
      <c r="B10" s="346" t="s">
        <v>695</v>
      </c>
      <c r="C10" s="350">
        <v>0</v>
      </c>
      <c r="D10" s="367">
        <v>0</v>
      </c>
      <c r="E10" s="348">
        <f>G10-D10</f>
        <v>200000</v>
      </c>
      <c r="F10" s="349"/>
      <c r="G10" s="350">
        <v>200000</v>
      </c>
    </row>
    <row r="11" spans="1:13" ht="21.95" customHeight="1" x14ac:dyDescent="0.2">
      <c r="A11" s="355" t="s">
        <v>646</v>
      </c>
      <c r="B11" s="352" t="s">
        <v>699</v>
      </c>
      <c r="C11" s="354">
        <v>168000</v>
      </c>
      <c r="D11" s="353">
        <v>448000</v>
      </c>
      <c r="E11" s="348">
        <f t="shared" ref="E11" si="0">G11-D11</f>
        <v>0</v>
      </c>
      <c r="F11" s="349">
        <f t="shared" ref="F11:F14" si="1">G11/D11*100</f>
        <v>100</v>
      </c>
      <c r="G11" s="354">
        <v>448000</v>
      </c>
      <c r="I11" s="255" t="s">
        <v>733</v>
      </c>
    </row>
    <row r="12" spans="1:13" ht="21.95" customHeight="1" x14ac:dyDescent="0.2">
      <c r="A12" s="355" t="s">
        <v>522</v>
      </c>
      <c r="B12" s="352" t="s">
        <v>523</v>
      </c>
      <c r="C12" s="354">
        <v>400000</v>
      </c>
      <c r="D12" s="353">
        <v>383000</v>
      </c>
      <c r="E12" s="348">
        <f>G12-D12</f>
        <v>-183000</v>
      </c>
      <c r="F12" s="349">
        <f t="shared" si="1"/>
        <v>52.219321148825074</v>
      </c>
      <c r="G12" s="354">
        <v>200000</v>
      </c>
    </row>
    <row r="13" spans="1:13" ht="21.95" customHeight="1" x14ac:dyDescent="0.2">
      <c r="A13" s="351" t="s">
        <v>631</v>
      </c>
      <c r="B13" s="352" t="s">
        <v>632</v>
      </c>
      <c r="C13" s="354">
        <v>168000</v>
      </c>
      <c r="D13" s="353">
        <v>168000</v>
      </c>
      <c r="E13" s="348">
        <f t="shared" ref="E13:E15" si="2">G13-D13</f>
        <v>0</v>
      </c>
      <c r="F13" s="349">
        <f t="shared" si="1"/>
        <v>100</v>
      </c>
      <c r="G13" s="354">
        <v>168000</v>
      </c>
      <c r="I13" s="255" t="s">
        <v>734</v>
      </c>
    </row>
    <row r="14" spans="1:13" ht="21.95" customHeight="1" x14ac:dyDescent="0.2">
      <c r="A14" s="351" t="s">
        <v>623</v>
      </c>
      <c r="B14" s="352" t="s">
        <v>624</v>
      </c>
      <c r="C14" s="354">
        <v>360000</v>
      </c>
      <c r="D14" s="353">
        <v>277000</v>
      </c>
      <c r="E14" s="348">
        <f t="shared" si="2"/>
        <v>343000</v>
      </c>
      <c r="F14" s="349">
        <f t="shared" si="1"/>
        <v>223.82671480144404</v>
      </c>
      <c r="G14" s="354">
        <v>620000</v>
      </c>
    </row>
    <row r="15" spans="1:13" ht="21.95" customHeight="1" thickBot="1" x14ac:dyDescent="0.25">
      <c r="A15" s="358" t="s">
        <v>528</v>
      </c>
      <c r="B15" s="359" t="s">
        <v>529</v>
      </c>
      <c r="C15" s="876">
        <v>0</v>
      </c>
      <c r="D15" s="360">
        <v>0</v>
      </c>
      <c r="E15" s="361">
        <f t="shared" si="2"/>
        <v>0</v>
      </c>
      <c r="F15" s="362"/>
      <c r="G15" s="363">
        <v>0</v>
      </c>
    </row>
    <row r="16" spans="1:13" ht="21.95" customHeight="1" thickBot="1" x14ac:dyDescent="0.25">
      <c r="A16" s="1014" t="s">
        <v>3</v>
      </c>
      <c r="B16" s="1046"/>
      <c r="C16" s="877">
        <v>18632698</v>
      </c>
      <c r="D16" s="364">
        <v>18632698</v>
      </c>
      <c r="E16" s="364">
        <f>SUM(E9:E15)</f>
        <v>-1096698</v>
      </c>
      <c r="F16" s="365">
        <f>G16/D16*100</f>
        <v>94.114121315120343</v>
      </c>
      <c r="G16" s="366">
        <f>SUM(G9:G15)</f>
        <v>17536000</v>
      </c>
    </row>
    <row r="17" spans="1:9" ht="21.95" customHeight="1" x14ac:dyDescent="0.2">
      <c r="A17" s="345" t="s">
        <v>532</v>
      </c>
      <c r="B17" s="346" t="s">
        <v>533</v>
      </c>
      <c r="C17" s="437">
        <v>3609001</v>
      </c>
      <c r="D17" s="367">
        <v>3559001</v>
      </c>
      <c r="E17" s="348">
        <f t="shared" ref="E17:E18" si="3">G17-D17</f>
        <v>-89001</v>
      </c>
      <c r="F17" s="349">
        <f t="shared" ref="F17:F18" si="4">G17/D17*100</f>
        <v>97.499270160362414</v>
      </c>
      <c r="G17" s="350">
        <v>3470000</v>
      </c>
    </row>
    <row r="18" spans="1:9" ht="21.95" customHeight="1" thickBot="1" x14ac:dyDescent="0.25">
      <c r="A18" s="368" t="s">
        <v>534</v>
      </c>
      <c r="B18" s="369" t="s">
        <v>535</v>
      </c>
      <c r="C18" s="876">
        <v>0</v>
      </c>
      <c r="D18" s="360">
        <v>50000</v>
      </c>
      <c r="E18" s="361">
        <f t="shared" si="3"/>
        <v>0</v>
      </c>
      <c r="F18" s="349">
        <f t="shared" si="4"/>
        <v>100</v>
      </c>
      <c r="G18" s="363">
        <v>50000</v>
      </c>
    </row>
    <row r="19" spans="1:9" ht="21.95" customHeight="1" thickBot="1" x14ac:dyDescent="0.25">
      <c r="A19" s="1019" t="s">
        <v>701</v>
      </c>
      <c r="B19" s="1046"/>
      <c r="C19" s="877">
        <v>3609001</v>
      </c>
      <c r="D19" s="364">
        <v>3609001</v>
      </c>
      <c r="E19" s="364">
        <f>SUM(E17:E18)</f>
        <v>-89001</v>
      </c>
      <c r="F19" s="365">
        <f>G19/D19*100</f>
        <v>97.533915895285148</v>
      </c>
      <c r="G19" s="366">
        <f>SUM(G17:G18)</f>
        <v>3520000</v>
      </c>
    </row>
    <row r="20" spans="1:9" ht="21.95" customHeight="1" thickBot="1" x14ac:dyDescent="0.25">
      <c r="A20" s="1017" t="s">
        <v>595</v>
      </c>
      <c r="B20" s="1018"/>
      <c r="C20" s="878">
        <f>C16+C19</f>
        <v>22241699</v>
      </c>
      <c r="D20" s="878">
        <f>D16+D19</f>
        <v>22241699</v>
      </c>
      <c r="E20" s="385">
        <f t="shared" ref="E20:G20" si="5">E16+E19</f>
        <v>-1185699</v>
      </c>
      <c r="F20" s="386">
        <f>G20/D20*100</f>
        <v>94.669026858065124</v>
      </c>
      <c r="G20" s="385">
        <f t="shared" si="5"/>
        <v>21056000</v>
      </c>
      <c r="I20" s="434"/>
    </row>
    <row r="21" spans="1:9" ht="26.25" customHeight="1" thickBot="1" x14ac:dyDescent="0.25">
      <c r="A21" s="1022" t="s">
        <v>735</v>
      </c>
      <c r="B21" s="1023"/>
      <c r="C21" s="1023"/>
      <c r="D21" s="1023"/>
      <c r="E21" s="1023"/>
      <c r="F21" s="1023"/>
      <c r="G21" s="1024"/>
      <c r="H21" s="387"/>
    </row>
    <row r="22" spans="1:9" ht="24.95" customHeight="1" x14ac:dyDescent="0.2">
      <c r="A22" s="1020" t="s">
        <v>398</v>
      </c>
      <c r="B22" s="1044" t="s">
        <v>693</v>
      </c>
      <c r="C22" s="1011">
        <v>2019</v>
      </c>
      <c r="D22" s="993"/>
      <c r="E22" s="993"/>
      <c r="F22" s="994"/>
      <c r="G22" s="342">
        <v>2019</v>
      </c>
    </row>
    <row r="23" spans="1:9" ht="24.95" customHeight="1" thickBot="1" x14ac:dyDescent="0.25">
      <c r="A23" s="1010"/>
      <c r="B23" s="1040"/>
      <c r="C23" s="343" t="s">
        <v>677</v>
      </c>
      <c r="D23" s="343" t="s">
        <v>678</v>
      </c>
      <c r="E23" s="875" t="s">
        <v>402</v>
      </c>
      <c r="F23" s="343" t="s">
        <v>403</v>
      </c>
      <c r="G23" s="344" t="s">
        <v>776</v>
      </c>
    </row>
    <row r="24" spans="1:9" ht="21.95" customHeight="1" x14ac:dyDescent="0.2">
      <c r="A24" s="345" t="s">
        <v>518</v>
      </c>
      <c r="B24" s="346" t="s">
        <v>643</v>
      </c>
      <c r="C24" s="437">
        <v>13931471</v>
      </c>
      <c r="D24" s="347">
        <v>13680000</v>
      </c>
      <c r="E24" s="348">
        <f>G24-D24</f>
        <v>420000</v>
      </c>
      <c r="F24" s="349">
        <f>G24/D24*100</f>
        <v>103.07017543859649</v>
      </c>
      <c r="G24" s="350">
        <v>14100000</v>
      </c>
    </row>
    <row r="25" spans="1:9" ht="21.95" customHeight="1" x14ac:dyDescent="0.2">
      <c r="A25" s="382" t="s">
        <v>778</v>
      </c>
      <c r="B25" s="346" t="s">
        <v>695</v>
      </c>
      <c r="C25" s="350">
        <v>0</v>
      </c>
      <c r="D25" s="367">
        <v>0</v>
      </c>
      <c r="E25" s="348">
        <f>G25-D25</f>
        <v>1456000</v>
      </c>
      <c r="F25" s="349"/>
      <c r="G25" s="350">
        <v>1456000</v>
      </c>
    </row>
    <row r="26" spans="1:9" ht="21.95" customHeight="1" x14ac:dyDescent="0.2">
      <c r="A26" s="382" t="s">
        <v>697</v>
      </c>
      <c r="B26" s="346" t="s">
        <v>698</v>
      </c>
      <c r="C26" s="350">
        <v>938080</v>
      </c>
      <c r="D26" s="367">
        <v>938080</v>
      </c>
      <c r="E26" s="348">
        <f>G26-D26</f>
        <v>-435000</v>
      </c>
      <c r="F26" s="349">
        <f>G26/D26*100</f>
        <v>53.628688384785953</v>
      </c>
      <c r="G26" s="350">
        <v>503080</v>
      </c>
    </row>
    <row r="27" spans="1:9" ht="21.95" customHeight="1" x14ac:dyDescent="0.2">
      <c r="A27" s="355" t="s">
        <v>646</v>
      </c>
      <c r="B27" s="352" t="s">
        <v>699</v>
      </c>
      <c r="C27" s="354">
        <v>72000</v>
      </c>
      <c r="D27" s="353">
        <v>398000</v>
      </c>
      <c r="E27" s="348">
        <f t="shared" ref="E27" si="6">G27-D27</f>
        <v>0</v>
      </c>
      <c r="F27" s="349">
        <f t="shared" ref="F27:F29" si="7">G27/D27*100</f>
        <v>100</v>
      </c>
      <c r="G27" s="354">
        <v>398000</v>
      </c>
    </row>
    <row r="28" spans="1:9" ht="21.95" customHeight="1" x14ac:dyDescent="0.2">
      <c r="A28" s="355" t="s">
        <v>522</v>
      </c>
      <c r="B28" s="352" t="s">
        <v>523</v>
      </c>
      <c r="C28" s="354">
        <v>50000</v>
      </c>
      <c r="D28" s="353">
        <v>50000</v>
      </c>
      <c r="E28" s="348">
        <f>G28-D28</f>
        <v>-50000</v>
      </c>
      <c r="F28" s="349">
        <f t="shared" si="7"/>
        <v>0</v>
      </c>
      <c r="G28" s="354">
        <v>0</v>
      </c>
    </row>
    <row r="29" spans="1:9" ht="21.95" customHeight="1" x14ac:dyDescent="0.2">
      <c r="A29" s="351" t="s">
        <v>631</v>
      </c>
      <c r="B29" s="352" t="s">
        <v>632</v>
      </c>
      <c r="C29" s="354">
        <v>72000</v>
      </c>
      <c r="D29" s="353">
        <v>72000</v>
      </c>
      <c r="E29" s="348">
        <f t="shared" ref="E29:E31" si="8">G29-D29</f>
        <v>0</v>
      </c>
      <c r="F29" s="349">
        <f t="shared" si="7"/>
        <v>100</v>
      </c>
      <c r="G29" s="354">
        <v>72000</v>
      </c>
    </row>
    <row r="30" spans="1:9" ht="21.95" customHeight="1" x14ac:dyDescent="0.2">
      <c r="A30" s="351" t="s">
        <v>623</v>
      </c>
      <c r="B30" s="352" t="s">
        <v>624</v>
      </c>
      <c r="C30" s="354">
        <v>0</v>
      </c>
      <c r="D30" s="353">
        <v>0</v>
      </c>
      <c r="E30" s="348">
        <f t="shared" si="8"/>
        <v>0</v>
      </c>
      <c r="F30" s="349"/>
      <c r="G30" s="354">
        <v>0</v>
      </c>
      <c r="I30" s="255" t="s">
        <v>779</v>
      </c>
    </row>
    <row r="31" spans="1:9" ht="21.95" customHeight="1" thickBot="1" x14ac:dyDescent="0.25">
      <c r="A31" s="358" t="s">
        <v>528</v>
      </c>
      <c r="B31" s="359" t="s">
        <v>529</v>
      </c>
      <c r="C31" s="876">
        <v>0</v>
      </c>
      <c r="D31" s="360">
        <v>0</v>
      </c>
      <c r="E31" s="361">
        <f t="shared" si="8"/>
        <v>0</v>
      </c>
      <c r="F31" s="362"/>
      <c r="G31" s="363">
        <v>0</v>
      </c>
    </row>
    <row r="32" spans="1:9" ht="21.95" customHeight="1" thickBot="1" x14ac:dyDescent="0.25">
      <c r="A32" s="1014" t="s">
        <v>3</v>
      </c>
      <c r="B32" s="1046"/>
      <c r="C32" s="364">
        <f>SUM(C24:C31)</f>
        <v>15063551</v>
      </c>
      <c r="D32" s="364">
        <v>15138080</v>
      </c>
      <c r="E32" s="364">
        <f>SUM(E24:E31)</f>
        <v>1391000</v>
      </c>
      <c r="F32" s="365">
        <f>G32/D32*100</f>
        <v>109.18874784649044</v>
      </c>
      <c r="G32" s="366">
        <f>SUM(G24:G31)</f>
        <v>16529080</v>
      </c>
    </row>
    <row r="33" spans="1:7" ht="21.95" customHeight="1" x14ac:dyDescent="0.2">
      <c r="A33" s="345" t="s">
        <v>532</v>
      </c>
      <c r="B33" s="346" t="s">
        <v>533</v>
      </c>
      <c r="C33" s="437">
        <v>3012710</v>
      </c>
      <c r="D33" s="367">
        <v>2878181</v>
      </c>
      <c r="E33" s="348">
        <f t="shared" ref="E33:E34" si="9">G33-D33</f>
        <v>256955</v>
      </c>
      <c r="F33" s="349">
        <f t="shared" ref="F33:F34" si="10">G33/D33*100</f>
        <v>108.92768731361926</v>
      </c>
      <c r="G33" s="350">
        <v>3135136</v>
      </c>
    </row>
    <row r="34" spans="1:7" ht="21.95" customHeight="1" thickBot="1" x14ac:dyDescent="0.25">
      <c r="A34" s="368" t="s">
        <v>534</v>
      </c>
      <c r="B34" s="369" t="s">
        <v>535</v>
      </c>
      <c r="C34" s="876">
        <v>0</v>
      </c>
      <c r="D34" s="360">
        <v>60000</v>
      </c>
      <c r="E34" s="361">
        <f t="shared" si="9"/>
        <v>65744</v>
      </c>
      <c r="F34" s="349">
        <f t="shared" si="10"/>
        <v>209.57333333333335</v>
      </c>
      <c r="G34" s="363">
        <f>60000+65744</f>
        <v>125744</v>
      </c>
    </row>
    <row r="35" spans="1:7" ht="21.95" customHeight="1" thickBot="1" x14ac:dyDescent="0.25">
      <c r="A35" s="1019" t="s">
        <v>701</v>
      </c>
      <c r="B35" s="1046"/>
      <c r="C35" s="364">
        <f>SUM(C33:C34)</f>
        <v>3012710</v>
      </c>
      <c r="D35" s="364">
        <v>2938181</v>
      </c>
      <c r="E35" s="364">
        <f>SUM(E33:E34)</f>
        <v>322699</v>
      </c>
      <c r="F35" s="444">
        <f>G35/D35*100</f>
        <v>110.98295169698531</v>
      </c>
      <c r="G35" s="879">
        <f>SUM(G33:G34)</f>
        <v>3260880</v>
      </c>
    </row>
    <row r="36" spans="1:7" ht="21.95" customHeight="1" thickBot="1" x14ac:dyDescent="0.25">
      <c r="A36" s="1017" t="s">
        <v>595</v>
      </c>
      <c r="B36" s="1018"/>
      <c r="C36" s="878">
        <f>C32+C35</f>
        <v>18076261</v>
      </c>
      <c r="D36" s="878">
        <f>D32+D35</f>
        <v>18076261</v>
      </c>
      <c r="E36" s="385">
        <f t="shared" ref="E36:G36" si="11">E32+E35</f>
        <v>1713699</v>
      </c>
      <c r="F36" s="386">
        <f>G36/D36*100</f>
        <v>109.48038424539234</v>
      </c>
      <c r="G36" s="385">
        <f t="shared" si="11"/>
        <v>19789960</v>
      </c>
    </row>
    <row r="37" spans="1:7" ht="21.95" customHeight="1" x14ac:dyDescent="0.2">
      <c r="A37" s="1002" t="s">
        <v>730</v>
      </c>
      <c r="B37" s="1003"/>
      <c r="C37" s="1003"/>
      <c r="D37" s="1003"/>
      <c r="E37" s="1003"/>
      <c r="F37" s="1003"/>
      <c r="G37" s="1042"/>
    </row>
    <row r="38" spans="1:7" ht="21.95" customHeight="1" x14ac:dyDescent="0.2">
      <c r="A38" s="1009" t="s">
        <v>398</v>
      </c>
      <c r="B38" s="1039" t="s">
        <v>693</v>
      </c>
      <c r="C38" s="1011">
        <v>2019</v>
      </c>
      <c r="D38" s="993"/>
      <c r="E38" s="993"/>
      <c r="F38" s="994"/>
      <c r="G38" s="342">
        <v>2019</v>
      </c>
    </row>
    <row r="39" spans="1:7" ht="21.95" customHeight="1" thickBot="1" x14ac:dyDescent="0.25">
      <c r="A39" s="1010"/>
      <c r="B39" s="1040"/>
      <c r="C39" s="343" t="s">
        <v>677</v>
      </c>
      <c r="D39" s="343" t="s">
        <v>678</v>
      </c>
      <c r="E39" s="875" t="s">
        <v>402</v>
      </c>
      <c r="F39" s="343" t="s">
        <v>403</v>
      </c>
      <c r="G39" s="344" t="s">
        <v>776</v>
      </c>
    </row>
    <row r="40" spans="1:7" ht="21.95" customHeight="1" x14ac:dyDescent="0.2">
      <c r="A40" s="370" t="s">
        <v>536</v>
      </c>
      <c r="B40" s="371" t="s">
        <v>634</v>
      </c>
      <c r="C40" s="880">
        <v>270000</v>
      </c>
      <c r="D40" s="372">
        <v>270000</v>
      </c>
      <c r="E40" s="372">
        <f t="shared" ref="E40:E52" si="12">G40-D40</f>
        <v>0</v>
      </c>
      <c r="F40" s="373">
        <f>G40/D40*100</f>
        <v>100</v>
      </c>
      <c r="G40" s="354">
        <v>270000</v>
      </c>
    </row>
    <row r="41" spans="1:7" ht="21.95" customHeight="1" x14ac:dyDescent="0.2">
      <c r="A41" s="351" t="s">
        <v>538</v>
      </c>
      <c r="B41" s="371" t="s">
        <v>539</v>
      </c>
      <c r="C41" s="880">
        <v>750000</v>
      </c>
      <c r="D41" s="372">
        <v>750000</v>
      </c>
      <c r="E41" s="372">
        <f t="shared" si="12"/>
        <v>0</v>
      </c>
      <c r="F41" s="373">
        <f t="shared" ref="F41:F52" si="13">G41/D41*100</f>
        <v>100</v>
      </c>
      <c r="G41" s="354">
        <v>750000</v>
      </c>
    </row>
    <row r="42" spans="1:7" ht="21.95" customHeight="1" x14ac:dyDescent="0.2">
      <c r="A42" s="355" t="s">
        <v>649</v>
      </c>
      <c r="B42" s="371" t="s">
        <v>702</v>
      </c>
      <c r="C42" s="880">
        <v>100000</v>
      </c>
      <c r="D42" s="372">
        <v>100000</v>
      </c>
      <c r="E42" s="372">
        <f t="shared" si="12"/>
        <v>0</v>
      </c>
      <c r="F42" s="373">
        <f t="shared" si="13"/>
        <v>100</v>
      </c>
      <c r="G42" s="354">
        <v>100000</v>
      </c>
    </row>
    <row r="43" spans="1:7" ht="21.95" customHeight="1" x14ac:dyDescent="0.2">
      <c r="A43" s="375" t="s">
        <v>542</v>
      </c>
      <c r="B43" s="376" t="s">
        <v>703</v>
      </c>
      <c r="C43" s="372">
        <v>200000</v>
      </c>
      <c r="D43" s="372">
        <v>150000</v>
      </c>
      <c r="E43" s="372">
        <f t="shared" si="12"/>
        <v>0</v>
      </c>
      <c r="F43" s="373">
        <f t="shared" si="13"/>
        <v>100</v>
      </c>
      <c r="G43" s="354">
        <v>150000</v>
      </c>
    </row>
    <row r="44" spans="1:7" ht="21.95" customHeight="1" x14ac:dyDescent="0.2">
      <c r="A44" s="358" t="s">
        <v>544</v>
      </c>
      <c r="B44" s="376" t="s">
        <v>545</v>
      </c>
      <c r="C44" s="372">
        <v>150000</v>
      </c>
      <c r="D44" s="372">
        <v>150000</v>
      </c>
      <c r="E44" s="372">
        <f t="shared" si="12"/>
        <v>0</v>
      </c>
      <c r="F44" s="373">
        <f t="shared" si="13"/>
        <v>100</v>
      </c>
      <c r="G44" s="354">
        <v>150000</v>
      </c>
    </row>
    <row r="45" spans="1:7" ht="21.95" customHeight="1" x14ac:dyDescent="0.2">
      <c r="A45" s="355" t="s">
        <v>546</v>
      </c>
      <c r="B45" s="376" t="s">
        <v>547</v>
      </c>
      <c r="C45" s="372">
        <v>2000000</v>
      </c>
      <c r="D45" s="372">
        <v>2380000</v>
      </c>
      <c r="E45" s="372">
        <f t="shared" si="12"/>
        <v>-180000</v>
      </c>
      <c r="F45" s="373">
        <f t="shared" si="13"/>
        <v>92.436974789915965</v>
      </c>
      <c r="G45" s="354">
        <v>2200000</v>
      </c>
    </row>
    <row r="46" spans="1:7" ht="21.95" customHeight="1" x14ac:dyDescent="0.2">
      <c r="A46" s="435" t="s">
        <v>597</v>
      </c>
      <c r="B46" s="376" t="s">
        <v>724</v>
      </c>
      <c r="C46" s="372">
        <v>500000</v>
      </c>
      <c r="D46" s="372">
        <v>500000</v>
      </c>
      <c r="E46" s="372">
        <f t="shared" si="12"/>
        <v>0</v>
      </c>
      <c r="F46" s="373">
        <f t="shared" si="13"/>
        <v>100</v>
      </c>
      <c r="G46" s="354">
        <v>500000</v>
      </c>
    </row>
    <row r="47" spans="1:7" ht="21.95" customHeight="1" x14ac:dyDescent="0.2">
      <c r="A47" s="355" t="s">
        <v>552</v>
      </c>
      <c r="B47" s="376" t="s">
        <v>721</v>
      </c>
      <c r="C47" s="372">
        <v>1000000</v>
      </c>
      <c r="D47" s="372">
        <v>700000</v>
      </c>
      <c r="E47" s="372">
        <f t="shared" si="12"/>
        <v>-100000</v>
      </c>
      <c r="F47" s="373">
        <f t="shared" si="13"/>
        <v>85.714285714285708</v>
      </c>
      <c r="G47" s="354">
        <v>600000</v>
      </c>
    </row>
    <row r="48" spans="1:7" ht="21.95" customHeight="1" x14ac:dyDescent="0.2">
      <c r="A48" s="355" t="s">
        <v>556</v>
      </c>
      <c r="B48" s="371" t="s">
        <v>736</v>
      </c>
      <c r="C48" s="880">
        <v>150000</v>
      </c>
      <c r="D48" s="372">
        <v>200000</v>
      </c>
      <c r="E48" s="372">
        <f t="shared" si="12"/>
        <v>0</v>
      </c>
      <c r="F48" s="373">
        <f t="shared" si="13"/>
        <v>100</v>
      </c>
      <c r="G48" s="354">
        <v>200000</v>
      </c>
    </row>
    <row r="49" spans="1:8" ht="21.95" customHeight="1" x14ac:dyDescent="0.2">
      <c r="A49" s="351" t="s">
        <v>558</v>
      </c>
      <c r="B49" s="371" t="s">
        <v>559</v>
      </c>
      <c r="C49" s="880">
        <v>700000</v>
      </c>
      <c r="D49" s="372">
        <v>645000</v>
      </c>
      <c r="E49" s="372">
        <f t="shared" si="12"/>
        <v>-200000</v>
      </c>
      <c r="F49" s="373">
        <f t="shared" si="13"/>
        <v>68.992248062015506</v>
      </c>
      <c r="G49" s="354">
        <v>445000</v>
      </c>
    </row>
    <row r="50" spans="1:8" ht="21.95" customHeight="1" x14ac:dyDescent="0.2">
      <c r="A50" s="345" t="s">
        <v>613</v>
      </c>
      <c r="B50" s="376" t="s">
        <v>614</v>
      </c>
      <c r="C50" s="372">
        <v>50000</v>
      </c>
      <c r="D50" s="372">
        <v>50000</v>
      </c>
      <c r="E50" s="372">
        <f t="shared" si="12"/>
        <v>0</v>
      </c>
      <c r="F50" s="373">
        <f t="shared" si="13"/>
        <v>100</v>
      </c>
      <c r="G50" s="354">
        <v>50000</v>
      </c>
    </row>
    <row r="51" spans="1:8" ht="21.95" customHeight="1" x14ac:dyDescent="0.2">
      <c r="A51" s="351" t="s">
        <v>562</v>
      </c>
      <c r="B51" s="376" t="s">
        <v>563</v>
      </c>
      <c r="C51" s="372">
        <v>1584900</v>
      </c>
      <c r="D51" s="372">
        <v>1581599</v>
      </c>
      <c r="E51" s="372">
        <f t="shared" si="12"/>
        <v>-304000</v>
      </c>
      <c r="F51" s="373">
        <f t="shared" si="13"/>
        <v>80.778945864280388</v>
      </c>
      <c r="G51" s="354">
        <f>1581599-180000-124000</f>
        <v>1277599</v>
      </c>
      <c r="H51" s="445"/>
    </row>
    <row r="52" spans="1:8" ht="21.75" customHeight="1" thickBot="1" x14ac:dyDescent="0.25">
      <c r="A52" s="368" t="s">
        <v>568</v>
      </c>
      <c r="B52" s="378" t="s">
        <v>707</v>
      </c>
      <c r="C52" s="379">
        <v>0</v>
      </c>
      <c r="D52" s="379">
        <v>7000</v>
      </c>
      <c r="E52" s="379">
        <f t="shared" si="12"/>
        <v>0</v>
      </c>
      <c r="F52" s="373">
        <f t="shared" si="13"/>
        <v>100</v>
      </c>
      <c r="G52" s="363">
        <v>7000</v>
      </c>
    </row>
    <row r="53" spans="1:8" ht="21.95" customHeight="1" thickBot="1" x14ac:dyDescent="0.25">
      <c r="A53" s="1019" t="s">
        <v>5</v>
      </c>
      <c r="B53" s="1045"/>
      <c r="C53" s="381">
        <f>SUM(C40:C52)</f>
        <v>7454900</v>
      </c>
      <c r="D53" s="381">
        <v>7483599</v>
      </c>
      <c r="E53" s="381">
        <f>SUM(E40:E52)</f>
        <v>-784000</v>
      </c>
      <c r="F53" s="365">
        <f>G53/D53*100</f>
        <v>89.523757218953065</v>
      </c>
      <c r="G53" s="366">
        <f>SUM(G40:G52)</f>
        <v>6699599</v>
      </c>
    </row>
    <row r="54" spans="1:8" ht="21.95" customHeight="1" x14ac:dyDescent="0.2">
      <c r="A54" s="389" t="s">
        <v>585</v>
      </c>
      <c r="B54" s="436" t="s">
        <v>725</v>
      </c>
      <c r="C54" s="436">
        <v>0</v>
      </c>
      <c r="D54" s="391">
        <v>1110000</v>
      </c>
      <c r="E54" s="391">
        <f>G54-D54</f>
        <v>160000</v>
      </c>
      <c r="F54" s="392">
        <f>G54/D54*100</f>
        <v>114.41441441441442</v>
      </c>
      <c r="G54" s="437">
        <v>1270000</v>
      </c>
    </row>
    <row r="55" spans="1:8" ht="21.95" customHeight="1" thickBot="1" x14ac:dyDescent="0.25">
      <c r="A55" s="355" t="s">
        <v>587</v>
      </c>
      <c r="B55" s="376" t="s">
        <v>727</v>
      </c>
      <c r="C55" s="376">
        <v>0</v>
      </c>
      <c r="D55" s="372">
        <v>260000</v>
      </c>
      <c r="E55" s="384">
        <f>G55-D55</f>
        <v>44000</v>
      </c>
      <c r="F55" s="349">
        <f>G55/D55*100</f>
        <v>116.92307692307693</v>
      </c>
      <c r="G55" s="354">
        <v>304000</v>
      </c>
    </row>
    <row r="56" spans="1:8" ht="21.95" customHeight="1" thickBot="1" x14ac:dyDescent="0.25">
      <c r="A56" s="1019" t="s">
        <v>728</v>
      </c>
      <c r="B56" s="1045"/>
      <c r="C56" s="381">
        <f>SUM(C54:C55)</f>
        <v>0</v>
      </c>
      <c r="D56" s="381">
        <v>1370000</v>
      </c>
      <c r="E56" s="381">
        <f>SUM(E54:E55)</f>
        <v>204000</v>
      </c>
      <c r="F56" s="444">
        <f>G56/D56*100</f>
        <v>114.8905109489051</v>
      </c>
      <c r="G56" s="879">
        <f>SUM(G54:G55)</f>
        <v>1574000</v>
      </c>
    </row>
    <row r="57" spans="1:8" ht="21.95" customHeight="1" thickBot="1" x14ac:dyDescent="0.25">
      <c r="A57" s="1036" t="s">
        <v>595</v>
      </c>
      <c r="B57" s="1037"/>
      <c r="C57" s="438">
        <f>C53+C56</f>
        <v>7454900</v>
      </c>
      <c r="D57" s="438">
        <f>D53+D56</f>
        <v>8853599</v>
      </c>
      <c r="E57" s="438">
        <f>E53+E56</f>
        <v>-580000</v>
      </c>
      <c r="F57" s="439">
        <f>G57/D57*100</f>
        <v>93.448991760299961</v>
      </c>
      <c r="G57" s="438">
        <f>G53+G56</f>
        <v>8273599</v>
      </c>
    </row>
    <row r="58" spans="1:8" ht="21.95" customHeight="1" x14ac:dyDescent="0.2">
      <c r="A58" s="1002" t="s">
        <v>493</v>
      </c>
      <c r="B58" s="1003"/>
      <c r="C58" s="1003"/>
      <c r="D58" s="1003"/>
      <c r="E58" s="1003"/>
      <c r="F58" s="1003"/>
      <c r="G58" s="1042"/>
    </row>
    <row r="59" spans="1:8" ht="21.95" customHeight="1" x14ac:dyDescent="0.2">
      <c r="A59" s="1009" t="s">
        <v>398</v>
      </c>
      <c r="B59" s="1039" t="s">
        <v>693</v>
      </c>
      <c r="C59" s="1011">
        <v>2019</v>
      </c>
      <c r="D59" s="993"/>
      <c r="E59" s="993"/>
      <c r="F59" s="994"/>
      <c r="G59" s="342">
        <v>2019</v>
      </c>
    </row>
    <row r="60" spans="1:8" ht="21.95" customHeight="1" thickBot="1" x14ac:dyDescent="0.25">
      <c r="A60" s="1010"/>
      <c r="B60" s="1040"/>
      <c r="C60" s="343" t="s">
        <v>677</v>
      </c>
      <c r="D60" s="343" t="s">
        <v>678</v>
      </c>
      <c r="E60" s="875" t="s">
        <v>402</v>
      </c>
      <c r="F60" s="343" t="s">
        <v>403</v>
      </c>
      <c r="G60" s="344" t="s">
        <v>776</v>
      </c>
    </row>
    <row r="61" spans="1:8" ht="21.95" customHeight="1" x14ac:dyDescent="0.2">
      <c r="A61" s="345" t="s">
        <v>518</v>
      </c>
      <c r="B61" s="346" t="s">
        <v>643</v>
      </c>
      <c r="C61" s="437">
        <v>2541770</v>
      </c>
      <c r="D61" s="347">
        <v>2432770</v>
      </c>
      <c r="E61" s="348">
        <f>G61-D61</f>
        <v>0</v>
      </c>
      <c r="F61" s="349">
        <f>G61/D61*100</f>
        <v>100</v>
      </c>
      <c r="G61" s="350">
        <v>2432770</v>
      </c>
    </row>
    <row r="62" spans="1:8" ht="21.95" customHeight="1" x14ac:dyDescent="0.2">
      <c r="A62" s="355" t="s">
        <v>646</v>
      </c>
      <c r="B62" s="352" t="s">
        <v>699</v>
      </c>
      <c r="C62" s="354">
        <v>24000</v>
      </c>
      <c r="D62" s="353">
        <v>64000</v>
      </c>
      <c r="E62" s="348">
        <f t="shared" ref="E62:E65" si="14">G62-D62</f>
        <v>0</v>
      </c>
      <c r="F62" s="349">
        <f t="shared" ref="F62:F64" si="15">G62/D62*100</f>
        <v>100</v>
      </c>
      <c r="G62" s="354">
        <v>64000</v>
      </c>
    </row>
    <row r="63" spans="1:8" ht="21.95" customHeight="1" x14ac:dyDescent="0.2">
      <c r="A63" s="351" t="s">
        <v>631</v>
      </c>
      <c r="B63" s="352" t="s">
        <v>632</v>
      </c>
      <c r="C63" s="354">
        <v>24000</v>
      </c>
      <c r="D63" s="353">
        <v>12000</v>
      </c>
      <c r="E63" s="348">
        <f t="shared" si="14"/>
        <v>12000</v>
      </c>
      <c r="F63" s="349">
        <f t="shared" si="15"/>
        <v>200</v>
      </c>
      <c r="G63" s="354">
        <v>24000</v>
      </c>
    </row>
    <row r="64" spans="1:8" ht="21.95" customHeight="1" x14ac:dyDescent="0.2">
      <c r="A64" s="351" t="s">
        <v>623</v>
      </c>
      <c r="B64" s="352" t="s">
        <v>624</v>
      </c>
      <c r="C64" s="354">
        <v>0</v>
      </c>
      <c r="D64" s="353">
        <v>81000</v>
      </c>
      <c r="E64" s="348">
        <f t="shared" si="14"/>
        <v>40000</v>
      </c>
      <c r="F64" s="349">
        <f t="shared" si="15"/>
        <v>149.38271604938271</v>
      </c>
      <c r="G64" s="354">
        <v>121000</v>
      </c>
    </row>
    <row r="65" spans="1:7" ht="21.95" customHeight="1" thickBot="1" x14ac:dyDescent="0.25">
      <c r="A65" s="358" t="s">
        <v>528</v>
      </c>
      <c r="B65" s="359" t="s">
        <v>529</v>
      </c>
      <c r="C65" s="881">
        <v>0</v>
      </c>
      <c r="D65" s="360">
        <v>0</v>
      </c>
      <c r="E65" s="361">
        <f t="shared" si="14"/>
        <v>0</v>
      </c>
      <c r="F65" s="362"/>
      <c r="G65" s="363">
        <v>0</v>
      </c>
    </row>
    <row r="66" spans="1:7" ht="21.95" customHeight="1" thickBot="1" x14ac:dyDescent="0.25">
      <c r="A66" s="1014" t="s">
        <v>3</v>
      </c>
      <c r="B66" s="1046"/>
      <c r="C66" s="364">
        <f>SUM(C61:C65)</f>
        <v>2589770</v>
      </c>
      <c r="D66" s="364">
        <v>2589770</v>
      </c>
      <c r="E66" s="364">
        <f>SUM(E61:E65)</f>
        <v>52000</v>
      </c>
      <c r="F66" s="365">
        <f>G66/D66*100</f>
        <v>102.00790031547203</v>
      </c>
      <c r="G66" s="366">
        <f>SUM(G61:G65)</f>
        <v>2641770</v>
      </c>
    </row>
    <row r="67" spans="1:7" ht="21.95" customHeight="1" x14ac:dyDescent="0.2">
      <c r="A67" s="345" t="s">
        <v>532</v>
      </c>
      <c r="B67" s="346" t="s">
        <v>533</v>
      </c>
      <c r="C67" s="437">
        <v>505005</v>
      </c>
      <c r="D67" s="367">
        <v>499005</v>
      </c>
      <c r="E67" s="348">
        <f t="shared" ref="E67:E68" si="16">G67-D67</f>
        <v>0</v>
      </c>
      <c r="F67" s="349">
        <f t="shared" ref="F67:F68" si="17">G67/D67*100</f>
        <v>100</v>
      </c>
      <c r="G67" s="350">
        <v>499005</v>
      </c>
    </row>
    <row r="68" spans="1:7" ht="21.95" customHeight="1" thickBot="1" x14ac:dyDescent="0.25">
      <c r="A68" s="368" t="s">
        <v>534</v>
      </c>
      <c r="B68" s="369" t="s">
        <v>535</v>
      </c>
      <c r="C68" s="876">
        <v>0</v>
      </c>
      <c r="D68" s="360">
        <v>6000</v>
      </c>
      <c r="E68" s="361">
        <f t="shared" si="16"/>
        <v>0</v>
      </c>
      <c r="F68" s="349">
        <f t="shared" si="17"/>
        <v>100</v>
      </c>
      <c r="G68" s="363">
        <v>6000</v>
      </c>
    </row>
    <row r="69" spans="1:7" ht="21.95" customHeight="1" thickBot="1" x14ac:dyDescent="0.25">
      <c r="A69" s="1019" t="s">
        <v>701</v>
      </c>
      <c r="B69" s="1046"/>
      <c r="C69" s="364">
        <f>SUM(C67:C68)</f>
        <v>505005</v>
      </c>
      <c r="D69" s="364">
        <v>505005</v>
      </c>
      <c r="E69" s="364">
        <f>SUM(E67:E68)</f>
        <v>0</v>
      </c>
      <c r="F69" s="444">
        <f>G69/D69*100</f>
        <v>100</v>
      </c>
      <c r="G69" s="879">
        <f>SUM(G67:G68)</f>
        <v>505005</v>
      </c>
    </row>
    <row r="70" spans="1:7" ht="21.95" customHeight="1" thickBot="1" x14ac:dyDescent="0.25">
      <c r="A70" s="1017" t="s">
        <v>595</v>
      </c>
      <c r="B70" s="1018"/>
      <c r="C70" s="878">
        <f>C66+C69</f>
        <v>3094775</v>
      </c>
      <c r="D70" s="878">
        <f>D66+D69</f>
        <v>3094775</v>
      </c>
      <c r="E70" s="385">
        <f t="shared" ref="E70" si="18">E66+E69</f>
        <v>52000</v>
      </c>
      <c r="F70" s="386">
        <f>G70/D70*100</f>
        <v>101.68025139145817</v>
      </c>
      <c r="G70" s="385">
        <f t="shared" ref="G70" si="19">G66+G69</f>
        <v>3146775</v>
      </c>
    </row>
    <row r="71" spans="1:7" ht="21.95" customHeight="1" x14ac:dyDescent="0.2">
      <c r="A71" s="1002" t="s">
        <v>495</v>
      </c>
      <c r="B71" s="1003"/>
      <c r="C71" s="1003"/>
      <c r="D71" s="1003"/>
      <c r="E71" s="1003"/>
      <c r="F71" s="1003"/>
      <c r="G71" s="1042"/>
    </row>
    <row r="72" spans="1:7" ht="21.95" customHeight="1" x14ac:dyDescent="0.2">
      <c r="A72" s="1009" t="s">
        <v>398</v>
      </c>
      <c r="B72" s="1039" t="s">
        <v>693</v>
      </c>
      <c r="C72" s="1011">
        <v>2019</v>
      </c>
      <c r="D72" s="993"/>
      <c r="E72" s="993"/>
      <c r="F72" s="994"/>
      <c r="G72" s="342">
        <v>2019</v>
      </c>
    </row>
    <row r="73" spans="1:7" ht="21.95" customHeight="1" thickBot="1" x14ac:dyDescent="0.25">
      <c r="A73" s="1010"/>
      <c r="B73" s="1040"/>
      <c r="C73" s="343" t="s">
        <v>677</v>
      </c>
      <c r="D73" s="343" t="s">
        <v>678</v>
      </c>
      <c r="E73" s="875" t="s">
        <v>402</v>
      </c>
      <c r="F73" s="343" t="s">
        <v>403</v>
      </c>
      <c r="G73" s="344" t="s">
        <v>776</v>
      </c>
    </row>
    <row r="74" spans="1:7" ht="21.95" customHeight="1" x14ac:dyDescent="0.2">
      <c r="A74" s="345" t="s">
        <v>518</v>
      </c>
      <c r="B74" s="346" t="s">
        <v>643</v>
      </c>
      <c r="C74" s="882">
        <v>10555001</v>
      </c>
      <c r="D74" s="347">
        <v>10277001</v>
      </c>
      <c r="E74" s="348">
        <f>G74-D74</f>
        <v>0</v>
      </c>
      <c r="F74" s="349">
        <f>G74/D74*100</f>
        <v>100</v>
      </c>
      <c r="G74" s="350">
        <v>10277001</v>
      </c>
    </row>
    <row r="75" spans="1:7" ht="21.95" customHeight="1" x14ac:dyDescent="0.2">
      <c r="A75" s="355" t="s">
        <v>646</v>
      </c>
      <c r="B75" s="352" t="s">
        <v>699</v>
      </c>
      <c r="C75" s="883">
        <v>96000</v>
      </c>
      <c r="D75" s="353">
        <v>274000</v>
      </c>
      <c r="E75" s="348">
        <f t="shared" ref="E75:E78" si="20">G75-D75</f>
        <v>0</v>
      </c>
      <c r="F75" s="349">
        <f t="shared" ref="F75:F77" si="21">G75/D75*100</f>
        <v>100</v>
      </c>
      <c r="G75" s="354">
        <v>274000</v>
      </c>
    </row>
    <row r="76" spans="1:7" ht="21.95" customHeight="1" x14ac:dyDescent="0.2">
      <c r="A76" s="351" t="s">
        <v>631</v>
      </c>
      <c r="B76" s="352" t="s">
        <v>632</v>
      </c>
      <c r="C76" s="883">
        <v>96000</v>
      </c>
      <c r="D76" s="353">
        <v>96000</v>
      </c>
      <c r="E76" s="348">
        <f t="shared" si="20"/>
        <v>0</v>
      </c>
      <c r="F76" s="349">
        <f t="shared" si="21"/>
        <v>100</v>
      </c>
      <c r="G76" s="354">
        <v>96000</v>
      </c>
    </row>
    <row r="77" spans="1:7" ht="21.95" customHeight="1" x14ac:dyDescent="0.2">
      <c r="A77" s="351" t="s">
        <v>623</v>
      </c>
      <c r="B77" s="352" t="s">
        <v>624</v>
      </c>
      <c r="C77" s="883"/>
      <c r="D77" s="353">
        <v>122000</v>
      </c>
      <c r="E77" s="348">
        <f t="shared" si="20"/>
        <v>0</v>
      </c>
      <c r="F77" s="349">
        <f t="shared" si="21"/>
        <v>100</v>
      </c>
      <c r="G77" s="354">
        <v>122000</v>
      </c>
    </row>
    <row r="78" spans="1:7" ht="21.95" customHeight="1" thickBot="1" x14ac:dyDescent="0.25">
      <c r="A78" s="358" t="s">
        <v>528</v>
      </c>
      <c r="B78" s="359" t="s">
        <v>529</v>
      </c>
      <c r="C78" s="881">
        <v>0</v>
      </c>
      <c r="D78" s="360">
        <v>0</v>
      </c>
      <c r="E78" s="361">
        <f t="shared" si="20"/>
        <v>0</v>
      </c>
      <c r="F78" s="362"/>
      <c r="G78" s="363">
        <v>0</v>
      </c>
    </row>
    <row r="79" spans="1:7" ht="21.95" customHeight="1" thickBot="1" x14ac:dyDescent="0.25">
      <c r="A79" s="1014" t="s">
        <v>3</v>
      </c>
      <c r="B79" s="1046"/>
      <c r="C79" s="364">
        <f>SUM(C74:C78)</f>
        <v>10747001</v>
      </c>
      <c r="D79" s="364">
        <v>10769001</v>
      </c>
      <c r="E79" s="364">
        <f>SUM(E74:E78)</f>
        <v>0</v>
      </c>
      <c r="F79" s="365">
        <f>G79/D79*100</f>
        <v>100</v>
      </c>
      <c r="G79" s="366">
        <f>SUM(G74:G78)</f>
        <v>10769001</v>
      </c>
    </row>
    <row r="80" spans="1:7" ht="21.95" customHeight="1" x14ac:dyDescent="0.2">
      <c r="A80" s="345" t="s">
        <v>532</v>
      </c>
      <c r="B80" s="346" t="s">
        <v>533</v>
      </c>
      <c r="C80" s="437">
        <v>2095665</v>
      </c>
      <c r="D80" s="367">
        <v>2073665</v>
      </c>
      <c r="E80" s="348">
        <f t="shared" ref="E80:E81" si="22">G80-D80</f>
        <v>0</v>
      </c>
      <c r="F80" s="349">
        <f t="shared" ref="F80" si="23">G80/D80*100</f>
        <v>100</v>
      </c>
      <c r="G80" s="350">
        <v>2073665</v>
      </c>
    </row>
    <row r="81" spans="1:7" ht="21.95" customHeight="1" thickBot="1" x14ac:dyDescent="0.25">
      <c r="A81" s="368" t="s">
        <v>534</v>
      </c>
      <c r="B81" s="369" t="s">
        <v>535</v>
      </c>
      <c r="C81" s="876">
        <v>0</v>
      </c>
      <c r="D81" s="360">
        <v>0</v>
      </c>
      <c r="E81" s="361">
        <f t="shared" si="22"/>
        <v>0</v>
      </c>
      <c r="F81" s="362"/>
      <c r="G81" s="363">
        <v>0</v>
      </c>
    </row>
    <row r="82" spans="1:7" ht="21.95" customHeight="1" thickBot="1" x14ac:dyDescent="0.25">
      <c r="A82" s="1019" t="s">
        <v>701</v>
      </c>
      <c r="B82" s="1046"/>
      <c r="C82" s="364">
        <f>SUM(C80:C81)</f>
        <v>2095665</v>
      </c>
      <c r="D82" s="364">
        <v>2073665</v>
      </c>
      <c r="E82" s="364">
        <f>SUM(E80:E81)</f>
        <v>0</v>
      </c>
      <c r="F82" s="365">
        <f>G82/D82*100</f>
        <v>100</v>
      </c>
      <c r="G82" s="366">
        <f>SUM(G80:G81)</f>
        <v>2073665</v>
      </c>
    </row>
    <row r="83" spans="1:7" ht="21.95" customHeight="1" thickBot="1" x14ac:dyDescent="0.25">
      <c r="A83" s="1017" t="s">
        <v>595</v>
      </c>
      <c r="B83" s="1018"/>
      <c r="C83" s="878">
        <f>C79+C82</f>
        <v>12842666</v>
      </c>
      <c r="D83" s="878">
        <v>12842666</v>
      </c>
      <c r="E83" s="385">
        <f t="shared" ref="E83" si="24">E79+E82</f>
        <v>0</v>
      </c>
      <c r="F83" s="386">
        <f>G83/D83*100</f>
        <v>100</v>
      </c>
      <c r="G83" s="385">
        <f t="shared" ref="G83" si="25">G79+G82</f>
        <v>12842666</v>
      </c>
    </row>
    <row r="84" spans="1:7" ht="21.95" customHeight="1" thickBot="1" x14ac:dyDescent="0.25">
      <c r="A84" s="397"/>
      <c r="D84" s="3"/>
      <c r="E84" s="3"/>
      <c r="F84" s="3"/>
      <c r="G84" s="398"/>
    </row>
    <row r="85" spans="1:7" ht="21.95" customHeight="1" thickBot="1" x14ac:dyDescent="0.25">
      <c r="A85" s="399" t="s">
        <v>715</v>
      </c>
      <c r="B85" s="400"/>
      <c r="C85" s="852">
        <f>C20+C36+C57+C70+C83</f>
        <v>63710301</v>
      </c>
      <c r="D85" s="852">
        <f>D20+D36+D57+D70+D83</f>
        <v>65109000</v>
      </c>
      <c r="E85" s="852">
        <f>E20+E36+E57+E70+E83</f>
        <v>0</v>
      </c>
      <c r="F85" s="873">
        <f>G85/D85*100</f>
        <v>100</v>
      </c>
      <c r="G85" s="852">
        <f>G20+G36+G57+G70+G83</f>
        <v>65109000</v>
      </c>
    </row>
  </sheetData>
  <mergeCells count="39">
    <mergeCell ref="A58:G58"/>
    <mergeCell ref="A70:B70"/>
    <mergeCell ref="A71:G71"/>
    <mergeCell ref="A72:A73"/>
    <mergeCell ref="B72:B73"/>
    <mergeCell ref="C72:F72"/>
    <mergeCell ref="A32:B32"/>
    <mergeCell ref="A35:B35"/>
    <mergeCell ref="A36:B36"/>
    <mergeCell ref="A37:G37"/>
    <mergeCell ref="A57:B57"/>
    <mergeCell ref="A38:A39"/>
    <mergeCell ref="B38:B39"/>
    <mergeCell ref="C38:F38"/>
    <mergeCell ref="A53:B53"/>
    <mergeCell ref="A56:B56"/>
    <mergeCell ref="A19:B19"/>
    <mergeCell ref="A16:B16"/>
    <mergeCell ref="A20:B20"/>
    <mergeCell ref="A21:G21"/>
    <mergeCell ref="A22:A23"/>
    <mergeCell ref="B22:B23"/>
    <mergeCell ref="C22:F22"/>
    <mergeCell ref="A7:A8"/>
    <mergeCell ref="B7:B8"/>
    <mergeCell ref="D1:G1"/>
    <mergeCell ref="A2:G2"/>
    <mergeCell ref="A3:G3"/>
    <mergeCell ref="A5:G5"/>
    <mergeCell ref="A6:G6"/>
    <mergeCell ref="C7:F7"/>
    <mergeCell ref="A82:B82"/>
    <mergeCell ref="A83:B83"/>
    <mergeCell ref="A59:A60"/>
    <mergeCell ref="B59:B60"/>
    <mergeCell ref="C59:F59"/>
    <mergeCell ref="A66:B66"/>
    <mergeCell ref="A69:B69"/>
    <mergeCell ref="A79:B7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F126"/>
  <sheetViews>
    <sheetView zoomScaleNormal="100" workbookViewId="0">
      <selection activeCell="D27" sqref="D27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2:4" ht="15" x14ac:dyDescent="0.2">
      <c r="B2" s="1053" t="s">
        <v>382</v>
      </c>
      <c r="C2" s="1053"/>
      <c r="D2" s="1053"/>
    </row>
    <row r="3" spans="2:4" ht="15" x14ac:dyDescent="0.2">
      <c r="B3" s="86"/>
      <c r="C3" s="86"/>
      <c r="D3" s="86"/>
    </row>
    <row r="4" spans="2:4" ht="15" x14ac:dyDescent="0.2">
      <c r="B4" s="86"/>
      <c r="C4" s="86"/>
      <c r="D4" s="86"/>
    </row>
    <row r="5" spans="2:4" ht="15" x14ac:dyDescent="0.2">
      <c r="B5" s="86"/>
      <c r="C5" s="86"/>
      <c r="D5" s="86"/>
    </row>
    <row r="6" spans="2:4" ht="15" x14ac:dyDescent="0.2">
      <c r="B6" s="86"/>
      <c r="C6" s="86"/>
      <c r="D6" s="86"/>
    </row>
    <row r="7" spans="2:4" ht="15" thickBot="1" x14ac:dyDescent="0.25">
      <c r="B7" s="1054"/>
      <c r="C7" s="1055"/>
      <c r="D7" s="1055"/>
    </row>
    <row r="8" spans="2:4" x14ac:dyDescent="0.2">
      <c r="B8" s="446" t="s">
        <v>12</v>
      </c>
      <c r="C8" s="447" t="s">
        <v>13</v>
      </c>
      <c r="D8" s="448" t="s">
        <v>14</v>
      </c>
    </row>
    <row r="9" spans="2:4" x14ac:dyDescent="0.2">
      <c r="B9" s="449" t="s">
        <v>15</v>
      </c>
      <c r="C9" s="450"/>
      <c r="D9" s="451" t="s">
        <v>243</v>
      </c>
    </row>
    <row r="10" spans="2:4" x14ac:dyDescent="0.2">
      <c r="B10" s="449"/>
      <c r="C10" s="452">
        <v>1</v>
      </c>
      <c r="D10" s="453" t="s">
        <v>737</v>
      </c>
    </row>
    <row r="11" spans="2:4" x14ac:dyDescent="0.2">
      <c r="B11" s="449"/>
      <c r="C11" s="452">
        <v>2</v>
      </c>
      <c r="D11" s="454" t="s">
        <v>16</v>
      </c>
    </row>
    <row r="12" spans="2:4" x14ac:dyDescent="0.2">
      <c r="B12" s="449"/>
      <c r="C12" s="452">
        <v>3</v>
      </c>
      <c r="D12" s="453" t="s">
        <v>306</v>
      </c>
    </row>
    <row r="13" spans="2:4" ht="25.5" x14ac:dyDescent="0.2">
      <c r="B13" s="449"/>
      <c r="C13" s="452">
        <v>4</v>
      </c>
      <c r="D13" s="455" t="s">
        <v>307</v>
      </c>
    </row>
    <row r="14" spans="2:4" x14ac:dyDescent="0.2">
      <c r="B14" s="449"/>
      <c r="C14" s="452">
        <v>5</v>
      </c>
      <c r="D14" s="453" t="s">
        <v>308</v>
      </c>
    </row>
    <row r="15" spans="2:4" x14ac:dyDescent="0.2">
      <c r="B15" s="449"/>
      <c r="C15" s="452">
        <v>6</v>
      </c>
      <c r="D15" s="454" t="s">
        <v>19</v>
      </c>
    </row>
    <row r="16" spans="2:4" x14ac:dyDescent="0.2">
      <c r="B16" s="449"/>
      <c r="C16" s="452">
        <v>7</v>
      </c>
      <c r="D16" s="454" t="s">
        <v>309</v>
      </c>
    </row>
    <row r="17" spans="2:4" x14ac:dyDescent="0.2">
      <c r="B17" s="449"/>
      <c r="C17" s="452">
        <v>8</v>
      </c>
      <c r="D17" s="454" t="s">
        <v>310</v>
      </c>
    </row>
    <row r="18" spans="2:4" x14ac:dyDescent="0.2">
      <c r="B18" s="449"/>
      <c r="C18" s="452">
        <v>9</v>
      </c>
      <c r="D18" s="454" t="s">
        <v>324</v>
      </c>
    </row>
    <row r="19" spans="2:4" x14ac:dyDescent="0.2">
      <c r="B19" s="449"/>
      <c r="C19" s="452">
        <v>10</v>
      </c>
      <c r="D19" s="454" t="s">
        <v>380</v>
      </c>
    </row>
    <row r="20" spans="2:4" ht="28.5" customHeight="1" x14ac:dyDescent="0.2">
      <c r="B20" s="449"/>
      <c r="C20" s="452">
        <v>11</v>
      </c>
      <c r="D20" s="454" t="s">
        <v>312</v>
      </c>
    </row>
    <row r="21" spans="2:4" ht="13.5" customHeight="1" x14ac:dyDescent="0.2">
      <c r="B21" s="449"/>
      <c r="C21" s="452">
        <v>12</v>
      </c>
      <c r="D21" s="454" t="s">
        <v>17</v>
      </c>
    </row>
    <row r="22" spans="2:4" ht="13.5" customHeight="1" x14ac:dyDescent="0.2">
      <c r="B22" s="449"/>
      <c r="C22" s="452">
        <v>13</v>
      </c>
      <c r="D22" s="454" t="s">
        <v>18</v>
      </c>
    </row>
    <row r="23" spans="2:4" ht="13.5" customHeight="1" x14ac:dyDescent="0.2">
      <c r="B23" s="449"/>
      <c r="C23" s="452">
        <v>14</v>
      </c>
      <c r="D23" s="454" t="s">
        <v>379</v>
      </c>
    </row>
    <row r="24" spans="2:4" ht="13.5" customHeight="1" x14ac:dyDescent="0.2">
      <c r="B24" s="449"/>
      <c r="C24" s="452">
        <v>15</v>
      </c>
      <c r="D24" s="454" t="s">
        <v>380</v>
      </c>
    </row>
    <row r="25" spans="2:4" x14ac:dyDescent="0.2">
      <c r="B25" s="449"/>
      <c r="C25" s="452">
        <v>16</v>
      </c>
      <c r="D25" s="454" t="s">
        <v>244</v>
      </c>
    </row>
    <row r="26" spans="2:4" x14ac:dyDescent="0.2">
      <c r="B26" s="449"/>
      <c r="C26" s="452">
        <v>17</v>
      </c>
      <c r="D26" s="453" t="s">
        <v>20</v>
      </c>
    </row>
    <row r="27" spans="2:4" x14ac:dyDescent="0.2">
      <c r="B27" s="449"/>
      <c r="C27" s="452">
        <v>18</v>
      </c>
      <c r="D27" s="453" t="s">
        <v>21</v>
      </c>
    </row>
    <row r="28" spans="2:4" x14ac:dyDescent="0.2">
      <c r="B28" s="449"/>
      <c r="C28" s="452">
        <v>19</v>
      </c>
      <c r="D28" s="454" t="s">
        <v>313</v>
      </c>
    </row>
    <row r="29" spans="2:4" x14ac:dyDescent="0.2">
      <c r="B29" s="449"/>
      <c r="C29" s="452">
        <v>20</v>
      </c>
      <c r="D29" s="453" t="s">
        <v>314</v>
      </c>
    </row>
    <row r="30" spans="2:4" x14ac:dyDescent="0.2">
      <c r="B30" s="449"/>
      <c r="C30" s="452">
        <v>21</v>
      </c>
      <c r="D30" s="453" t="s">
        <v>22</v>
      </c>
    </row>
    <row r="31" spans="2:4" x14ac:dyDescent="0.2">
      <c r="B31" s="449"/>
      <c r="C31" s="452">
        <v>22</v>
      </c>
      <c r="D31" s="453" t="s">
        <v>245</v>
      </c>
    </row>
    <row r="32" spans="2:4" x14ac:dyDescent="0.2">
      <c r="B32" s="449"/>
      <c r="C32" s="452">
        <v>23</v>
      </c>
      <c r="D32" s="453" t="s">
        <v>23</v>
      </c>
    </row>
    <row r="33" spans="2:4" x14ac:dyDescent="0.2">
      <c r="B33" s="449"/>
      <c r="C33" s="452">
        <v>24</v>
      </c>
      <c r="D33" s="453" t="s">
        <v>24</v>
      </c>
    </row>
    <row r="34" spans="2:4" x14ac:dyDescent="0.2">
      <c r="B34" s="449"/>
      <c r="C34" s="452">
        <v>25</v>
      </c>
      <c r="D34" s="453" t="s">
        <v>25</v>
      </c>
    </row>
    <row r="35" spans="2:4" x14ac:dyDescent="0.2">
      <c r="B35" s="449"/>
      <c r="C35" s="452">
        <v>26</v>
      </c>
      <c r="D35" s="453" t="s">
        <v>26</v>
      </c>
    </row>
    <row r="36" spans="2:4" x14ac:dyDescent="0.2">
      <c r="B36" s="449"/>
      <c r="C36" s="452">
        <v>27</v>
      </c>
      <c r="D36" s="453" t="s">
        <v>27</v>
      </c>
    </row>
    <row r="37" spans="2:4" x14ac:dyDescent="0.2">
      <c r="B37" s="449"/>
      <c r="C37" s="452">
        <v>28</v>
      </c>
      <c r="D37" s="453" t="s">
        <v>246</v>
      </c>
    </row>
    <row r="38" spans="2:4" x14ac:dyDescent="0.2">
      <c r="B38" s="449"/>
      <c r="C38" s="452">
        <v>29</v>
      </c>
      <c r="D38" s="134" t="s">
        <v>315</v>
      </c>
    </row>
    <row r="39" spans="2:4" x14ac:dyDescent="0.2">
      <c r="B39" s="449"/>
      <c r="C39" s="452">
        <v>30</v>
      </c>
      <c r="D39" s="453" t="s">
        <v>316</v>
      </c>
    </row>
    <row r="40" spans="2:4" x14ac:dyDescent="0.2">
      <c r="B40" s="449"/>
      <c r="C40" s="452">
        <v>31</v>
      </c>
      <c r="D40" s="453" t="s">
        <v>317</v>
      </c>
    </row>
    <row r="41" spans="2:4" x14ac:dyDescent="0.2">
      <c r="B41" s="449"/>
      <c r="C41" s="452">
        <v>32</v>
      </c>
      <c r="D41" s="453" t="s">
        <v>28</v>
      </c>
    </row>
    <row r="42" spans="2:4" x14ac:dyDescent="0.2">
      <c r="B42" s="449"/>
      <c r="C42" s="452">
        <v>33</v>
      </c>
      <c r="D42" s="453" t="s">
        <v>29</v>
      </c>
    </row>
    <row r="43" spans="2:4" x14ac:dyDescent="0.2">
      <c r="B43" s="449"/>
      <c r="C43" s="452">
        <v>34</v>
      </c>
      <c r="D43" s="453" t="s">
        <v>30</v>
      </c>
    </row>
    <row r="44" spans="2:4" x14ac:dyDescent="0.2">
      <c r="B44" s="449"/>
      <c r="C44" s="452">
        <v>35</v>
      </c>
      <c r="D44" s="453" t="s">
        <v>31</v>
      </c>
    </row>
    <row r="45" spans="2:4" x14ac:dyDescent="0.2">
      <c r="B45" s="449"/>
      <c r="C45" s="452">
        <v>36</v>
      </c>
      <c r="D45" s="453" t="s">
        <v>32</v>
      </c>
    </row>
    <row r="46" spans="2:4" x14ac:dyDescent="0.2">
      <c r="B46" s="449"/>
      <c r="C46" s="452">
        <v>37</v>
      </c>
      <c r="D46" s="453" t="s">
        <v>247</v>
      </c>
    </row>
    <row r="47" spans="2:4" x14ac:dyDescent="0.2">
      <c r="B47" s="449"/>
      <c r="C47" s="452">
        <v>38</v>
      </c>
      <c r="D47" s="453" t="s">
        <v>248</v>
      </c>
    </row>
    <row r="48" spans="2:4" x14ac:dyDescent="0.2">
      <c r="B48" s="449"/>
      <c r="C48" s="452">
        <v>39</v>
      </c>
      <c r="D48" s="453" t="s">
        <v>249</v>
      </c>
    </row>
    <row r="49" spans="2:5" x14ac:dyDescent="0.2">
      <c r="B49" s="449"/>
      <c r="C49" s="452">
        <v>40</v>
      </c>
      <c r="D49" s="454" t="s">
        <v>318</v>
      </c>
    </row>
    <row r="50" spans="2:5" x14ac:dyDescent="0.2">
      <c r="B50" s="449"/>
      <c r="C50" s="452">
        <v>41</v>
      </c>
      <c r="D50" s="454" t="s">
        <v>319</v>
      </c>
    </row>
    <row r="51" spans="2:5" x14ac:dyDescent="0.2">
      <c r="B51" s="449"/>
      <c r="C51" s="452">
        <v>42</v>
      </c>
      <c r="D51" s="454" t="s">
        <v>320</v>
      </c>
    </row>
    <row r="52" spans="2:5" ht="25.5" x14ac:dyDescent="0.2">
      <c r="B52" s="449"/>
      <c r="C52" s="452">
        <v>43</v>
      </c>
      <c r="D52" s="454" t="s">
        <v>250</v>
      </c>
    </row>
    <row r="53" spans="2:5" x14ac:dyDescent="0.2">
      <c r="B53" s="449"/>
      <c r="C53" s="452">
        <v>44</v>
      </c>
      <c r="D53" s="454" t="s">
        <v>251</v>
      </c>
    </row>
    <row r="54" spans="2:5" x14ac:dyDescent="0.2">
      <c r="B54" s="449"/>
      <c r="C54" s="452">
        <v>45</v>
      </c>
      <c r="D54" s="454" t="s">
        <v>252</v>
      </c>
    </row>
    <row r="55" spans="2:5" x14ac:dyDescent="0.2">
      <c r="B55" s="449"/>
      <c r="C55" s="452">
        <v>46</v>
      </c>
      <c r="D55" s="454" t="s">
        <v>253</v>
      </c>
    </row>
    <row r="56" spans="2:5" ht="13.5" thickBot="1" x14ac:dyDescent="0.25">
      <c r="B56" s="456"/>
      <c r="C56" s="457">
        <v>47</v>
      </c>
      <c r="D56" s="458" t="s">
        <v>34</v>
      </c>
    </row>
    <row r="57" spans="2:5" x14ac:dyDescent="0.2">
      <c r="B57" s="90"/>
      <c r="C57" s="91"/>
      <c r="D57" s="136"/>
    </row>
    <row r="58" spans="2:5" x14ac:dyDescent="0.2">
      <c r="B58" s="90"/>
      <c r="C58" s="91"/>
      <c r="D58" s="136"/>
    </row>
    <row r="59" spans="2:5" x14ac:dyDescent="0.2">
      <c r="B59" s="90"/>
      <c r="C59" s="91"/>
      <c r="D59" s="136"/>
    </row>
    <row r="60" spans="2:5" x14ac:dyDescent="0.2">
      <c r="B60" s="90"/>
      <c r="C60" s="91"/>
      <c r="D60" s="136"/>
      <c r="E60" s="1" t="s">
        <v>15</v>
      </c>
    </row>
    <row r="61" spans="2:5" x14ac:dyDescent="0.2">
      <c r="B61" s="90"/>
      <c r="C61" s="91"/>
      <c r="D61" s="136"/>
    </row>
    <row r="62" spans="2:5" ht="13.5" thickBot="1" x14ac:dyDescent="0.25">
      <c r="B62" s="90"/>
      <c r="C62" s="91"/>
      <c r="D62" s="137"/>
    </row>
    <row r="63" spans="2:5" x14ac:dyDescent="0.2">
      <c r="B63" s="87" t="s">
        <v>12</v>
      </c>
      <c r="C63" s="88" t="s">
        <v>13</v>
      </c>
      <c r="D63" s="138" t="s">
        <v>14</v>
      </c>
    </row>
    <row r="64" spans="2:5" x14ac:dyDescent="0.2">
      <c r="B64" s="92" t="s">
        <v>37</v>
      </c>
      <c r="C64" s="459"/>
      <c r="D64" s="139" t="s">
        <v>254</v>
      </c>
    </row>
    <row r="65" spans="2:6" ht="25.5" x14ac:dyDescent="0.2">
      <c r="B65" s="460"/>
      <c r="C65" s="65">
        <v>1</v>
      </c>
      <c r="D65" s="133" t="s">
        <v>321</v>
      </c>
      <c r="F65" s="147"/>
    </row>
    <row r="66" spans="2:6" x14ac:dyDescent="0.2">
      <c r="B66" s="460"/>
      <c r="C66" s="65">
        <v>2</v>
      </c>
      <c r="D66" s="131" t="s">
        <v>314</v>
      </c>
    </row>
    <row r="67" spans="2:6" x14ac:dyDescent="0.2">
      <c r="B67" s="460"/>
      <c r="C67" s="461">
        <v>3</v>
      </c>
      <c r="D67" s="131" t="s">
        <v>326</v>
      </c>
    </row>
    <row r="68" spans="2:6" x14ac:dyDescent="0.2">
      <c r="B68" s="460"/>
      <c r="C68" s="65">
        <v>4</v>
      </c>
      <c r="D68" s="131" t="s">
        <v>255</v>
      </c>
    </row>
    <row r="69" spans="2:6" x14ac:dyDescent="0.2">
      <c r="B69" s="460"/>
      <c r="C69" s="65">
        <v>5</v>
      </c>
      <c r="D69" s="131" t="s">
        <v>322</v>
      </c>
    </row>
    <row r="70" spans="2:6" ht="25.5" x14ac:dyDescent="0.2">
      <c r="B70" s="140"/>
      <c r="C70" s="65">
        <v>6</v>
      </c>
      <c r="D70" s="133" t="s">
        <v>307</v>
      </c>
    </row>
    <row r="71" spans="2:6" x14ac:dyDescent="0.2">
      <c r="B71" s="140"/>
      <c r="C71" s="65">
        <v>7</v>
      </c>
      <c r="D71" s="131" t="s">
        <v>323</v>
      </c>
    </row>
    <row r="72" spans="2:6" x14ac:dyDescent="0.2">
      <c r="B72" s="140"/>
      <c r="C72" s="65">
        <v>8</v>
      </c>
      <c r="D72" s="131" t="s">
        <v>324</v>
      </c>
    </row>
    <row r="73" spans="2:6" x14ac:dyDescent="0.2">
      <c r="B73" s="92" t="s">
        <v>38</v>
      </c>
      <c r="C73" s="459"/>
      <c r="D73" s="139" t="s">
        <v>256</v>
      </c>
    </row>
    <row r="74" spans="2:6" x14ac:dyDescent="0.2">
      <c r="B74" s="92"/>
      <c r="C74" s="64">
        <v>1</v>
      </c>
      <c r="D74" s="131" t="s">
        <v>257</v>
      </c>
    </row>
    <row r="75" spans="2:6" x14ac:dyDescent="0.2">
      <c r="B75" s="92"/>
      <c r="C75" s="64">
        <v>2</v>
      </c>
      <c r="D75" s="131" t="s">
        <v>258</v>
      </c>
    </row>
    <row r="76" spans="2:6" x14ac:dyDescent="0.2">
      <c r="B76" s="89"/>
      <c r="C76" s="65">
        <v>3</v>
      </c>
      <c r="D76" s="131" t="s">
        <v>33</v>
      </c>
    </row>
    <row r="77" spans="2:6" x14ac:dyDescent="0.2">
      <c r="B77" s="89"/>
      <c r="C77" s="65">
        <v>4</v>
      </c>
      <c r="D77" s="131" t="s">
        <v>325</v>
      </c>
    </row>
    <row r="78" spans="2:6" x14ac:dyDescent="0.2">
      <c r="B78" s="89"/>
      <c r="C78" s="65">
        <v>5</v>
      </c>
      <c r="D78" s="131" t="s">
        <v>381</v>
      </c>
    </row>
    <row r="79" spans="2:6" x14ac:dyDescent="0.2">
      <c r="B79" s="89"/>
      <c r="C79" s="65">
        <v>6</v>
      </c>
      <c r="D79" s="131" t="s">
        <v>324</v>
      </c>
    </row>
    <row r="80" spans="2:6" x14ac:dyDescent="0.2">
      <c r="B80" s="92" t="s">
        <v>39</v>
      </c>
      <c r="C80" s="462"/>
      <c r="D80" s="139" t="s">
        <v>367</v>
      </c>
    </row>
    <row r="81" spans="2:4" x14ac:dyDescent="0.2">
      <c r="B81" s="463"/>
      <c r="C81" s="64">
        <v>1</v>
      </c>
      <c r="D81" s="131" t="s">
        <v>327</v>
      </c>
    </row>
    <row r="82" spans="2:4" x14ac:dyDescent="0.2">
      <c r="B82" s="463"/>
      <c r="C82" s="64">
        <v>2</v>
      </c>
      <c r="D82" s="131" t="s">
        <v>311</v>
      </c>
    </row>
    <row r="83" spans="2:4" x14ac:dyDescent="0.2">
      <c r="B83" s="463"/>
      <c r="C83" s="64">
        <v>3</v>
      </c>
      <c r="D83" s="131" t="s">
        <v>262</v>
      </c>
    </row>
    <row r="84" spans="2:4" x14ac:dyDescent="0.2">
      <c r="B84" s="463"/>
      <c r="C84" s="64">
        <v>4</v>
      </c>
      <c r="D84" s="131" t="s">
        <v>328</v>
      </c>
    </row>
    <row r="85" spans="2:4" x14ac:dyDescent="0.2">
      <c r="B85" s="463"/>
      <c r="C85" s="64">
        <v>5</v>
      </c>
      <c r="D85" s="131" t="s">
        <v>17</v>
      </c>
    </row>
    <row r="86" spans="2:4" x14ac:dyDescent="0.2">
      <c r="B86" s="464"/>
      <c r="C86" s="67">
        <v>6</v>
      </c>
      <c r="D86" s="155" t="s">
        <v>324</v>
      </c>
    </row>
    <row r="87" spans="2:4" ht="13.5" thickBot="1" x14ac:dyDescent="0.25">
      <c r="B87" s="465"/>
      <c r="C87" s="132">
        <v>7</v>
      </c>
      <c r="D87" s="135" t="s">
        <v>363</v>
      </c>
    </row>
    <row r="126" spans="5:5" x14ac:dyDescent="0.2">
      <c r="E126" s="1" t="s">
        <v>37</v>
      </c>
    </row>
  </sheetData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</vt:i4>
      </vt:variant>
    </vt:vector>
  </HeadingPairs>
  <TitlesOfParts>
    <vt:vector size="22" baseType="lpstr">
      <vt:lpstr>Önk.bev.</vt:lpstr>
      <vt:lpstr>Önk.kiad.</vt:lpstr>
      <vt:lpstr>Hiv.bev.</vt:lpstr>
      <vt:lpstr>Hiv.kiad.</vt:lpstr>
      <vt:lpstr>Művh.bev.</vt:lpstr>
      <vt:lpstr>Művh.kiad.</vt:lpstr>
      <vt:lpstr>Ovibev.</vt:lpstr>
      <vt:lpstr>Ovikiad.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'1.sz.melléklet'!Nyomtatási_terület</vt:lpstr>
      <vt:lpstr>'5. 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2019-11-22T06:45:45Z</cp:lastPrinted>
  <dcterms:created xsi:type="dcterms:W3CDTF">2004-07-16T06:20:01Z</dcterms:created>
  <dcterms:modified xsi:type="dcterms:W3CDTF">2019-12-18T07:16:36Z</dcterms:modified>
</cp:coreProperties>
</file>