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1840" windowHeight="13740" tabRatio="510" activeTab="7"/>
  </bookViews>
  <sheets>
    <sheet name="2" sheetId="49" r:id="rId1"/>
    <sheet name="2a" sheetId="46" r:id="rId2"/>
    <sheet name="3" sheetId="57" r:id="rId3"/>
    <sheet name="4" sheetId="48" r:id="rId4"/>
    <sheet name="4önk" sheetId="43" r:id="rId5"/>
    <sheet name="4ovi" sheetId="45" r:id="rId6"/>
    <sheet name="5" sheetId="50" r:id="rId7"/>
    <sheet name="10" sheetId="44" r:id="rId8"/>
  </sheets>
  <externalReferences>
    <externalReference r:id="rId9"/>
    <externalReference r:id="rId10"/>
  </externalReferences>
  <definedNames>
    <definedName name="beruh">'[1]4.1. táj.'!#REF!</definedName>
    <definedName name="intézmények">'[2]4.1. táj.'!#REF!</definedName>
    <definedName name="_xlnm.Print_Titles" localSheetId="7">'10'!$1:$6</definedName>
    <definedName name="_xlnm.Print_Titles" localSheetId="1">'2a'!$1:$8</definedName>
    <definedName name="_xlnm.Print_Area" localSheetId="7">'10'!$A$1:$D$49</definedName>
    <definedName name="_xlnm.Print_Area" localSheetId="0">'2'!$A$1:$E$47</definedName>
    <definedName name="_xlnm.Print_Area" localSheetId="1">'2a'!$A$1:$M$17</definedName>
    <definedName name="_xlnm.Print_Area" localSheetId="3">'4'!$A$1:$H$47</definedName>
    <definedName name="_xlnm.Print_Area" localSheetId="5">'4ovi'!$A$1:$F$47</definedName>
    <definedName name="_xlnm.Print_Area" localSheetId="4">'4önk'!$A$1:$G$47</definedName>
  </definedNames>
  <calcPr calcId="145621"/>
</workbook>
</file>

<file path=xl/calcChain.xml><?xml version="1.0" encoding="utf-8"?>
<calcChain xmlns="http://schemas.openxmlformats.org/spreadsheetml/2006/main">
  <c r="D8" i="44" l="1"/>
  <c r="D9" i="44"/>
  <c r="D27" i="44"/>
  <c r="C13" i="50"/>
  <c r="C20" i="50"/>
  <c r="C8" i="50"/>
  <c r="C11" i="50"/>
  <c r="C21" i="50"/>
  <c r="F13" i="50"/>
  <c r="F11" i="50"/>
  <c r="F47" i="45"/>
  <c r="F45" i="45"/>
  <c r="F43" i="45"/>
  <c r="F12" i="45"/>
  <c r="F13" i="45"/>
  <c r="F11" i="45"/>
  <c r="G32" i="43"/>
  <c r="G15" i="43"/>
  <c r="G16" i="43"/>
  <c r="G17" i="43"/>
  <c r="G13" i="43"/>
  <c r="G12" i="43"/>
  <c r="G11" i="43"/>
  <c r="E9" i="57"/>
  <c r="H23" i="57"/>
  <c r="H9" i="57"/>
  <c r="H29" i="57"/>
  <c r="C14" i="46"/>
  <c r="E10" i="46"/>
  <c r="G16" i="46"/>
  <c r="E8" i="49"/>
  <c r="E34" i="49"/>
  <c r="E39" i="49"/>
  <c r="C10" i="50" l="1"/>
  <c r="C15" i="50" s="1"/>
  <c r="C22" i="50" s="1"/>
  <c r="C9" i="50"/>
  <c r="G46" i="43"/>
  <c r="G18" i="43"/>
  <c r="G19" i="43"/>
  <c r="E24" i="57"/>
  <c r="E22" i="57"/>
  <c r="E16" i="57"/>
  <c r="E23" i="57"/>
  <c r="H32" i="57"/>
  <c r="F10" i="46"/>
  <c r="E32" i="49"/>
  <c r="E27" i="49"/>
  <c r="E43" i="49"/>
  <c r="E36" i="49"/>
  <c r="E35" i="49"/>
  <c r="E14" i="49"/>
  <c r="E9" i="49"/>
  <c r="D9" i="46" s="1"/>
  <c r="E7" i="49"/>
  <c r="D35" i="44"/>
  <c r="D36" i="44"/>
  <c r="E32" i="57" l="1"/>
  <c r="E41" i="49"/>
  <c r="E47" i="49" s="1"/>
  <c r="F14" i="48" l="1"/>
  <c r="F15" i="48"/>
  <c r="F16" i="48"/>
  <c r="F17" i="48"/>
  <c r="F19" i="48"/>
  <c r="F20" i="48"/>
  <c r="F21" i="48"/>
  <c r="F24" i="48"/>
  <c r="F25" i="48"/>
  <c r="F27" i="48"/>
  <c r="F28" i="48"/>
  <c r="F30" i="48"/>
  <c r="F32" i="48"/>
  <c r="F33" i="48"/>
  <c r="F36" i="48"/>
  <c r="F37" i="48"/>
  <c r="F39" i="48"/>
  <c r="F40" i="48"/>
  <c r="F41" i="48"/>
  <c r="F44" i="48"/>
  <c r="E44" i="48"/>
  <c r="H12" i="48" l="1"/>
  <c r="F9" i="50" s="1"/>
  <c r="H13" i="48"/>
  <c r="F10" i="50" s="1"/>
  <c r="H14" i="48"/>
  <c r="H15" i="48"/>
  <c r="H17" i="48"/>
  <c r="H18" i="48"/>
  <c r="H19" i="48"/>
  <c r="F17" i="50" s="1"/>
  <c r="F21" i="50" s="1"/>
  <c r="H20" i="48"/>
  <c r="H21" i="48"/>
  <c r="H22" i="48"/>
  <c r="H23" i="48"/>
  <c r="H24" i="48"/>
  <c r="H25" i="48"/>
  <c r="H26" i="48"/>
  <c r="H27" i="48"/>
  <c r="H28" i="48"/>
  <c r="H30" i="48"/>
  <c r="H32" i="48"/>
  <c r="F14" i="50" s="1"/>
  <c r="H33" i="48"/>
  <c r="H35" i="48"/>
  <c r="H36" i="48"/>
  <c r="H37" i="48"/>
  <c r="H38" i="48"/>
  <c r="H39" i="48"/>
  <c r="H40" i="48"/>
  <c r="H41" i="48"/>
  <c r="H42" i="48"/>
  <c r="H44" i="48"/>
  <c r="H46" i="48"/>
  <c r="D38" i="48"/>
  <c r="D35" i="48"/>
  <c r="D31" i="48"/>
  <c r="D29" i="48" s="1"/>
  <c r="D26" i="48"/>
  <c r="D23" i="48"/>
  <c r="D18" i="48"/>
  <c r="D10" i="48"/>
  <c r="D46" i="48" l="1"/>
  <c r="D42" i="48"/>
  <c r="D22" i="48"/>
  <c r="D9" i="48"/>
  <c r="D34" i="48" l="1"/>
  <c r="D45" i="48"/>
  <c r="D43" i="48" l="1"/>
  <c r="D47" i="48"/>
  <c r="Z43" i="43" l="1"/>
  <c r="Y43" i="43"/>
  <c r="X43" i="43"/>
  <c r="W43" i="43"/>
  <c r="V43" i="43"/>
  <c r="U43" i="43"/>
  <c r="T43" i="43"/>
  <c r="S43" i="43"/>
  <c r="R43" i="43"/>
  <c r="Q43" i="43"/>
  <c r="P43" i="43"/>
  <c r="O43" i="43"/>
  <c r="N43" i="43"/>
  <c r="M43" i="43"/>
  <c r="L43" i="43"/>
  <c r="K43" i="43"/>
  <c r="J43" i="43"/>
  <c r="I43" i="43"/>
  <c r="H43" i="43"/>
  <c r="E41" i="43"/>
  <c r="E40" i="43"/>
  <c r="E40" i="48" s="1"/>
  <c r="G40" i="48" s="1"/>
  <c r="E39" i="43"/>
  <c r="D38" i="43"/>
  <c r="E37" i="43"/>
  <c r="E36" i="43"/>
  <c r="E36" i="48" s="1"/>
  <c r="G36" i="48" s="1"/>
  <c r="E35" i="43"/>
  <c r="E35" i="48" s="1"/>
  <c r="D35" i="43"/>
  <c r="E33" i="43"/>
  <c r="G31" i="43"/>
  <c r="E32" i="43"/>
  <c r="E32" i="48" s="1"/>
  <c r="G32" i="48" s="1"/>
  <c r="E14" i="50" s="1"/>
  <c r="D31" i="43"/>
  <c r="D29" i="43" s="1"/>
  <c r="D34" i="43" s="1"/>
  <c r="E30" i="43"/>
  <c r="E28" i="43"/>
  <c r="E28" i="48" s="1"/>
  <c r="G28" i="48" s="1"/>
  <c r="E27" i="43"/>
  <c r="D26" i="43"/>
  <c r="E25" i="43"/>
  <c r="E24" i="43"/>
  <c r="E23" i="43"/>
  <c r="D23" i="43"/>
  <c r="D22" i="43" s="1"/>
  <c r="E21" i="43"/>
  <c r="E20" i="43"/>
  <c r="E19" i="43"/>
  <c r="E18" i="43" s="1"/>
  <c r="D18" i="43"/>
  <c r="E17" i="43"/>
  <c r="H16" i="48"/>
  <c r="F12" i="50" s="1"/>
  <c r="E16" i="43"/>
  <c r="E15" i="43"/>
  <c r="E14" i="43"/>
  <c r="E13" i="43"/>
  <c r="E13" i="48" s="1"/>
  <c r="E12" i="43"/>
  <c r="G10" i="43"/>
  <c r="G9" i="43" s="1"/>
  <c r="G45" i="43" s="1"/>
  <c r="E11" i="43"/>
  <c r="D10" i="43"/>
  <c r="D9" i="43"/>
  <c r="D45" i="43" s="1"/>
  <c r="E44" i="45"/>
  <c r="E41" i="45"/>
  <c r="E40" i="45"/>
  <c r="E39" i="45"/>
  <c r="D38" i="45"/>
  <c r="E37" i="45"/>
  <c r="E36" i="45"/>
  <c r="D35" i="45"/>
  <c r="E33" i="45"/>
  <c r="E32" i="45"/>
  <c r="D31" i="45"/>
  <c r="E30" i="45"/>
  <c r="E28" i="45"/>
  <c r="E27" i="45"/>
  <c r="D26" i="45"/>
  <c r="E25" i="45"/>
  <c r="E24" i="45"/>
  <c r="D23" i="45"/>
  <c r="E21" i="45"/>
  <c r="E20" i="45"/>
  <c r="E19" i="45"/>
  <c r="D18" i="45"/>
  <c r="E17" i="45"/>
  <c r="E16" i="45"/>
  <c r="J15" i="45"/>
  <c r="I15" i="45"/>
  <c r="H15" i="45"/>
  <c r="G15" i="45"/>
  <c r="E15" i="45"/>
  <c r="E14" i="45"/>
  <c r="D13" i="45"/>
  <c r="F13" i="48" s="1"/>
  <c r="D12" i="45"/>
  <c r="D11" i="45"/>
  <c r="D39" i="44"/>
  <c r="D24" i="44"/>
  <c r="D17" i="44"/>
  <c r="F32" i="43" l="1"/>
  <c r="F13" i="43"/>
  <c r="E18" i="48"/>
  <c r="F17" i="43"/>
  <c r="E17" i="48"/>
  <c r="G17" i="48" s="1"/>
  <c r="E13" i="50" s="1"/>
  <c r="F23" i="43"/>
  <c r="E23" i="48"/>
  <c r="F30" i="43"/>
  <c r="E30" i="48"/>
  <c r="G30" i="48" s="1"/>
  <c r="E35" i="45"/>
  <c r="F35" i="48"/>
  <c r="F12" i="43"/>
  <c r="E12" i="48"/>
  <c r="F15" i="43"/>
  <c r="E15" i="48"/>
  <c r="G15" i="48" s="1"/>
  <c r="E11" i="50" s="1"/>
  <c r="F21" i="43"/>
  <c r="E21" i="48"/>
  <c r="G21" i="48" s="1"/>
  <c r="F24" i="43"/>
  <c r="E24" i="48"/>
  <c r="G24" i="48" s="1"/>
  <c r="E38" i="43"/>
  <c r="F38" i="43" s="1"/>
  <c r="F40" i="43"/>
  <c r="E12" i="45"/>
  <c r="F12" i="48"/>
  <c r="D42" i="45"/>
  <c r="F42" i="48" s="1"/>
  <c r="F38" i="48"/>
  <c r="F14" i="43"/>
  <c r="E14" i="48"/>
  <c r="G14" i="48" s="1"/>
  <c r="E26" i="43"/>
  <c r="E27" i="48"/>
  <c r="G27" i="48" s="1"/>
  <c r="D29" i="44"/>
  <c r="E11" i="45"/>
  <c r="F11" i="48"/>
  <c r="F10" i="48" s="1"/>
  <c r="F9" i="48" s="1"/>
  <c r="E13" i="45"/>
  <c r="E26" i="45"/>
  <c r="F26" i="48"/>
  <c r="E31" i="45"/>
  <c r="F31" i="48"/>
  <c r="G13" i="48"/>
  <c r="E10" i="50" s="1"/>
  <c r="F16" i="43"/>
  <c r="E16" i="48"/>
  <c r="G16" i="48" s="1"/>
  <c r="E12" i="50" s="1"/>
  <c r="F25" i="43"/>
  <c r="E25" i="48"/>
  <c r="G25" i="48" s="1"/>
  <c r="F28" i="43"/>
  <c r="E31" i="43"/>
  <c r="F33" i="43"/>
  <c r="E33" i="48"/>
  <c r="G33" i="48" s="1"/>
  <c r="F36" i="43"/>
  <c r="F41" i="43"/>
  <c r="E41" i="48"/>
  <c r="G41" i="48" s="1"/>
  <c r="G47" i="43"/>
  <c r="H47" i="48" s="1"/>
  <c r="H45" i="48"/>
  <c r="F20" i="43"/>
  <c r="E20" i="48"/>
  <c r="G20" i="48" s="1"/>
  <c r="G35" i="48"/>
  <c r="F10" i="45"/>
  <c r="F9" i="45" s="1"/>
  <c r="D34" i="44"/>
  <c r="D33" i="44" s="1"/>
  <c r="D46" i="44" s="1"/>
  <c r="H11" i="48"/>
  <c r="F8" i="50" s="1"/>
  <c r="F15" i="50" s="1"/>
  <c r="F22" i="50" s="1"/>
  <c r="E18" i="45"/>
  <c r="F18" i="48"/>
  <c r="D22" i="45"/>
  <c r="F23" i="48"/>
  <c r="F11" i="43"/>
  <c r="E11" i="48"/>
  <c r="F19" i="43"/>
  <c r="E19" i="48"/>
  <c r="G19" i="48" s="1"/>
  <c r="E17" i="50" s="1"/>
  <c r="D46" i="43"/>
  <c r="D42" i="43"/>
  <c r="F37" i="43"/>
  <c r="E37" i="48"/>
  <c r="G37" i="48" s="1"/>
  <c r="F39" i="43"/>
  <c r="E39" i="48"/>
  <c r="G39" i="48" s="1"/>
  <c r="G29" i="43"/>
  <c r="H29" i="48" s="1"/>
  <c r="H31" i="48"/>
  <c r="D43" i="43"/>
  <c r="D47" i="43"/>
  <c r="F18" i="43"/>
  <c r="F27" i="43"/>
  <c r="F35" i="43"/>
  <c r="E10" i="43"/>
  <c r="E42" i="45"/>
  <c r="D29" i="45"/>
  <c r="E23" i="45"/>
  <c r="D46" i="45"/>
  <c r="D10" i="45"/>
  <c r="E38" i="45"/>
  <c r="H10" i="48" l="1"/>
  <c r="F26" i="43"/>
  <c r="E26" i="48"/>
  <c r="G26" i="48" s="1"/>
  <c r="E18" i="50" s="1"/>
  <c r="E21" i="50" s="1"/>
  <c r="E46" i="45"/>
  <c r="F46" i="48"/>
  <c r="E22" i="43"/>
  <c r="E10" i="48"/>
  <c r="G11" i="48"/>
  <c r="E8" i="50" s="1"/>
  <c r="G23" i="48"/>
  <c r="E22" i="45"/>
  <c r="F22" i="48"/>
  <c r="F31" i="43"/>
  <c r="E31" i="48"/>
  <c r="G31" i="48" s="1"/>
  <c r="H9" i="48"/>
  <c r="F34" i="45"/>
  <c r="G18" i="48"/>
  <c r="E42" i="43"/>
  <c r="E38" i="48"/>
  <c r="G38" i="48" s="1"/>
  <c r="E29" i="45"/>
  <c r="F29" i="48"/>
  <c r="E29" i="43"/>
  <c r="G12" i="48"/>
  <c r="E9" i="50" s="1"/>
  <c r="E46" i="43"/>
  <c r="E46" i="48" s="1"/>
  <c r="G46" i="48" s="1"/>
  <c r="G34" i="43"/>
  <c r="E9" i="43"/>
  <c r="F10" i="43"/>
  <c r="D9" i="45"/>
  <c r="E10" i="45"/>
  <c r="E15" i="50" l="1"/>
  <c r="E22" i="50" s="1"/>
  <c r="E9" i="48"/>
  <c r="G9" i="48" s="1"/>
  <c r="G10" i="48"/>
  <c r="E22" i="48"/>
  <c r="G22" i="48" s="1"/>
  <c r="F22" i="43"/>
  <c r="H34" i="48"/>
  <c r="G43" i="43"/>
  <c r="H43" i="48" s="1"/>
  <c r="F29" i="43"/>
  <c r="E29" i="48"/>
  <c r="G29" i="48" s="1"/>
  <c r="E42" i="48"/>
  <c r="G42" i="48" s="1"/>
  <c r="F42" i="43"/>
  <c r="F46" i="43"/>
  <c r="E34" i="43"/>
  <c r="E34" i="48" s="1"/>
  <c r="F9" i="43"/>
  <c r="E45" i="43"/>
  <c r="E45" i="48" s="1"/>
  <c r="D45" i="45"/>
  <c r="F45" i="48" s="1"/>
  <c r="D34" i="45"/>
  <c r="F34" i="48" s="1"/>
  <c r="E9" i="45"/>
  <c r="G45" i="48" l="1"/>
  <c r="G34" i="48"/>
  <c r="F34" i="43"/>
  <c r="E43" i="43"/>
  <c r="E47" i="43"/>
  <c r="F45" i="43"/>
  <c r="E34" i="45"/>
  <c r="D43" i="45"/>
  <c r="D47" i="45"/>
  <c r="E45" i="45"/>
  <c r="F43" i="43" l="1"/>
  <c r="E43" i="48"/>
  <c r="E43" i="45"/>
  <c r="F43" i="48"/>
  <c r="E47" i="45"/>
  <c r="F47" i="48"/>
  <c r="F47" i="43"/>
  <c r="E47" i="48"/>
  <c r="G47" i="48" s="1"/>
  <c r="C43" i="49"/>
  <c r="D43" i="49"/>
  <c r="B43" i="49"/>
  <c r="G43" i="48" l="1"/>
  <c r="C32" i="49"/>
  <c r="B32" i="49"/>
  <c r="C36" i="49" l="1"/>
  <c r="C35" i="49" s="1"/>
  <c r="D32" i="57" l="1"/>
  <c r="M16" i="46"/>
  <c r="G23" i="57" s="1"/>
  <c r="D36" i="49"/>
  <c r="D35" i="49" s="1"/>
  <c r="B36" i="49"/>
  <c r="B35" i="49" s="1"/>
  <c r="D14" i="49"/>
  <c r="J11" i="46"/>
  <c r="M11" i="46" s="1"/>
  <c r="G9" i="57" s="1"/>
  <c r="E17" i="46"/>
  <c r="F17" i="46"/>
  <c r="G17" i="46"/>
  <c r="H17" i="46"/>
  <c r="I17" i="46"/>
  <c r="K17" i="46"/>
  <c r="L17" i="46"/>
  <c r="C17" i="46"/>
  <c r="C14" i="49"/>
  <c r="C9" i="49"/>
  <c r="C7" i="49" s="1"/>
  <c r="B9" i="49"/>
  <c r="B14" i="49"/>
  <c r="D9" i="49"/>
  <c r="D7" i="49" s="1"/>
  <c r="M10" i="46"/>
  <c r="G27" i="57" s="1"/>
  <c r="M12" i="46"/>
  <c r="G20" i="57" s="1"/>
  <c r="M13" i="46"/>
  <c r="G28" i="57" s="1"/>
  <c r="M14" i="46"/>
  <c r="G29" i="57" s="1"/>
  <c r="M15" i="46"/>
  <c r="G22" i="57" s="1"/>
  <c r="J17" i="46" l="1"/>
  <c r="C41" i="49"/>
  <c r="C47" i="49" s="1"/>
  <c r="D41" i="49"/>
  <c r="D47" i="49" s="1"/>
  <c r="B7" i="49"/>
  <c r="B41" i="49" s="1"/>
  <c r="B47" i="49" s="1"/>
  <c r="M9" i="46" l="1"/>
  <c r="D17" i="46"/>
  <c r="G26" i="57" l="1"/>
  <c r="G32" i="57" s="1"/>
  <c r="M17" i="46"/>
</calcChain>
</file>

<file path=xl/sharedStrings.xml><?xml version="1.0" encoding="utf-8"?>
<sst xmlns="http://schemas.openxmlformats.org/spreadsheetml/2006/main" count="516" uniqueCount="293">
  <si>
    <t>Összesen:</t>
  </si>
  <si>
    <t>Bevétel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</si>
  <si>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</si>
  <si>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</si>
  <si>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</si>
  <si>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</si>
  <si>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</si>
  <si>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</si>
  <si>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</si>
  <si>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</si>
  <si>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</si>
  <si>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</si>
  <si>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</si>
  <si>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</si>
  <si>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</si>
  <si>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</si>
  <si>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</si>
  <si>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</si>
  <si>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</si>
  <si>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</si>
  <si>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</si>
  <si>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</si>
  <si>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</si>
  <si>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</si>
  <si>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</si>
  <si>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</si>
  <si>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</si>
  <si>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</si>
  <si>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</si>
  <si>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</si>
  <si>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</si>
  <si>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</si>
  <si>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</si>
  <si>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</si>
  <si>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</si>
  <si>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</si>
  <si>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</si>
  <si>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</si>
  <si>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</si>
  <si>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</si>
  <si>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</si>
  <si>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</si>
  <si>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</si>
  <si>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</si>
  <si>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</si>
  <si>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</si>
  <si>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</si>
  <si>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</si>
  <si>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</si>
  <si>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</si>
  <si>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</si>
  <si>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</si>
  <si>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</si>
  <si>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</si>
  <si>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</si>
  <si>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</si>
  <si>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</si>
  <si>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</si>
  <si>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</si>
  <si>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</si>
  <si>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</si>
  <si>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</si>
  <si>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</si>
  <si>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</si>
  <si>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</si>
  <si>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</si>
  <si>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</si>
  <si>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</si>
  <si>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</si>
  <si>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</si>
  <si>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</si>
  <si>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</si>
  <si>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</si>
  <si>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</si>
  <si>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</si>
  <si>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</si>
  <si>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</si>
  <si>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</si>
  <si>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</si>
  <si>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</si>
  <si>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</si>
  <si>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</si>
  <si>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</si>
  <si>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</si>
  <si>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</si>
  <si>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</si>
  <si>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</si>
  <si>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</si>
  <si>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</si>
  <si>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</si>
  <si>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</si>
  <si>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</si>
  <si>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</si>
  <si>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</si>
  <si>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</si>
  <si>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</si>
  <si>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</si>
  <si>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</si>
  <si>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</si>
  <si>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</si>
  <si>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</si>
  <si>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</si>
  <si>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</si>
  <si>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</si>
  <si>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</si>
  <si>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</si>
  <si>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</si>
  <si>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</si>
  <si>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</si>
  <si>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</si>
  <si>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</si>
  <si>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</si>
  <si>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</si>
  <si>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</si>
  <si>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</si>
  <si>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</si>
  <si>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</si>
  <si>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</si>
  <si>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</si>
  <si>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</si>
  <si>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</si>
  <si>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</si>
  <si>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</si>
  <si>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</si>
  <si>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</si>
  <si>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</si>
  <si>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</si>
  <si>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</si>
  <si>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</si>
  <si>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</si>
  <si>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</si>
  <si>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</si>
  <si>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</si>
  <si>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</si>
  <si>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</si>
  <si>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</si>
  <si>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</si>
  <si>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</si>
  <si>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</si>
  <si>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</si>
  <si>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</si>
  <si>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</si>
  <si>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</si>
  <si>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</si>
  <si>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</si>
  <si>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</si>
  <si>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</si>
  <si>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</si>
  <si>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</si>
  <si>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</si>
  <si>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</si>
  <si>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</si>
  <si>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</si>
  <si>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>1.Felhalmozási és tőke jellegű bevételek</t>
  </si>
  <si>
    <t>1.1 Tárgyi eszközök,immateriális javak értékesítése</t>
  </si>
  <si>
    <t>3.Felhalmozási célú pénzeszköz átvétel ÁHT-n kívülről</t>
  </si>
  <si>
    <t>Előző év pénzmaradványának igénybevétele</t>
  </si>
  <si>
    <t>1.működési célra</t>
  </si>
  <si>
    <t>2.felhalmozási célra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</si>
  <si>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</si>
  <si>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</si>
  <si>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</si>
  <si>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</si>
  <si>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</si>
  <si>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</si>
  <si>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</si>
  <si>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</si>
  <si>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</si>
  <si>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</si>
  <si>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</si>
  <si>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</si>
  <si>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</si>
  <si>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</si>
  <si>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</si>
  <si>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</si>
  <si>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</si>
  <si>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</si>
  <si>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Szakfeladat</t>
  </si>
  <si>
    <t>Megnevezése</t>
  </si>
  <si>
    <t xml:space="preserve">Várható kiadások jogcímenként  </t>
  </si>
  <si>
    <t xml:space="preserve">Várható kiadások jogcímenként </t>
  </si>
  <si>
    <t>14.Szociális étkeztetés</t>
  </si>
  <si>
    <t>Beruházás, felújítás</t>
  </si>
  <si>
    <t>Energiatámogatás</t>
  </si>
  <si>
    <t>Bursa Hungarica</t>
  </si>
  <si>
    <t>Települési támogatás</t>
  </si>
  <si>
    <t>Gyógyszertámogatás</t>
  </si>
  <si>
    <t>Lakásépítési támogatás</t>
  </si>
  <si>
    <t>EU-s társfinanszírozott programok, projektek kiadásai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</si>
  <si>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</si>
  <si>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</si>
  <si>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</si>
  <si>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</si>
  <si>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</si>
  <si>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</si>
  <si>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</si>
  <si>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</si>
  <si>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</si>
  <si>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</si>
  <si>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</si>
  <si>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 xml:space="preserve">II. Kapott támogatások (önkorm.ktgvetési támogatása) összesen </t>
  </si>
  <si>
    <t>Zöldterület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</si>
  <si>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</si>
  <si>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</si>
  <si>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</si>
  <si>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</si>
  <si>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</si>
  <si>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</si>
  <si>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</si>
  <si>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</si>
  <si>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</si>
  <si>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</si>
  <si>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</si>
  <si>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</si>
  <si>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</si>
  <si>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</si>
  <si>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</si>
  <si>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</si>
  <si>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</si>
  <si>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</si>
  <si>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</si>
  <si>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</si>
  <si>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</si>
  <si>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</si>
  <si>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</si>
  <si>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</si>
  <si>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</si>
  <si>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</si>
  <si>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</si>
  <si>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</si>
  <si>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</si>
  <si>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</si>
  <si>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</si>
  <si>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</si>
  <si>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</si>
  <si>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</si>
  <si>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</si>
  <si>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</si>
  <si>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</si>
  <si>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</si>
  <si>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</si>
  <si>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</si>
  <si>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</si>
  <si>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</si>
  <si>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</si>
  <si>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</si>
  <si>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</si>
  <si>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</si>
  <si>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</si>
  <si>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</si>
  <si>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</si>
  <si>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</si>
  <si>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</si>
  <si>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</si>
  <si>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</si>
  <si>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</si>
  <si>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</si>
  <si>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</si>
  <si>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</si>
  <si>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</si>
  <si>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</si>
  <si>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</si>
  <si>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</si>
  <si>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</si>
  <si>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</si>
  <si>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</si>
  <si>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</si>
  <si>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</si>
  <si>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</si>
  <si>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víz</t>
  </si>
  <si>
    <t>közfogl</t>
  </si>
  <si>
    <t>Támogatásértékű kiadások</t>
  </si>
  <si>
    <t>Működési célú pe. átadások</t>
  </si>
  <si>
    <t>Várható kiadások jogcímenként</t>
  </si>
  <si>
    <t>6.Polgármester tiszteletdíja</t>
  </si>
  <si>
    <t>1.Bérleti díjak</t>
  </si>
  <si>
    <t>2.Működési célú pénzeszköz átvétel ÁHT-n belülről</t>
  </si>
  <si>
    <t xml:space="preserve">IV.Felhalmozási bevételek              </t>
  </si>
  <si>
    <t>2.Felhalmozási c. támogatás</t>
  </si>
  <si>
    <t>Várható kiadásai és bevételei kiemelt előirányzatonként</t>
  </si>
  <si>
    <t>Az önkormányzat működési és felhalmozás célú bevételei és kiadásai tájékoztató jelleggel mérlegszerűen</t>
  </si>
  <si>
    <t>NEMESBÜK ÖNKORMÁNYZAT KÖLTSÉGVETÉSE</t>
  </si>
  <si>
    <t xml:space="preserve">Önkormányzati feladathoz tartozó feladatok cím előirányzatai </t>
  </si>
  <si>
    <t>NEMESBÜK KÖZSÉG ÖNKORMÁNYZAT KÖLTSÉGVETÉSE</t>
  </si>
  <si>
    <t xml:space="preserve"> Az önkormányzati költségvetési szervhez nem tartozó feladatok cím tervezett bevételei forrásonként</t>
  </si>
  <si>
    <t>Módosított előirányzat</t>
  </si>
  <si>
    <t>módosított előirányzat</t>
  </si>
  <si>
    <t>2. melléklet az 5/2019 (VI.2.) önkormányzati rendelethez</t>
  </si>
  <si>
    <t>1. melléklet  az 5/2019 (IV.2.) önkormányzati rendelethez</t>
  </si>
  <si>
    <t xml:space="preserve"> 4. melléklet az 5/2019 (IV.2.) önkormányzati rendelethez</t>
  </si>
  <si>
    <t>3. melléklet  az 5/2019 (IV.2.) önkormányzati rendelethez</t>
  </si>
  <si>
    <t xml:space="preserve"> 5. melléklet az 5/2019 (IV .2.) önkormányzati rendelethez</t>
  </si>
  <si>
    <t>10. melléklet az 5/2019 (IV.2.)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</si>
</sst>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5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.5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5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38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24" borderId="16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3" fontId="2" fillId="24" borderId="17" xfId="0" applyNumberFormat="1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3" fontId="3" fillId="0" borderId="25" xfId="0" applyNumberFormat="1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2" fillId="1" borderId="27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2" fillId="24" borderId="27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24" borderId="27" xfId="0" applyFont="1" applyFill="1" applyBorder="1" applyAlignment="1">
      <alignment horizontal="center" vertical="center"/>
    </xf>
    <xf numFmtId="3" fontId="2" fillId="24" borderId="33" xfId="0" applyNumberFormat="1" applyFont="1" applyFill="1" applyBorder="1" applyAlignment="1">
      <alignment horizontal="right" vertical="center" wrapText="1"/>
    </xf>
    <xf numFmtId="164" fontId="27" fillId="0" borderId="0" xfId="38" applyNumberFormat="1" applyFont="1" applyAlignment="1">
      <alignment horizontal="left" vertical="center" wrapText="1"/>
    </xf>
    <xf numFmtId="164" fontId="27" fillId="0" borderId="0" xfId="38" applyNumberFormat="1" applyFont="1" applyAlignment="1">
      <alignment vertical="center" wrapText="1"/>
    </xf>
    <xf numFmtId="0" fontId="30" fillId="0" borderId="0" xfId="38" applyFont="1" applyAlignment="1">
      <alignment vertical="center"/>
    </xf>
    <xf numFmtId="0" fontId="29" fillId="0" borderId="34" xfId="38" applyFont="1" applyBorder="1" applyAlignment="1">
      <alignment vertical="center"/>
    </xf>
    <xf numFmtId="0" fontId="29" fillId="0" borderId="35" xfId="38" applyFont="1" applyBorder="1" applyAlignment="1">
      <alignment vertical="center"/>
    </xf>
    <xf numFmtId="0" fontId="29" fillId="0" borderId="0" xfId="38" applyFont="1" applyAlignment="1">
      <alignment vertical="center"/>
    </xf>
    <xf numFmtId="0" fontId="31" fillId="0" borderId="0" xfId="38" applyFont="1" applyAlignment="1">
      <alignment vertical="center"/>
    </xf>
    <xf numFmtId="0" fontId="29" fillId="0" borderId="37" xfId="38" applyFont="1" applyBorder="1" applyAlignment="1">
      <alignment horizontal="center" vertical="center" wrapText="1"/>
    </xf>
    <xf numFmtId="0" fontId="29" fillId="0" borderId="33" xfId="38" applyFont="1" applyBorder="1" applyAlignment="1">
      <alignment horizontal="center" vertical="center" wrapText="1"/>
    </xf>
    <xf numFmtId="0" fontId="24" fillId="0" borderId="0" xfId="38" applyAlignment="1">
      <alignment horizontal="center" vertical="center" wrapText="1"/>
    </xf>
    <xf numFmtId="0" fontId="24" fillId="0" borderId="0" xfId="38" applyAlignment="1">
      <alignment vertical="center" wrapText="1"/>
    </xf>
    <xf numFmtId="0" fontId="32" fillId="0" borderId="27" xfId="38" applyFont="1" applyBorder="1" applyAlignment="1">
      <alignment horizontal="center" vertical="center" wrapText="1"/>
    </xf>
    <xf numFmtId="0" fontId="32" fillId="0" borderId="37" xfId="38" applyFont="1" applyBorder="1" applyAlignment="1">
      <alignment horizontal="center" vertical="center" wrapText="1"/>
    </xf>
    <xf numFmtId="0" fontId="32" fillId="0" borderId="38" xfId="38" applyFont="1" applyBorder="1" applyAlignment="1">
      <alignment horizontal="center" vertical="center" wrapText="1"/>
    </xf>
    <xf numFmtId="0" fontId="30" fillId="0" borderId="0" xfId="38" applyFont="1" applyAlignment="1">
      <alignment horizontal="center" vertical="center" wrapText="1"/>
    </xf>
    <xf numFmtId="0" fontId="33" fillId="0" borderId="40" xfId="38" applyFont="1" applyBorder="1" applyAlignment="1">
      <alignment horizontal="center" vertical="center" wrapText="1"/>
    </xf>
    <xf numFmtId="0" fontId="34" fillId="0" borderId="36" xfId="38" applyFont="1" applyBorder="1" applyAlignment="1">
      <alignment horizontal="center" vertical="center" wrapText="1"/>
    </xf>
    <xf numFmtId="0" fontId="35" fillId="0" borderId="0" xfId="38" applyFont="1" applyAlignment="1">
      <alignment vertical="center" wrapText="1"/>
    </xf>
    <xf numFmtId="0" fontId="32" fillId="0" borderId="31" xfId="38" applyFont="1" applyBorder="1" applyAlignment="1">
      <alignment horizontal="center" vertical="center" wrapText="1"/>
    </xf>
    <xf numFmtId="49" fontId="36" fillId="0" borderId="32" xfId="38" applyNumberFormat="1" applyFont="1" applyBorder="1" applyAlignment="1">
      <alignment horizontal="center" vertical="center" wrapText="1"/>
    </xf>
    <xf numFmtId="0" fontId="36" fillId="0" borderId="32" xfId="41" applyFont="1" applyBorder="1" applyAlignment="1">
      <alignment horizontal="left" vertical="center" wrapText="1" indent="1"/>
    </xf>
    <xf numFmtId="164" fontId="26" fillId="0" borderId="41" xfId="38" applyNumberFormat="1" applyFont="1" applyBorder="1" applyAlignment="1" applyProtection="1">
      <alignment vertical="center" wrapText="1"/>
      <protection locked="0"/>
    </xf>
    <xf numFmtId="0" fontId="32" fillId="0" borderId="10" xfId="38" applyFont="1" applyBorder="1" applyAlignment="1">
      <alignment horizontal="center" vertical="center" wrapText="1"/>
    </xf>
    <xf numFmtId="49" fontId="36" fillId="0" borderId="11" xfId="38" applyNumberFormat="1" applyFont="1" applyBorder="1" applyAlignment="1">
      <alignment horizontal="center" vertical="center" wrapText="1"/>
    </xf>
    <xf numFmtId="0" fontId="36" fillId="0" borderId="11" xfId="41" applyFont="1" applyBorder="1" applyAlignment="1">
      <alignment horizontal="left" vertical="center" wrapText="1" indent="1"/>
    </xf>
    <xf numFmtId="164" fontId="26" fillId="0" borderId="42" xfId="38" applyNumberFormat="1" applyFont="1" applyBorder="1" applyAlignment="1" applyProtection="1">
      <alignment vertical="center" wrapText="1"/>
      <protection locked="0"/>
    </xf>
    <xf numFmtId="0" fontId="36" fillId="0" borderId="18" xfId="41" applyFont="1" applyBorder="1" applyAlignment="1">
      <alignment horizontal="left" vertical="center" wrapText="1" indent="1"/>
    </xf>
    <xf numFmtId="0" fontId="32" fillId="0" borderId="28" xfId="38" applyFont="1" applyBorder="1" applyAlignment="1">
      <alignment horizontal="center" vertical="center" wrapText="1"/>
    </xf>
    <xf numFmtId="164" fontId="26" fillId="0" borderId="20" xfId="38" applyNumberFormat="1" applyFont="1" applyBorder="1" applyAlignment="1" applyProtection="1">
      <alignment vertical="center" wrapText="1"/>
      <protection locked="0"/>
    </xf>
    <xf numFmtId="0" fontId="37" fillId="0" borderId="0" xfId="38" applyFont="1" applyAlignment="1">
      <alignment vertical="center" wrapText="1"/>
    </xf>
    <xf numFmtId="0" fontId="32" fillId="0" borderId="23" xfId="38" applyFont="1" applyBorder="1" applyAlignment="1">
      <alignment horizontal="center" vertical="center" wrapText="1"/>
    </xf>
    <xf numFmtId="49" fontId="36" fillId="0" borderId="29" xfId="38" applyNumberFormat="1" applyFont="1" applyBorder="1" applyAlignment="1">
      <alignment horizontal="center" vertical="center" wrapText="1"/>
    </xf>
    <xf numFmtId="164" fontId="26" fillId="0" borderId="17" xfId="38" applyNumberFormat="1" applyFont="1" applyBorder="1" applyAlignment="1" applyProtection="1">
      <alignment vertical="center" wrapText="1"/>
      <protection locked="0"/>
    </xf>
    <xf numFmtId="0" fontId="33" fillId="0" borderId="37" xfId="38" applyFont="1" applyBorder="1" applyAlignment="1">
      <alignment horizontal="center" vertical="center" wrapText="1"/>
    </xf>
    <xf numFmtId="0" fontId="34" fillId="0" borderId="37" xfId="38" applyFont="1" applyBorder="1" applyAlignment="1">
      <alignment horizontal="left" vertical="center" wrapText="1" indent="1"/>
    </xf>
    <xf numFmtId="164" fontId="34" fillId="0" borderId="33" xfId="38" applyNumberFormat="1" applyFont="1" applyBorder="1" applyAlignment="1">
      <alignment vertical="center" wrapText="1"/>
    </xf>
    <xf numFmtId="0" fontId="32" fillId="0" borderId="24" xfId="38" applyFont="1" applyBorder="1" applyAlignment="1">
      <alignment horizontal="center" vertical="center" wrapText="1"/>
    </xf>
    <xf numFmtId="49" fontId="36" fillId="0" borderId="25" xfId="38" applyNumberFormat="1" applyFont="1" applyBorder="1" applyAlignment="1">
      <alignment horizontal="center" vertical="center" wrapText="1"/>
    </xf>
    <xf numFmtId="0" fontId="36" fillId="0" borderId="25" xfId="41" applyFont="1" applyBorder="1" applyAlignment="1">
      <alignment horizontal="left" vertical="center" wrapText="1" indent="1"/>
    </xf>
    <xf numFmtId="164" fontId="26" fillId="0" borderId="43" xfId="38" applyNumberFormat="1" applyFont="1" applyBorder="1" applyAlignment="1" applyProtection="1">
      <alignment vertical="center" wrapText="1"/>
      <protection locked="0"/>
    </xf>
    <xf numFmtId="0" fontId="36" fillId="0" borderId="29" xfId="41" applyFont="1" applyBorder="1" applyAlignment="1">
      <alignment horizontal="left" vertical="center" wrapText="1" indent="1"/>
    </xf>
    <xf numFmtId="0" fontId="34" fillId="0" borderId="27" xfId="38" applyFont="1" applyBorder="1" applyAlignment="1">
      <alignment horizontal="center" vertical="center" wrapText="1"/>
    </xf>
    <xf numFmtId="0" fontId="34" fillId="0" borderId="37" xfId="41" applyFont="1" applyBorder="1" applyAlignment="1">
      <alignment horizontal="left" vertical="center" wrapText="1" indent="1"/>
    </xf>
    <xf numFmtId="164" fontId="34" fillId="0" borderId="33" xfId="38" applyNumberFormat="1" applyFont="1" applyBorder="1" applyAlignment="1" applyProtection="1">
      <alignment vertical="center" wrapText="1"/>
      <protection locked="0"/>
    </xf>
    <xf numFmtId="0" fontId="33" fillId="0" borderId="44" xfId="38" applyFont="1" applyBorder="1" applyAlignment="1">
      <alignment horizontal="center" vertical="center" wrapText="1"/>
    </xf>
    <xf numFmtId="49" fontId="34" fillId="0" borderId="37" xfId="41" applyNumberFormat="1" applyFont="1" applyBorder="1" applyAlignment="1">
      <alignment horizontal="left" vertical="center" wrapText="1" indent="1"/>
    </xf>
    <xf numFmtId="49" fontId="36" fillId="0" borderId="25" xfId="41" applyNumberFormat="1" applyFont="1" applyBorder="1" applyAlignment="1">
      <alignment horizontal="left" vertical="center" wrapText="1" indent="1"/>
    </xf>
    <xf numFmtId="0" fontId="26" fillId="0" borderId="25" xfId="41" applyFont="1" applyBorder="1" applyAlignment="1">
      <alignment horizontal="left" vertical="center" wrapText="1" indent="1"/>
    </xf>
    <xf numFmtId="164" fontId="34" fillId="0" borderId="20" xfId="38" applyNumberFormat="1" applyFont="1" applyBorder="1" applyAlignment="1" applyProtection="1">
      <alignment vertical="center" wrapText="1"/>
      <protection locked="0"/>
    </xf>
    <xf numFmtId="49" fontId="36" fillId="0" borderId="29" xfId="41" applyNumberFormat="1" applyFont="1" applyBorder="1" applyAlignment="1">
      <alignment horizontal="left" vertical="center" wrapText="1" indent="1"/>
    </xf>
    <xf numFmtId="0" fontId="26" fillId="0" borderId="18" xfId="41" applyFont="1" applyBorder="1" applyAlignment="1">
      <alignment horizontal="left" vertical="center" wrapText="1" indent="1"/>
    </xf>
    <xf numFmtId="164" fontId="34" fillId="0" borderId="17" xfId="38" applyNumberFormat="1" applyFont="1" applyBorder="1" applyAlignment="1" applyProtection="1">
      <alignment vertical="center" wrapText="1"/>
      <protection locked="0"/>
    </xf>
    <xf numFmtId="0" fontId="38" fillId="0" borderId="27" xfId="38" applyFont="1" applyBorder="1" applyAlignment="1">
      <alignment horizontal="center" vertical="center" wrapText="1"/>
    </xf>
    <xf numFmtId="0" fontId="39" fillId="0" borderId="37" xfId="38" applyFont="1" applyBorder="1" applyAlignment="1">
      <alignment horizontal="center" wrapText="1"/>
    </xf>
    <xf numFmtId="0" fontId="39" fillId="0" borderId="44" xfId="38" applyFont="1" applyBorder="1" applyAlignment="1">
      <alignment horizontal="center" wrapText="1"/>
    </xf>
    <xf numFmtId="0" fontId="34" fillId="0" borderId="44" xfId="41" applyFont="1" applyBorder="1" applyAlignment="1">
      <alignment horizontal="left" vertical="center" wrapText="1" indent="1"/>
    </xf>
    <xf numFmtId="0" fontId="40" fillId="0" borderId="44" xfId="38" applyFont="1" applyBorder="1" applyAlignment="1">
      <alignment horizontal="center" wrapText="1"/>
    </xf>
    <xf numFmtId="0" fontId="41" fillId="0" borderId="44" xfId="38" applyFont="1" applyBorder="1" applyAlignment="1">
      <alignment horizontal="left" wrapText="1" indent="1"/>
    </xf>
    <xf numFmtId="0" fontId="36" fillId="0" borderId="14" xfId="38" applyFont="1" applyBorder="1" applyAlignment="1">
      <alignment horizontal="center" vertical="center" wrapText="1"/>
    </xf>
    <xf numFmtId="0" fontId="36" fillId="0" borderId="0" xfId="38" applyFont="1" applyAlignment="1">
      <alignment horizontal="center" vertical="center" wrapText="1"/>
    </xf>
    <xf numFmtId="0" fontId="29" fillId="0" borderId="0" xfId="38" applyFont="1" applyAlignment="1">
      <alignment horizontal="left" vertical="center" wrapText="1" indent="1"/>
    </xf>
    <xf numFmtId="0" fontId="29" fillId="0" borderId="15" xfId="38" applyFont="1" applyBorder="1" applyAlignment="1">
      <alignment horizontal="left" vertical="center" wrapText="1" indent="1"/>
    </xf>
    <xf numFmtId="0" fontId="36" fillId="0" borderId="14" xfId="38" applyFont="1" applyBorder="1" applyAlignment="1">
      <alignment horizontal="left" vertical="center" wrapText="1"/>
    </xf>
    <xf numFmtId="0" fontId="36" fillId="0" borderId="0" xfId="38" applyFont="1" applyAlignment="1">
      <alignment vertical="center" wrapText="1"/>
    </xf>
    <xf numFmtId="0" fontId="36" fillId="0" borderId="15" xfId="38" applyFont="1" applyBorder="1" applyAlignment="1">
      <alignment vertical="center" wrapText="1"/>
    </xf>
    <xf numFmtId="0" fontId="32" fillId="0" borderId="37" xfId="41" applyFont="1" applyBorder="1" applyAlignment="1">
      <alignment horizontal="left" vertical="center" wrapText="1" indent="1"/>
    </xf>
    <xf numFmtId="0" fontId="32" fillId="0" borderId="37" xfId="41" applyFont="1" applyBorder="1" applyAlignment="1">
      <alignment vertical="center" wrapText="1"/>
    </xf>
    <xf numFmtId="0" fontId="42" fillId="0" borderId="0" xfId="38" applyFont="1" applyAlignment="1">
      <alignment vertical="center" wrapText="1"/>
    </xf>
    <xf numFmtId="0" fontId="34" fillId="0" borderId="24" xfId="38" applyFont="1" applyBorder="1" applyAlignment="1">
      <alignment horizontal="center" vertical="center" wrapText="1"/>
    </xf>
    <xf numFmtId="0" fontId="34" fillId="0" borderId="10" xfId="38" applyFont="1" applyBorder="1" applyAlignment="1">
      <alignment horizontal="center" vertical="center" wrapText="1"/>
    </xf>
    <xf numFmtId="49" fontId="36" fillId="0" borderId="11" xfId="41" applyNumberFormat="1" applyFont="1" applyBorder="1" applyAlignment="1">
      <alignment horizontal="left" vertical="center" wrapText="1" indent="1"/>
    </xf>
    <xf numFmtId="0" fontId="34" fillId="0" borderId="23" xfId="38" applyFont="1" applyBorder="1" applyAlignment="1">
      <alignment horizontal="center" vertical="center" wrapText="1"/>
    </xf>
    <xf numFmtId="0" fontId="32" fillId="0" borderId="27" xfId="41" applyFont="1" applyBorder="1" applyAlignment="1">
      <alignment horizontal="left" vertical="center" wrapText="1" indent="1"/>
    </xf>
    <xf numFmtId="0" fontId="36" fillId="0" borderId="37" xfId="38" applyFont="1" applyBorder="1" applyAlignment="1">
      <alignment horizontal="center" vertical="center" wrapText="1"/>
    </xf>
    <xf numFmtId="0" fontId="29" fillId="0" borderId="37" xfId="38" applyFont="1" applyBorder="1" applyAlignment="1">
      <alignment horizontal="left" vertical="center" wrapText="1" indent="1"/>
    </xf>
    <xf numFmtId="0" fontId="24" fillId="0" borderId="14" xfId="38" applyBorder="1" applyAlignment="1">
      <alignment horizontal="left" vertical="center" wrapText="1"/>
    </xf>
    <xf numFmtId="0" fontId="24" fillId="0" borderId="15" xfId="38" applyBorder="1" applyAlignment="1">
      <alignment vertical="center" wrapText="1"/>
    </xf>
    <xf numFmtId="0" fontId="31" fillId="0" borderId="36" xfId="38" applyFont="1" applyBorder="1" applyAlignment="1">
      <alignment horizontal="left" vertical="center"/>
    </xf>
    <xf numFmtId="0" fontId="43" fillId="0" borderId="36" xfId="38" applyFont="1" applyBorder="1" applyAlignment="1">
      <alignment vertical="center" wrapText="1"/>
    </xf>
    <xf numFmtId="0" fontId="31" fillId="0" borderId="44" xfId="38" applyFont="1" applyBorder="1" applyAlignment="1">
      <alignment vertical="center" wrapText="1"/>
    </xf>
    <xf numFmtId="0" fontId="32" fillId="0" borderId="33" xfId="38" applyFont="1" applyBorder="1" applyAlignment="1">
      <alignment horizontal="right" vertical="center" wrapText="1"/>
    </xf>
    <xf numFmtId="0" fontId="31" fillId="0" borderId="27" xfId="38" applyFont="1" applyBorder="1" applyAlignment="1">
      <alignment horizontal="left" vertical="center"/>
    </xf>
    <xf numFmtId="0" fontId="43" fillId="0" borderId="39" xfId="38" applyFont="1" applyBorder="1" applyAlignment="1">
      <alignment vertical="center" wrapText="1"/>
    </xf>
    <xf numFmtId="0" fontId="31" fillId="0" borderId="33" xfId="38" applyFont="1" applyBorder="1" applyAlignment="1">
      <alignment horizontal="center" vertical="center" wrapText="1"/>
    </xf>
    <xf numFmtId="0" fontId="24" fillId="0" borderId="0" xfId="38" applyAlignment="1">
      <alignment horizontal="left" vertical="center" wrapText="1"/>
    </xf>
    <xf numFmtId="3" fontId="2" fillId="24" borderId="45" xfId="0" applyNumberFormat="1" applyFont="1" applyFill="1" applyBorder="1" applyAlignment="1">
      <alignment horizontal="center" vertical="center" wrapText="1"/>
    </xf>
    <xf numFmtId="3" fontId="2" fillId="24" borderId="4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right" vertical="center" wrapText="1"/>
    </xf>
    <xf numFmtId="0" fontId="2" fillId="1" borderId="36" xfId="0" applyFont="1" applyFill="1" applyBorder="1" applyAlignment="1">
      <alignment horizontal="center" vertical="center" wrapText="1"/>
    </xf>
    <xf numFmtId="0" fontId="2" fillId="24" borderId="3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3" fontId="2" fillId="0" borderId="41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0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8" xfId="0" applyNumberFormat="1" applyFont="1" applyBorder="1" applyAlignment="1">
      <alignment horizontal="left" vertical="center" wrapText="1"/>
    </xf>
    <xf numFmtId="3" fontId="3" fillId="0" borderId="18" xfId="0" applyNumberFormat="1" applyFont="1" applyBorder="1" applyAlignment="1">
      <alignment vertical="center"/>
    </xf>
    <xf numFmtId="3" fontId="2" fillId="24" borderId="27" xfId="0" applyNumberFormat="1" applyFont="1" applyFill="1" applyBorder="1" applyAlignment="1">
      <alignment vertical="center" wrapText="1"/>
    </xf>
    <xf numFmtId="3" fontId="2" fillId="24" borderId="37" xfId="0" applyNumberFormat="1" applyFont="1" applyFill="1" applyBorder="1" applyAlignment="1">
      <alignment horizontal="center" vertical="center"/>
    </xf>
    <xf numFmtId="3" fontId="2" fillId="24" borderId="37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24" borderId="48" xfId="0" applyNumberFormat="1" applyFont="1" applyFill="1" applyBorder="1" applyAlignment="1">
      <alignment vertical="center" wrapText="1"/>
    </xf>
    <xf numFmtId="0" fontId="2" fillId="24" borderId="49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3" fontId="3" fillId="0" borderId="11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2" fillId="0" borderId="25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3" fontId="3" fillId="0" borderId="29" xfId="0" applyNumberFormat="1" applyFont="1" applyBorder="1" applyAlignment="1">
      <alignment horizontal="right" vertical="center"/>
    </xf>
    <xf numFmtId="0" fontId="2" fillId="24" borderId="37" xfId="0" applyFont="1" applyFill="1" applyBorder="1" applyAlignment="1">
      <alignment horizontal="right" vertical="center"/>
    </xf>
    <xf numFmtId="0" fontId="2" fillId="0" borderId="32" xfId="0" applyFont="1" applyBorder="1" applyAlignment="1">
      <alignment horizontal="right" vertical="center" wrapText="1"/>
    </xf>
    <xf numFmtId="0" fontId="2" fillId="0" borderId="46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2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right" vertical="center"/>
    </xf>
    <xf numFmtId="0" fontId="2" fillId="1" borderId="37" xfId="0" applyFont="1" applyFill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2" fillId="1" borderId="44" xfId="0" applyFont="1" applyFill="1" applyBorder="1" applyAlignment="1">
      <alignment horizontal="right" vertical="center"/>
    </xf>
    <xf numFmtId="3" fontId="2" fillId="1" borderId="3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4" borderId="27" xfId="0" applyFont="1" applyFill="1" applyBorder="1" applyAlignment="1">
      <alignment horizontal="right" vertical="center"/>
    </xf>
    <xf numFmtId="3" fontId="2" fillId="0" borderId="53" xfId="0" applyNumberFormat="1" applyFont="1" applyBorder="1" applyAlignment="1">
      <alignment horizontal="right" vertical="center" wrapText="1"/>
    </xf>
    <xf numFmtId="0" fontId="34" fillId="0" borderId="36" xfId="38" applyFont="1" applyBorder="1" applyAlignment="1">
      <alignment vertical="center" wrapText="1"/>
    </xf>
    <xf numFmtId="0" fontId="32" fillId="0" borderId="21" xfId="38" applyFont="1" applyBorder="1" applyAlignment="1">
      <alignment horizontal="center" vertical="center" wrapText="1"/>
    </xf>
    <xf numFmtId="49" fontId="36" fillId="0" borderId="19" xfId="38" applyNumberFormat="1" applyFont="1" applyBorder="1" applyAlignment="1">
      <alignment horizontal="center" vertical="center" wrapText="1"/>
    </xf>
    <xf numFmtId="0" fontId="36" fillId="0" borderId="26" xfId="41" applyFont="1" applyBorder="1" applyAlignment="1">
      <alignment horizontal="left" vertical="center" wrapText="1" indent="1"/>
    </xf>
    <xf numFmtId="164" fontId="26" fillId="0" borderId="50" xfId="38" applyNumberFormat="1" applyFont="1" applyBorder="1" applyAlignment="1" applyProtection="1">
      <alignment vertical="center" wrapText="1"/>
      <protection locked="0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0" fontId="21" fillId="0" borderId="0" xfId="40" applyAlignment="1">
      <alignment horizontal="center"/>
    </xf>
    <xf numFmtId="3" fontId="2" fillId="24" borderId="62" xfId="0" applyNumberFormat="1" applyFont="1" applyFill="1" applyBorder="1" applyAlignment="1">
      <alignment vertical="center" wrapText="1"/>
    </xf>
    <xf numFmtId="3" fontId="2" fillId="24" borderId="34" xfId="0" applyNumberFormat="1" applyFont="1" applyFill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/>
    </xf>
    <xf numFmtId="0" fontId="21" fillId="0" borderId="65" xfId="39" applyBorder="1"/>
    <xf numFmtId="0" fontId="21" fillId="0" borderId="12" xfId="39" applyBorder="1"/>
    <xf numFmtId="0" fontId="21" fillId="0" borderId="38" xfId="39" applyBorder="1"/>
    <xf numFmtId="0" fontId="21" fillId="0" borderId="71" xfId="39" applyBorder="1"/>
    <xf numFmtId="0" fontId="21" fillId="0" borderId="55" xfId="39" applyBorder="1"/>
    <xf numFmtId="0" fontId="21" fillId="0" borderId="45" xfId="39" applyBorder="1"/>
    <xf numFmtId="0" fontId="21" fillId="0" borderId="43" xfId="39" applyBorder="1"/>
    <xf numFmtId="0" fontId="46" fillId="0" borderId="48" xfId="39" applyFont="1" applyBorder="1"/>
    <xf numFmtId="0" fontId="47" fillId="0" borderId="48" xfId="39" applyFont="1" applyBorder="1"/>
    <xf numFmtId="0" fontId="21" fillId="0" borderId="48" xfId="39" applyBorder="1"/>
    <xf numFmtId="0" fontId="46" fillId="0" borderId="48" xfId="39" applyFont="1" applyBorder="1" applyAlignment="1">
      <alignment wrapText="1"/>
    </xf>
    <xf numFmtId="0" fontId="46" fillId="0" borderId="71" xfId="39" applyFont="1" applyBorder="1"/>
    <xf numFmtId="0" fontId="46" fillId="0" borderId="34" xfId="39" applyFont="1" applyBorder="1"/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3" fillId="0" borderId="69" xfId="0" applyFont="1" applyBorder="1" applyAlignment="1">
      <alignment horizontal="right" vertical="center" wrapText="1"/>
    </xf>
    <xf numFmtId="0" fontId="3" fillId="0" borderId="73" xfId="0" applyFont="1" applyBorder="1" applyAlignment="1">
      <alignment horizontal="right" vertical="center" wrapText="1"/>
    </xf>
    <xf numFmtId="0" fontId="3" fillId="0" borderId="7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3" fillId="0" borderId="74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7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51" fillId="0" borderId="3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78" xfId="0" applyFont="1" applyBorder="1" applyAlignment="1">
      <alignment horizontal="center" vertical="center" wrapText="1"/>
    </xf>
    <xf numFmtId="0" fontId="53" fillId="0" borderId="75" xfId="0" applyFont="1" applyBorder="1" applyAlignment="1">
      <alignment vertical="center" wrapText="1"/>
    </xf>
    <xf numFmtId="0" fontId="53" fillId="0" borderId="69" xfId="0" applyFont="1" applyBorder="1" applyAlignment="1">
      <alignment vertical="center" wrapText="1"/>
    </xf>
    <xf numFmtId="49" fontId="3" fillId="0" borderId="69" xfId="0" applyNumberFormat="1" applyFont="1" applyBorder="1" applyAlignment="1">
      <alignment horizontal="center"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0" fontId="53" fillId="0" borderId="76" xfId="0" applyFont="1" applyBorder="1" applyAlignment="1">
      <alignment vertical="center"/>
    </xf>
    <xf numFmtId="0" fontId="53" fillId="0" borderId="75" xfId="0" applyFont="1" applyBorder="1" applyAlignment="1">
      <alignment vertical="center"/>
    </xf>
    <xf numFmtId="0" fontId="46" fillId="0" borderId="70" xfId="39" applyFont="1" applyBorder="1" applyAlignment="1">
      <alignment horizontal="left" wrapText="1"/>
    </xf>
    <xf numFmtId="0" fontId="48" fillId="0" borderId="48" xfId="39" applyFont="1" applyBorder="1"/>
    <xf numFmtId="0" fontId="48" fillId="0" borderId="70" xfId="39" applyFont="1" applyBorder="1" applyAlignment="1">
      <alignment wrapText="1"/>
    </xf>
    <xf numFmtId="0" fontId="3" fillId="0" borderId="54" xfId="0" applyFont="1" applyBorder="1" applyAlignment="1">
      <alignment horizontal="right" vertical="center" wrapText="1"/>
    </xf>
    <xf numFmtId="0" fontId="53" fillId="0" borderId="54" xfId="0" applyFont="1" applyBorder="1" applyAlignment="1">
      <alignment horizontal="right" vertical="center" wrapText="1"/>
    </xf>
    <xf numFmtId="0" fontId="2" fillId="0" borderId="54" xfId="0" applyFont="1" applyBorder="1" applyAlignment="1">
      <alignment vertical="center" wrapText="1"/>
    </xf>
    <xf numFmtId="3" fontId="3" fillId="0" borderId="32" xfId="0" applyNumberFormat="1" applyFont="1" applyBorder="1" applyAlignment="1">
      <alignment horizontal="right" vertical="center"/>
    </xf>
    <xf numFmtId="3" fontId="2" fillId="1" borderId="44" xfId="0" applyNumberFormat="1" applyFont="1" applyFill="1" applyBorder="1" applyAlignment="1">
      <alignment horizontal="right" vertical="center"/>
    </xf>
    <xf numFmtId="3" fontId="21" fillId="0" borderId="16" xfId="39" applyNumberFormat="1" applyBorder="1"/>
    <xf numFmtId="3" fontId="21" fillId="0" borderId="42" xfId="39" applyNumberFormat="1" applyBorder="1"/>
    <xf numFmtId="3" fontId="21" fillId="0" borderId="56" xfId="39" applyNumberFormat="1" applyBorder="1"/>
    <xf numFmtId="3" fontId="21" fillId="0" borderId="17" xfId="39" applyNumberFormat="1" applyBorder="1"/>
    <xf numFmtId="3" fontId="21" fillId="0" borderId="60" xfId="39" applyNumberFormat="1" applyBorder="1"/>
    <xf numFmtId="3" fontId="3" fillId="0" borderId="11" xfId="0" applyNumberFormat="1" applyFont="1" applyBorder="1" applyAlignment="1">
      <alignment vertical="center"/>
    </xf>
    <xf numFmtId="3" fontId="2" fillId="0" borderId="59" xfId="0" applyNumberFormat="1" applyFont="1" applyBorder="1" applyAlignment="1">
      <alignment vertical="center"/>
    </xf>
    <xf numFmtId="3" fontId="3" fillId="0" borderId="29" xfId="0" applyNumberFormat="1" applyFont="1" applyBorder="1" applyAlignment="1">
      <alignment vertical="center"/>
    </xf>
    <xf numFmtId="3" fontId="2" fillId="24" borderId="33" xfId="0" applyNumberFormat="1" applyFont="1" applyFill="1" applyBorder="1" applyAlignment="1">
      <alignment vertical="center"/>
    </xf>
    <xf numFmtId="3" fontId="3" fillId="0" borderId="24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vertical="center"/>
    </xf>
    <xf numFmtId="3" fontId="3" fillId="0" borderId="69" xfId="0" applyNumberFormat="1" applyFont="1" applyBorder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59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/>
    </xf>
    <xf numFmtId="3" fontId="2" fillId="24" borderId="37" xfId="0" applyNumberFormat="1" applyFont="1" applyFill="1" applyBorder="1" applyAlignment="1">
      <alignment horizontal="right" vertical="center"/>
    </xf>
    <xf numFmtId="3" fontId="2" fillId="24" borderId="27" xfId="0" applyNumberFormat="1" applyFont="1" applyFill="1" applyBorder="1" applyAlignment="1">
      <alignment horizontal="right" vertical="center"/>
    </xf>
    <xf numFmtId="3" fontId="3" fillId="0" borderId="47" xfId="0" applyNumberFormat="1" applyFont="1" applyBorder="1" applyAlignment="1">
      <alignment horizontal="right" vertical="center" wrapText="1"/>
    </xf>
    <xf numFmtId="0" fontId="21" fillId="0" borderId="11" xfId="40" applyBorder="1"/>
    <xf numFmtId="0" fontId="46" fillId="0" borderId="11" xfId="40" applyFont="1" applyBorder="1"/>
    <xf numFmtId="3" fontId="21" fillId="0" borderId="11" xfId="40" applyNumberFormat="1" applyBorder="1" applyAlignment="1">
      <alignment horizontal="center"/>
    </xf>
    <xf numFmtId="0" fontId="21" fillId="0" borderId="11" xfId="40" applyBorder="1" applyAlignment="1">
      <alignment horizontal="center"/>
    </xf>
    <xf numFmtId="3" fontId="21" fillId="0" borderId="11" xfId="40" applyNumberFormat="1" applyBorder="1"/>
    <xf numFmtId="0" fontId="48" fillId="0" borderId="11" xfId="40" applyFont="1" applyBorder="1"/>
    <xf numFmtId="0" fontId="46" fillId="0" borderId="64" xfId="40" applyFont="1" applyBorder="1"/>
    <xf numFmtId="0" fontId="46" fillId="0" borderId="79" xfId="40" applyFont="1" applyBorder="1" applyAlignment="1">
      <alignment horizontal="center"/>
    </xf>
    <xf numFmtId="0" fontId="46" fillId="0" borderId="46" xfId="4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46" fillId="0" borderId="11" xfId="40" applyFont="1" applyBorder="1" applyAlignment="1">
      <alignment horizontal="center"/>
    </xf>
    <xf numFmtId="0" fontId="29" fillId="0" borderId="36" xfId="38" applyFont="1" applyBorder="1" applyAlignment="1">
      <alignment horizontal="center" vertical="center" wrapText="1"/>
    </xf>
    <xf numFmtId="0" fontId="29" fillId="0" borderId="39" xfId="38" applyFont="1" applyBorder="1" applyAlignment="1">
      <alignment horizontal="center" vertical="center" wrapText="1"/>
    </xf>
    <xf numFmtId="3" fontId="2" fillId="24" borderId="29" xfId="0" applyNumberFormat="1" applyFont="1" applyFill="1" applyBorder="1" applyAlignment="1">
      <alignment horizontal="center" vertical="center" wrapText="1"/>
    </xf>
    <xf numFmtId="3" fontId="21" fillId="0" borderId="11" xfId="40" applyNumberFormat="1" applyBorder="1" applyAlignment="1">
      <alignment horizontal="right"/>
    </xf>
    <xf numFmtId="3" fontId="46" fillId="0" borderId="11" xfId="40" applyNumberFormat="1" applyFont="1" applyBorder="1" applyAlignment="1">
      <alignment horizontal="center"/>
    </xf>
    <xf numFmtId="3" fontId="46" fillId="0" borderId="79" xfId="40" applyNumberFormat="1" applyFont="1" applyBorder="1" applyAlignment="1">
      <alignment horizontal="center"/>
    </xf>
    <xf numFmtId="0" fontId="46" fillId="0" borderId="0" xfId="40" applyFont="1"/>
    <xf numFmtId="3" fontId="46" fillId="0" borderId="11" xfId="40" applyNumberFormat="1" applyFont="1" applyBorder="1"/>
    <xf numFmtId="0" fontId="21" fillId="0" borderId="0" xfId="39" applyAlignment="1">
      <alignment horizontal="center"/>
    </xf>
    <xf numFmtId="0" fontId="21" fillId="0" borderId="0" xfId="39" applyAlignment="1">
      <alignment horizontal="right"/>
    </xf>
    <xf numFmtId="0" fontId="48" fillId="0" borderId="0" xfId="39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41" xfId="0" applyNumberFormat="1" applyFont="1" applyFill="1" applyBorder="1" applyAlignment="1">
      <alignment horizontal="center" vertical="center"/>
    </xf>
    <xf numFmtId="3" fontId="2" fillId="24" borderId="31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1" xfId="0" applyNumberFormat="1" applyFont="1" applyFill="1" applyBorder="1" applyAlignment="1">
      <alignment horizontal="center" vertical="center"/>
    </xf>
    <xf numFmtId="3" fontId="2" fillId="24" borderId="58" xfId="0" applyNumberFormat="1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3" fontId="2" fillId="24" borderId="26" xfId="0" applyNumberFormat="1" applyFont="1" applyFill="1" applyBorder="1" applyAlignment="1">
      <alignment horizontal="center" vertical="center" wrapText="1"/>
    </xf>
    <xf numFmtId="3" fontId="2" fillId="24" borderId="42" xfId="0" applyNumberFormat="1" applyFont="1" applyFill="1" applyBorder="1" applyAlignment="1">
      <alignment horizontal="center" vertical="center" wrapText="1"/>
    </xf>
    <xf numFmtId="3" fontId="2" fillId="24" borderId="50" xfId="0" applyNumberFormat="1" applyFont="1" applyFill="1" applyBorder="1" applyAlignment="1">
      <alignment horizontal="center" vertical="center" wrapText="1"/>
    </xf>
    <xf numFmtId="3" fontId="2" fillId="24" borderId="29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left" vertical="center"/>
    </xf>
    <xf numFmtId="0" fontId="2" fillId="24" borderId="4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3" fillId="0" borderId="11" xfId="0" applyFont="1" applyBorder="1"/>
    <xf numFmtId="0" fontId="2" fillId="0" borderId="11" xfId="0" applyFont="1" applyBorder="1" applyAlignment="1">
      <alignment horizontal="left" vertical="center"/>
    </xf>
    <xf numFmtId="0" fontId="2" fillId="1" borderId="40" xfId="0" applyFont="1" applyFill="1" applyBorder="1" applyAlignment="1">
      <alignment horizontal="left" vertical="center"/>
    </xf>
    <xf numFmtId="0" fontId="2" fillId="1" borderId="44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4" xfId="0" applyFont="1" applyFill="1" applyBorder="1" applyAlignment="1">
      <alignment horizontal="center" vertical="center" wrapText="1"/>
    </xf>
    <xf numFmtId="0" fontId="2" fillId="24" borderId="64" xfId="0" applyFont="1" applyFill="1" applyBorder="1" applyAlignment="1">
      <alignment horizontal="center" vertical="center" wrapText="1"/>
    </xf>
    <xf numFmtId="3" fontId="45" fillId="24" borderId="11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/>
    </xf>
    <xf numFmtId="0" fontId="2" fillId="1" borderId="37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3" fontId="2" fillId="24" borderId="60" xfId="0" applyNumberFormat="1" applyFont="1" applyFill="1" applyBorder="1" applyAlignment="1">
      <alignment horizontal="center" vertical="center" wrapText="1"/>
    </xf>
    <xf numFmtId="3" fontId="2" fillId="24" borderId="61" xfId="0" applyNumberFormat="1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center" vertical="center" wrapText="1"/>
    </xf>
    <xf numFmtId="0" fontId="2" fillId="24" borderId="65" xfId="0" applyFont="1" applyFill="1" applyBorder="1" applyAlignment="1">
      <alignment horizontal="center" vertical="center" wrapText="1"/>
    </xf>
    <xf numFmtId="3" fontId="2" fillId="24" borderId="62" xfId="0" applyNumberFormat="1" applyFont="1" applyFill="1" applyBorder="1" applyAlignment="1">
      <alignment horizontal="center" vertical="center"/>
    </xf>
    <xf numFmtId="3" fontId="2" fillId="24" borderId="63" xfId="0" applyNumberFormat="1" applyFont="1" applyFill="1" applyBorder="1" applyAlignment="1">
      <alignment horizontal="center" vertical="center"/>
    </xf>
    <xf numFmtId="3" fontId="2" fillId="24" borderId="59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2" fillId="24" borderId="66" xfId="0" applyFont="1" applyFill="1" applyBorder="1" applyAlignment="1">
      <alignment horizontal="center" vertical="center" wrapText="1"/>
    </xf>
    <xf numFmtId="0" fontId="2" fillId="24" borderId="57" xfId="0" applyFont="1" applyFill="1" applyBorder="1" applyAlignment="1">
      <alignment horizontal="center" vertical="center" wrapText="1"/>
    </xf>
    <xf numFmtId="0" fontId="2" fillId="24" borderId="67" xfId="0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/>
    </xf>
    <xf numFmtId="3" fontId="2" fillId="24" borderId="36" xfId="0" applyNumberFormat="1" applyFont="1" applyFill="1" applyBorder="1" applyAlignment="1">
      <alignment horizontal="center" vertical="center" shrinkToFit="1"/>
    </xf>
    <xf numFmtId="3" fontId="2" fillId="24" borderId="68" xfId="0" applyNumberFormat="1" applyFont="1" applyFill="1" applyBorder="1" applyAlignment="1">
      <alignment horizontal="center" vertical="center" shrinkToFit="1"/>
    </xf>
    <xf numFmtId="0" fontId="2" fillId="1" borderId="36" xfId="0" applyFont="1" applyFill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2" fillId="24" borderId="68" xfId="0" applyFont="1" applyFill="1" applyBorder="1" applyAlignment="1">
      <alignment horizontal="left" vertical="center"/>
    </xf>
    <xf numFmtId="0" fontId="2" fillId="24" borderId="36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25" borderId="40" xfId="0" applyFont="1" applyFill="1" applyBorder="1" applyAlignment="1">
      <alignment horizontal="left" vertical="center"/>
    </xf>
    <xf numFmtId="0" fontId="2" fillId="25" borderId="44" xfId="0" applyFont="1" applyFill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top" wrapText="1"/>
    </xf>
    <xf numFmtId="0" fontId="46" fillId="0" borderId="11" xfId="40" applyFont="1" applyBorder="1" applyAlignment="1">
      <alignment horizontal="center"/>
    </xf>
    <xf numFmtId="0" fontId="48" fillId="0" borderId="0" xfId="40" applyFont="1" applyAlignment="1">
      <alignment horizontal="right"/>
    </xf>
    <xf numFmtId="0" fontId="48" fillId="0" borderId="0" xfId="40" applyFont="1" applyAlignment="1">
      <alignment horizontal="center"/>
    </xf>
    <xf numFmtId="164" fontId="28" fillId="0" borderId="0" xfId="38" applyNumberFormat="1" applyFont="1" applyAlignment="1" applyProtection="1">
      <alignment horizontal="right" vertical="center" wrapText="1"/>
      <protection locked="0"/>
    </xf>
    <xf numFmtId="0" fontId="44" fillId="0" borderId="0" xfId="38" applyFont="1" applyAlignment="1">
      <alignment horizontal="left" vertical="top" wrapText="1"/>
    </xf>
    <xf numFmtId="0" fontId="29" fillId="0" borderId="62" xfId="38" applyFont="1" applyBorder="1" applyAlignment="1">
      <alignment horizontal="center" vertical="center" wrapText="1"/>
    </xf>
    <xf numFmtId="0" fontId="29" fillId="0" borderId="63" xfId="38" applyFont="1" applyBorder="1" applyAlignment="1">
      <alignment horizontal="center" vertical="center" wrapText="1"/>
    </xf>
    <xf numFmtId="0" fontId="29" fillId="0" borderId="36" xfId="38" applyFont="1" applyBorder="1" applyAlignment="1">
      <alignment horizontal="center" vertical="center" wrapText="1"/>
    </xf>
    <xf numFmtId="0" fontId="29" fillId="0" borderId="44" xfId="38" applyFont="1" applyBorder="1" applyAlignment="1">
      <alignment horizontal="center" vertical="center" wrapText="1"/>
    </xf>
    <xf numFmtId="0" fontId="29" fillId="0" borderId="68" xfId="38" applyFont="1" applyBorder="1" applyAlignment="1">
      <alignment horizontal="center" vertical="center" wrapText="1"/>
    </xf>
    <xf numFmtId="0" fontId="29" fillId="0" borderId="39" xfId="38" applyFont="1" applyBorder="1" applyAlignment="1">
      <alignment horizontal="center" vertical="center" wrapText="1"/>
    </xf>
    <xf numFmtId="0" fontId="29" fillId="0" borderId="62" xfId="38" applyFont="1" applyBorder="1" applyAlignment="1" applyProtection="1">
      <alignment horizontal="center" vertical="center"/>
      <protection locked="0"/>
    </xf>
    <xf numFmtId="0" fontId="29" fillId="0" borderId="59" xfId="38" applyFont="1" applyBorder="1" applyAlignment="1" applyProtection="1">
      <alignment horizontal="center" vertical="center"/>
      <protection locked="0"/>
    </xf>
    <xf numFmtId="0" fontId="29" fillId="0" borderId="64" xfId="38" applyFont="1" applyBorder="1" applyAlignment="1" applyProtection="1">
      <alignment horizontal="center" vertical="center"/>
      <protection locked="0"/>
    </xf>
    <xf numFmtId="0" fontId="29" fillId="0" borderId="69" xfId="38" applyFont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KVRENMUNKA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view="pageBreakPreview" zoomScale="130" zoomScaleNormal="100" zoomScaleSheetLayoutView="130" workbookViewId="0">
      <selection sqref="A1:D1"/>
    </sheetView>
  </sheetViews>
  <sheetFormatPr defaultRowHeight="12.75" x14ac:dyDescent="0.2"/>
  <cols>
    <col min="1" max="1" width="47.5703125" style="144" customWidth="1"/>
    <col min="2" max="5" width="18.7109375" style="144" customWidth="1"/>
    <col min="6" max="16384" width="9.140625" style="144"/>
  </cols>
  <sheetData>
    <row r="1" spans="1:5" x14ac:dyDescent="0.2">
      <c r="A1" s="284" t="s">
        <v>287</v>
      </c>
      <c r="B1" s="284"/>
      <c r="C1" s="284"/>
      <c r="D1" s="284"/>
    </row>
    <row r="2" spans="1:5" x14ac:dyDescent="0.2">
      <c r="A2" s="283"/>
      <c r="B2" s="283"/>
      <c r="C2" s="283"/>
      <c r="D2" s="283"/>
    </row>
    <row r="3" spans="1:5" x14ac:dyDescent="0.2">
      <c r="A3" s="285" t="s">
        <v>284</v>
      </c>
      <c r="B3" s="285"/>
      <c r="C3" s="285"/>
      <c r="D3" s="285"/>
    </row>
    <row r="4" spans="1:5" ht="13.5" thickBot="1" x14ac:dyDescent="0.25">
      <c r="A4" s="193"/>
      <c r="B4" s="193"/>
      <c r="C4" s="193"/>
      <c r="D4" s="193"/>
      <c r="E4" s="193"/>
    </row>
    <row r="5" spans="1:5" x14ac:dyDescent="0.2">
      <c r="A5" s="194" t="s">
        <v>131</v>
      </c>
      <c r="B5" s="195" t="s">
        <v>132</v>
      </c>
      <c r="C5" s="195" t="s">
        <v>133</v>
      </c>
      <c r="D5" s="198" t="s">
        <v>134</v>
      </c>
      <c r="E5" s="195" t="s">
        <v>286</v>
      </c>
    </row>
    <row r="6" spans="1:5" x14ac:dyDescent="0.2">
      <c r="A6" s="196"/>
      <c r="B6" s="197"/>
      <c r="C6" s="197"/>
      <c r="D6" s="199"/>
      <c r="E6" s="197"/>
    </row>
    <row r="7" spans="1:5" ht="13.5" customHeight="1" x14ac:dyDescent="0.2">
      <c r="A7" s="200" t="s">
        <v>135</v>
      </c>
      <c r="B7" s="240">
        <f>SUM(B8:B9)</f>
        <v>23075966</v>
      </c>
      <c r="C7" s="240">
        <f>SUM(C8:C9)</f>
        <v>23075966</v>
      </c>
      <c r="D7" s="241">
        <f>SUM(D8,D9)</f>
        <v>0</v>
      </c>
      <c r="E7" s="240">
        <f>SUM(E8:E9)</f>
        <v>24648176</v>
      </c>
    </row>
    <row r="8" spans="1:5" ht="13.5" customHeight="1" x14ac:dyDescent="0.2">
      <c r="A8" s="201" t="s">
        <v>136</v>
      </c>
      <c r="B8" s="240">
        <v>7675966</v>
      </c>
      <c r="C8" s="240">
        <v>7675966</v>
      </c>
      <c r="D8" s="241"/>
      <c r="E8" s="240">
        <f>7695966-547790</f>
        <v>7148176</v>
      </c>
    </row>
    <row r="9" spans="1:5" ht="13.5" customHeight="1" x14ac:dyDescent="0.2">
      <c r="A9" s="201" t="s">
        <v>137</v>
      </c>
      <c r="B9" s="240">
        <f>SUM(B10:B13)</f>
        <v>15400000</v>
      </c>
      <c r="C9" s="240">
        <f>SUM(C10:C13)</f>
        <v>15400000</v>
      </c>
      <c r="D9" s="241">
        <f>SUM(D10:D13)</f>
        <v>0</v>
      </c>
      <c r="E9" s="240">
        <f>SUM(E10:E13)</f>
        <v>17500000</v>
      </c>
    </row>
    <row r="10" spans="1:5" ht="13.5" customHeight="1" x14ac:dyDescent="0.2">
      <c r="A10" s="202" t="s">
        <v>138</v>
      </c>
      <c r="B10" s="240">
        <v>13000000</v>
      </c>
      <c r="C10" s="240">
        <v>13000000</v>
      </c>
      <c r="D10" s="241"/>
      <c r="E10" s="240">
        <v>13000000</v>
      </c>
    </row>
    <row r="11" spans="1:5" ht="13.5" customHeight="1" x14ac:dyDescent="0.2">
      <c r="A11" s="202" t="s">
        <v>139</v>
      </c>
      <c r="B11" s="240">
        <v>1800000</v>
      </c>
      <c r="C11" s="240">
        <v>1800000</v>
      </c>
      <c r="D11" s="241"/>
      <c r="E11" s="240">
        <v>1800000</v>
      </c>
    </row>
    <row r="12" spans="1:5" ht="13.5" customHeight="1" x14ac:dyDescent="0.2">
      <c r="A12" s="202" t="s">
        <v>140</v>
      </c>
      <c r="B12" s="240">
        <v>100000</v>
      </c>
      <c r="C12" s="240">
        <v>100000</v>
      </c>
      <c r="D12" s="241"/>
      <c r="E12" s="240">
        <v>100000</v>
      </c>
    </row>
    <row r="13" spans="1:5" ht="13.5" customHeight="1" x14ac:dyDescent="0.2">
      <c r="A13" s="202" t="s">
        <v>141</v>
      </c>
      <c r="B13" s="240">
        <v>500000</v>
      </c>
      <c r="C13" s="240">
        <v>500000</v>
      </c>
      <c r="D13" s="241"/>
      <c r="E13" s="240">
        <v>2600000</v>
      </c>
    </row>
    <row r="14" spans="1:5" ht="25.5" x14ac:dyDescent="0.2">
      <c r="A14" s="232" t="s">
        <v>200</v>
      </c>
      <c r="B14" s="242">
        <f>SUM(B15:B31)</f>
        <v>64421252</v>
      </c>
      <c r="C14" s="242">
        <f>SUM(C15:C31)</f>
        <v>64421252</v>
      </c>
      <c r="D14" s="242">
        <f>SUM(D15:D31)</f>
        <v>0</v>
      </c>
      <c r="E14" s="242">
        <f>SUM(E15:E31)</f>
        <v>64595252</v>
      </c>
    </row>
    <row r="15" spans="1:5" ht="13.5" customHeight="1" x14ac:dyDescent="0.2">
      <c r="A15" s="202" t="s">
        <v>142</v>
      </c>
      <c r="B15" s="240"/>
      <c r="C15" s="240"/>
      <c r="D15" s="241"/>
      <c r="E15" s="240"/>
    </row>
    <row r="16" spans="1:5" ht="13.5" customHeight="1" x14ac:dyDescent="0.2">
      <c r="A16" s="233" t="s">
        <v>237</v>
      </c>
      <c r="B16" s="240">
        <v>7889740</v>
      </c>
      <c r="C16" s="240">
        <v>7889740</v>
      </c>
      <c r="D16" s="241"/>
      <c r="E16" s="240">
        <v>7889740</v>
      </c>
    </row>
    <row r="17" spans="1:5" ht="13.5" customHeight="1" x14ac:dyDescent="0.2">
      <c r="A17" s="233" t="s">
        <v>238</v>
      </c>
      <c r="B17" s="240">
        <v>3968000</v>
      </c>
      <c r="C17" s="240">
        <v>3968000</v>
      </c>
      <c r="D17" s="241"/>
      <c r="E17" s="240">
        <v>3968000</v>
      </c>
    </row>
    <row r="18" spans="1:5" ht="13.5" customHeight="1" x14ac:dyDescent="0.2">
      <c r="A18" s="233" t="s">
        <v>244</v>
      </c>
      <c r="B18" s="240">
        <v>100000</v>
      </c>
      <c r="C18" s="240">
        <v>100000</v>
      </c>
      <c r="D18" s="241"/>
      <c r="E18" s="240">
        <v>100000</v>
      </c>
    </row>
    <row r="19" spans="1:5" ht="13.5" customHeight="1" x14ac:dyDescent="0.2">
      <c r="A19" s="202" t="s">
        <v>143</v>
      </c>
      <c r="B19" s="240">
        <v>3037260</v>
      </c>
      <c r="C19" s="240">
        <v>3037260</v>
      </c>
      <c r="D19" s="241"/>
      <c r="E19" s="240">
        <v>3037260</v>
      </c>
    </row>
    <row r="20" spans="1:5" ht="13.5" customHeight="1" x14ac:dyDescent="0.2">
      <c r="A20" s="202" t="s">
        <v>274</v>
      </c>
      <c r="B20" s="240">
        <v>585200</v>
      </c>
      <c r="C20" s="240">
        <v>585200</v>
      </c>
      <c r="D20" s="241"/>
      <c r="E20" s="240">
        <v>585200</v>
      </c>
    </row>
    <row r="21" spans="1:5" ht="13.5" customHeight="1" x14ac:dyDescent="0.2">
      <c r="A21" s="202" t="s">
        <v>144</v>
      </c>
      <c r="B21" s="240">
        <v>13997750</v>
      </c>
      <c r="C21" s="240">
        <v>13997750</v>
      </c>
      <c r="D21" s="241"/>
      <c r="E21" s="240">
        <v>13997750</v>
      </c>
    </row>
    <row r="22" spans="1:5" ht="13.5" customHeight="1" x14ac:dyDescent="0.2">
      <c r="A22" s="202" t="s">
        <v>145</v>
      </c>
      <c r="B22" s="240">
        <v>7217700</v>
      </c>
      <c r="C22" s="240">
        <v>7217700</v>
      </c>
      <c r="D22" s="241"/>
      <c r="E22" s="240">
        <v>7217700</v>
      </c>
    </row>
    <row r="23" spans="1:5" ht="25.5" x14ac:dyDescent="0.2">
      <c r="A23" s="234" t="s">
        <v>239</v>
      </c>
      <c r="B23" s="242">
        <v>2205000</v>
      </c>
      <c r="C23" s="242">
        <v>2205000</v>
      </c>
      <c r="D23" s="243"/>
      <c r="E23" s="242">
        <v>2205000</v>
      </c>
    </row>
    <row r="24" spans="1:5" ht="13.5" customHeight="1" x14ac:dyDescent="0.2">
      <c r="A24" s="202" t="s">
        <v>146</v>
      </c>
      <c r="B24" s="240">
        <v>980400</v>
      </c>
      <c r="C24" s="240">
        <v>980400</v>
      </c>
      <c r="D24" s="241"/>
      <c r="E24" s="240">
        <v>980400</v>
      </c>
    </row>
    <row r="25" spans="1:5" ht="13.5" customHeight="1" x14ac:dyDescent="0.2">
      <c r="A25" s="202" t="s">
        <v>147</v>
      </c>
      <c r="B25" s="240">
        <v>401000</v>
      </c>
      <c r="C25" s="240">
        <v>401000</v>
      </c>
      <c r="D25" s="241"/>
      <c r="E25" s="240">
        <v>401000</v>
      </c>
    </row>
    <row r="26" spans="1:5" ht="25.5" x14ac:dyDescent="0.2">
      <c r="A26" s="234" t="s">
        <v>240</v>
      </c>
      <c r="B26" s="242">
        <v>15479082</v>
      </c>
      <c r="C26" s="242">
        <v>15479082</v>
      </c>
      <c r="D26" s="243"/>
      <c r="E26" s="242">
        <v>15479082</v>
      </c>
    </row>
    <row r="27" spans="1:5" ht="13.5" customHeight="1" x14ac:dyDescent="0.2">
      <c r="A27" s="202" t="s">
        <v>148</v>
      </c>
      <c r="B27" s="240">
        <v>5819000</v>
      </c>
      <c r="C27" s="240">
        <v>5819000</v>
      </c>
      <c r="D27" s="241"/>
      <c r="E27" s="240">
        <f>5819000+174000</f>
        <v>5993000</v>
      </c>
    </row>
    <row r="28" spans="1:5" ht="13.5" customHeight="1" x14ac:dyDescent="0.2">
      <c r="A28" s="202" t="s">
        <v>181</v>
      </c>
      <c r="B28" s="240">
        <v>941120</v>
      </c>
      <c r="C28" s="240">
        <v>941120</v>
      </c>
      <c r="D28" s="241"/>
      <c r="E28" s="240">
        <v>941120</v>
      </c>
    </row>
    <row r="29" spans="1:5" ht="13.5" customHeight="1" x14ac:dyDescent="0.2">
      <c r="A29" s="202" t="s">
        <v>149</v>
      </c>
      <c r="B29" s="240"/>
      <c r="C29" s="240"/>
      <c r="D29" s="241"/>
      <c r="E29" s="240"/>
    </row>
    <row r="30" spans="1:5" ht="13.5" customHeight="1" x14ac:dyDescent="0.2">
      <c r="A30" s="202" t="s">
        <v>150</v>
      </c>
      <c r="B30" s="240">
        <v>1800000</v>
      </c>
      <c r="C30" s="240">
        <v>1800000</v>
      </c>
      <c r="D30" s="241"/>
      <c r="E30" s="240">
        <v>1800000</v>
      </c>
    </row>
    <row r="31" spans="1:5" ht="13.5" customHeight="1" x14ac:dyDescent="0.2">
      <c r="A31" s="202" t="s">
        <v>151</v>
      </c>
      <c r="B31" s="240"/>
      <c r="C31" s="240"/>
      <c r="D31" s="241"/>
      <c r="E31" s="240"/>
    </row>
    <row r="32" spans="1:5" ht="13.5" customHeight="1" x14ac:dyDescent="0.2">
      <c r="A32" s="200" t="s">
        <v>152</v>
      </c>
      <c r="B32" s="240">
        <f>B34+B33</f>
        <v>5322420</v>
      </c>
      <c r="C32" s="240">
        <f>C34+C33</f>
        <v>5322420</v>
      </c>
      <c r="D32" s="241"/>
      <c r="E32" s="240">
        <f>E34+E33</f>
        <v>11653520</v>
      </c>
    </row>
    <row r="33" spans="1:5" ht="13.5" customHeight="1" x14ac:dyDescent="0.2">
      <c r="A33" s="202" t="s">
        <v>275</v>
      </c>
      <c r="B33" s="240">
        <v>4000000</v>
      </c>
      <c r="C33" s="240">
        <v>4000000</v>
      </c>
      <c r="D33" s="241"/>
      <c r="E33" s="240">
        <v>4000000</v>
      </c>
    </row>
    <row r="34" spans="1:5" ht="13.5" customHeight="1" x14ac:dyDescent="0.2">
      <c r="A34" s="202" t="s">
        <v>276</v>
      </c>
      <c r="B34" s="240">
        <v>1322420</v>
      </c>
      <c r="C34" s="240">
        <v>1322420</v>
      </c>
      <c r="D34" s="241"/>
      <c r="E34" s="240">
        <f>1322420+6331100</f>
        <v>7653520</v>
      </c>
    </row>
    <row r="35" spans="1:5" ht="13.5" customHeight="1" x14ac:dyDescent="0.2">
      <c r="A35" s="203" t="s">
        <v>277</v>
      </c>
      <c r="B35" s="240">
        <f>B36+B39+B40</f>
        <v>89558990</v>
      </c>
      <c r="C35" s="240">
        <f>C36+C39+C40</f>
        <v>0</v>
      </c>
      <c r="D35" s="240">
        <f>D36+D39+D40</f>
        <v>89558990</v>
      </c>
      <c r="E35" s="240">
        <f>E36+E39+E40</f>
        <v>92949294</v>
      </c>
    </row>
    <row r="36" spans="1:5" ht="13.5" customHeight="1" x14ac:dyDescent="0.2">
      <c r="A36" s="202" t="s">
        <v>153</v>
      </c>
      <c r="B36" s="240">
        <f>B37+B38</f>
        <v>3716000</v>
      </c>
      <c r="C36" s="240">
        <f>C37+C38</f>
        <v>0</v>
      </c>
      <c r="D36" s="240">
        <f t="shared" ref="D36" si="0">D37+D38</f>
        <v>3716000</v>
      </c>
      <c r="E36" s="240">
        <f>E37+E38</f>
        <v>3716000</v>
      </c>
    </row>
    <row r="37" spans="1:5" ht="13.5" customHeight="1" x14ac:dyDescent="0.2">
      <c r="A37" s="202" t="s">
        <v>154</v>
      </c>
      <c r="B37" s="240"/>
      <c r="C37" s="240"/>
      <c r="D37" s="241"/>
      <c r="E37" s="240"/>
    </row>
    <row r="38" spans="1:5" ht="25.5" x14ac:dyDescent="0.2">
      <c r="A38" s="234" t="s">
        <v>245</v>
      </c>
      <c r="B38" s="240">
        <v>3716000</v>
      </c>
      <c r="C38" s="240"/>
      <c r="D38" s="240">
        <v>3716000</v>
      </c>
      <c r="E38" s="240">
        <v>3716000</v>
      </c>
    </row>
    <row r="39" spans="1:5" ht="13.5" customHeight="1" x14ac:dyDescent="0.2">
      <c r="A39" s="202" t="s">
        <v>278</v>
      </c>
      <c r="B39" s="240">
        <v>85842990</v>
      </c>
      <c r="C39" s="240"/>
      <c r="D39" s="240">
        <v>85842990</v>
      </c>
      <c r="E39" s="240">
        <f>85842990+3390304</f>
        <v>89233294</v>
      </c>
    </row>
    <row r="40" spans="1:5" ht="13.5" customHeight="1" x14ac:dyDescent="0.2">
      <c r="A40" s="202" t="s">
        <v>155</v>
      </c>
      <c r="B40" s="240"/>
      <c r="C40" s="240"/>
      <c r="D40" s="241"/>
      <c r="E40" s="240"/>
    </row>
    <row r="41" spans="1:5" ht="13.5" customHeight="1" x14ac:dyDescent="0.2">
      <c r="A41" s="204" t="s">
        <v>241</v>
      </c>
      <c r="B41" s="240">
        <f>B14+B7+B32+B35</f>
        <v>182378628</v>
      </c>
      <c r="C41" s="240">
        <f t="shared" ref="C41:D41" si="1">C14+C7+C32+C35</f>
        <v>92819638</v>
      </c>
      <c r="D41" s="240">
        <f t="shared" si="1"/>
        <v>89558990</v>
      </c>
      <c r="E41" s="240">
        <f>E14+E7+E32+E35</f>
        <v>193846242</v>
      </c>
    </row>
    <row r="42" spans="1:5" ht="25.5" x14ac:dyDescent="0.2">
      <c r="A42" s="234" t="s">
        <v>243</v>
      </c>
      <c r="B42" s="242"/>
      <c r="C42" s="242"/>
      <c r="D42" s="243"/>
      <c r="E42" s="242"/>
    </row>
    <row r="43" spans="1:5" ht="13.5" customHeight="1" x14ac:dyDescent="0.2">
      <c r="A43" s="202" t="s">
        <v>156</v>
      </c>
      <c r="B43" s="240">
        <f>SUM(B44:B45)</f>
        <v>37277905</v>
      </c>
      <c r="C43" s="240">
        <f t="shared" ref="C43:D43" si="2">SUM(C44:C45)</f>
        <v>4800378</v>
      </c>
      <c r="D43" s="240">
        <f t="shared" si="2"/>
        <v>32477527</v>
      </c>
      <c r="E43" s="240">
        <f>SUM(E44:E45)</f>
        <v>37277905</v>
      </c>
    </row>
    <row r="44" spans="1:5" ht="13.5" customHeight="1" x14ac:dyDescent="0.2">
      <c r="A44" s="202" t="s">
        <v>157</v>
      </c>
      <c r="B44" s="240">
        <v>4800378</v>
      </c>
      <c r="C44" s="240">
        <v>4800378</v>
      </c>
      <c r="D44" s="241"/>
      <c r="E44" s="240">
        <v>4800378</v>
      </c>
    </row>
    <row r="45" spans="1:5" ht="13.5" customHeight="1" x14ac:dyDescent="0.2">
      <c r="A45" s="202" t="s">
        <v>158</v>
      </c>
      <c r="B45" s="240">
        <v>32477527</v>
      </c>
      <c r="C45" s="240"/>
      <c r="D45" s="240">
        <v>32477527</v>
      </c>
      <c r="E45" s="240">
        <v>32477527</v>
      </c>
    </row>
    <row r="46" spans="1:5" ht="13.5" customHeight="1" x14ac:dyDescent="0.2">
      <c r="A46" s="200" t="s">
        <v>242</v>
      </c>
      <c r="B46" s="240"/>
      <c r="C46" s="240"/>
      <c r="D46" s="241"/>
      <c r="E46" s="240"/>
    </row>
    <row r="47" spans="1:5" ht="13.5" customHeight="1" thickBot="1" x14ac:dyDescent="0.25">
      <c r="A47" s="205" t="s">
        <v>159</v>
      </c>
      <c r="B47" s="244">
        <f>B41+B43</f>
        <v>219656533</v>
      </c>
      <c r="C47" s="244">
        <f>C41+C43</f>
        <v>97620016</v>
      </c>
      <c r="D47" s="244">
        <f>D41+D43</f>
        <v>122036517</v>
      </c>
      <c r="E47" s="244">
        <f>E41+E43</f>
        <v>231124147</v>
      </c>
    </row>
  </sheetData>
  <mergeCells count="3">
    <mergeCell ref="A2:D2"/>
    <mergeCell ref="A1:D1"/>
    <mergeCell ref="A3:D3"/>
  </mergeCells>
  <phoneticPr fontId="22" type="noConversion"/>
  <pageMargins left="0.39" right="0.25" top="1" bottom="1" header="0.5" footer="0.5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130" zoomScaleNormal="100" zoomScaleSheetLayoutView="130" workbookViewId="0">
      <selection sqref="A1:M1"/>
    </sheetView>
  </sheetViews>
  <sheetFormatPr defaultRowHeight="12.75" x14ac:dyDescent="0.2"/>
  <cols>
    <col min="1" max="1" width="35.5703125" style="3" customWidth="1"/>
    <col min="2" max="2" width="7.7109375" style="128" customWidth="1"/>
    <col min="3" max="12" width="10.42578125" style="3" customWidth="1"/>
    <col min="13" max="13" width="12.42578125" style="3" customWidth="1"/>
    <col min="14" max="16384" width="9.140625" style="2"/>
  </cols>
  <sheetData>
    <row r="1" spans="1:15" ht="15.75" customHeight="1" x14ac:dyDescent="0.2">
      <c r="A1" s="287" t="s">
        <v>288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5" ht="15.75" customHeight="1" x14ac:dyDescent="0.2"/>
    <row r="3" spans="1:15" ht="15.75" customHeight="1" x14ac:dyDescent="0.2">
      <c r="A3" s="286" t="s">
        <v>283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1:15" ht="15.7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9" customHeight="1" thickBot="1" x14ac:dyDescent="0.25"/>
    <row r="6" spans="1:15" s="4" customFormat="1" ht="21" customHeight="1" x14ac:dyDescent="0.2">
      <c r="A6" s="290" t="s">
        <v>3</v>
      </c>
      <c r="B6" s="293" t="s">
        <v>111</v>
      </c>
      <c r="C6" s="288" t="s">
        <v>285</v>
      </c>
      <c r="D6" s="288"/>
      <c r="E6" s="288"/>
      <c r="F6" s="288"/>
      <c r="G6" s="288"/>
      <c r="H6" s="288"/>
      <c r="I6" s="288"/>
      <c r="J6" s="288"/>
      <c r="K6" s="288"/>
      <c r="L6" s="288"/>
      <c r="M6" s="289"/>
    </row>
    <row r="7" spans="1:15" s="129" customFormat="1" ht="42.75" customHeight="1" x14ac:dyDescent="0.2">
      <c r="A7" s="291"/>
      <c r="B7" s="294"/>
      <c r="C7" s="298" t="s">
        <v>112</v>
      </c>
      <c r="D7" s="298" t="s">
        <v>113</v>
      </c>
      <c r="E7" s="298" t="s">
        <v>114</v>
      </c>
      <c r="F7" s="298" t="s">
        <v>115</v>
      </c>
      <c r="G7" s="298" t="s">
        <v>116</v>
      </c>
      <c r="H7" s="298" t="s">
        <v>117</v>
      </c>
      <c r="I7" s="298" t="s">
        <v>118</v>
      </c>
      <c r="J7" s="298" t="s">
        <v>119</v>
      </c>
      <c r="K7" s="298" t="s">
        <v>120</v>
      </c>
      <c r="L7" s="298" t="s">
        <v>121</v>
      </c>
      <c r="M7" s="296" t="s">
        <v>122</v>
      </c>
    </row>
    <row r="8" spans="1:15" s="130" customFormat="1" ht="12.75" customHeight="1" thickBot="1" x14ac:dyDescent="0.25">
      <c r="A8" s="292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7"/>
    </row>
    <row r="9" spans="1:15" ht="25.5" customHeight="1" thickBot="1" x14ac:dyDescent="0.25">
      <c r="A9" s="249" t="s">
        <v>123</v>
      </c>
      <c r="B9" s="250">
        <v>900020</v>
      </c>
      <c r="C9" s="23"/>
      <c r="D9" s="23">
        <f>'2'!E9</f>
        <v>17500000</v>
      </c>
      <c r="E9" s="23"/>
      <c r="F9" s="23"/>
      <c r="G9" s="23"/>
      <c r="H9" s="23"/>
      <c r="I9" s="23"/>
      <c r="J9" s="23"/>
      <c r="K9" s="23"/>
      <c r="L9" s="23"/>
      <c r="M9" s="251">
        <f>SUM(D9:L9)</f>
        <v>17500000</v>
      </c>
      <c r="N9" s="132"/>
      <c r="O9" s="3"/>
    </row>
    <row r="10" spans="1:15" ht="25.5" customHeight="1" thickBot="1" x14ac:dyDescent="0.25">
      <c r="A10" s="133" t="s">
        <v>124</v>
      </c>
      <c r="B10" s="190" t="s">
        <v>194</v>
      </c>
      <c r="C10" s="23">
        <v>4020000</v>
      </c>
      <c r="D10" s="23"/>
      <c r="E10" s="23">
        <f>85842990+3390304</f>
        <v>89233294</v>
      </c>
      <c r="F10" s="23">
        <f>29577950+5819000+174000</f>
        <v>35570950</v>
      </c>
      <c r="G10" s="23"/>
      <c r="H10" s="23"/>
      <c r="I10" s="23"/>
      <c r="J10" s="23"/>
      <c r="K10" s="23"/>
      <c r="L10" s="23"/>
      <c r="M10" s="131">
        <f t="shared" ref="M10:M16" si="0">SUM(C10:L10)</f>
        <v>128824244</v>
      </c>
      <c r="N10" s="132"/>
      <c r="O10" s="3"/>
    </row>
    <row r="11" spans="1:15" ht="25.5" customHeight="1" thickBot="1" x14ac:dyDescent="0.25">
      <c r="A11" s="133" t="s">
        <v>125</v>
      </c>
      <c r="B11" s="190" t="s">
        <v>195</v>
      </c>
      <c r="C11" s="23"/>
      <c r="D11" s="23"/>
      <c r="E11" s="23"/>
      <c r="F11" s="23"/>
      <c r="G11" s="23"/>
      <c r="H11" s="23"/>
      <c r="I11" s="23"/>
      <c r="J11" s="23">
        <f>'2'!B43</f>
        <v>37277905</v>
      </c>
      <c r="K11" s="23"/>
      <c r="L11" s="23"/>
      <c r="M11" s="131">
        <f t="shared" si="0"/>
        <v>37277905</v>
      </c>
      <c r="N11" s="132"/>
      <c r="O11" s="3"/>
    </row>
    <row r="12" spans="1:15" ht="25.5" customHeight="1" thickBot="1" x14ac:dyDescent="0.25">
      <c r="A12" s="133" t="s">
        <v>126</v>
      </c>
      <c r="B12" s="190" t="s">
        <v>196</v>
      </c>
      <c r="C12" s="23"/>
      <c r="D12" s="23"/>
      <c r="E12" s="23"/>
      <c r="F12" s="23">
        <v>1800000</v>
      </c>
      <c r="G12" s="23"/>
      <c r="H12" s="23"/>
      <c r="I12" s="23"/>
      <c r="J12" s="23"/>
      <c r="K12" s="23"/>
      <c r="L12" s="23"/>
      <c r="M12" s="131">
        <f t="shared" si="0"/>
        <v>1800000</v>
      </c>
      <c r="N12" s="132"/>
      <c r="O12" s="3"/>
    </row>
    <row r="13" spans="1:15" ht="25.5" customHeight="1" thickBot="1" x14ac:dyDescent="0.25">
      <c r="A13" s="134" t="s">
        <v>127</v>
      </c>
      <c r="B13" s="190" t="s">
        <v>194</v>
      </c>
      <c r="C13" s="23"/>
      <c r="D13" s="23"/>
      <c r="E13" s="23"/>
      <c r="F13" s="23">
        <v>10804100</v>
      </c>
      <c r="G13" s="23"/>
      <c r="H13" s="23"/>
      <c r="I13" s="23"/>
      <c r="J13" s="23"/>
      <c r="K13" s="23"/>
      <c r="L13" s="23"/>
      <c r="M13" s="131">
        <f t="shared" si="0"/>
        <v>10804100</v>
      </c>
      <c r="N13" s="132"/>
      <c r="O13" s="3"/>
    </row>
    <row r="14" spans="1:15" ht="25.5" customHeight="1" thickBot="1" x14ac:dyDescent="0.25">
      <c r="A14" s="133" t="s">
        <v>197</v>
      </c>
      <c r="B14" s="191" t="s">
        <v>231</v>
      </c>
      <c r="C14" s="23">
        <f>7675966-547790</f>
        <v>7128176</v>
      </c>
      <c r="D14" s="23"/>
      <c r="E14" s="23"/>
      <c r="F14" s="23">
        <v>16420202</v>
      </c>
      <c r="G14" s="23">
        <v>145920</v>
      </c>
      <c r="H14" s="23"/>
      <c r="I14" s="23"/>
      <c r="J14" s="23"/>
      <c r="K14" s="23"/>
      <c r="L14" s="23"/>
      <c r="M14" s="131">
        <f t="shared" si="0"/>
        <v>23694298</v>
      </c>
      <c r="N14" s="132"/>
      <c r="O14" s="3"/>
    </row>
    <row r="15" spans="1:15" ht="25.5" customHeight="1" thickBot="1" x14ac:dyDescent="0.25">
      <c r="A15" s="135" t="s">
        <v>246</v>
      </c>
      <c r="B15" s="190" t="s">
        <v>198</v>
      </c>
      <c r="C15" s="23"/>
      <c r="E15" s="23">
        <v>3716000</v>
      </c>
      <c r="F15" s="23">
        <v>6331100</v>
      </c>
      <c r="G15" s="23"/>
      <c r="H15" s="23"/>
      <c r="I15" s="23"/>
      <c r="J15" s="23"/>
      <c r="K15" s="23"/>
      <c r="L15" s="23"/>
      <c r="M15" s="131">
        <f t="shared" si="0"/>
        <v>10047100</v>
      </c>
      <c r="N15" s="132"/>
      <c r="O15" s="3"/>
    </row>
    <row r="16" spans="1:15" ht="25.5" customHeight="1" thickBot="1" x14ac:dyDescent="0.25">
      <c r="A16" s="136" t="s">
        <v>217</v>
      </c>
      <c r="B16" s="192" t="s">
        <v>199</v>
      </c>
      <c r="C16" s="137"/>
      <c r="D16" s="247"/>
      <c r="E16" s="137"/>
      <c r="G16" s="137">
        <f>1176500</f>
        <v>1176500</v>
      </c>
      <c r="H16" s="137"/>
      <c r="I16" s="137"/>
      <c r="J16" s="137"/>
      <c r="K16" s="137"/>
      <c r="L16" s="137"/>
      <c r="M16" s="131">
        <f t="shared" si="0"/>
        <v>1176500</v>
      </c>
      <c r="N16" s="132"/>
      <c r="O16" s="3"/>
    </row>
    <row r="17" spans="1:14" s="4" customFormat="1" ht="30" customHeight="1" thickBot="1" x14ac:dyDescent="0.25">
      <c r="A17" s="138" t="s">
        <v>128</v>
      </c>
      <c r="B17" s="139"/>
      <c r="C17" s="140">
        <f>SUM(C9:C16)</f>
        <v>11148176</v>
      </c>
      <c r="D17" s="140">
        <f>SUM(D9:D16)</f>
        <v>17500000</v>
      </c>
      <c r="E17" s="140">
        <f t="shared" ref="E17:L17" si="1">SUM(E9:E16)</f>
        <v>92949294</v>
      </c>
      <c r="F17" s="140">
        <f t="shared" si="1"/>
        <v>70926352</v>
      </c>
      <c r="G17" s="140">
        <f>SUM(G9:G16)</f>
        <v>1322420</v>
      </c>
      <c r="H17" s="140">
        <f t="shared" si="1"/>
        <v>0</v>
      </c>
      <c r="I17" s="140">
        <f t="shared" si="1"/>
        <v>0</v>
      </c>
      <c r="J17" s="140">
        <f t="shared" si="1"/>
        <v>37277905</v>
      </c>
      <c r="K17" s="140">
        <f t="shared" si="1"/>
        <v>0</v>
      </c>
      <c r="L17" s="248">
        <f t="shared" si="1"/>
        <v>0</v>
      </c>
      <c r="M17" s="246">
        <f>SUM(C17:L17)</f>
        <v>231124147</v>
      </c>
      <c r="N17" s="7"/>
    </row>
    <row r="18" spans="1:14" x14ac:dyDescent="0.2">
      <c r="N18" s="132"/>
    </row>
    <row r="19" spans="1:14" x14ac:dyDescent="0.2">
      <c r="N19" s="132"/>
    </row>
    <row r="20" spans="1:14" x14ac:dyDescent="0.2">
      <c r="N20" s="132"/>
    </row>
    <row r="33" spans="1:2" x14ac:dyDescent="0.2">
      <c r="A33" s="141"/>
      <c r="B33" s="6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115" zoomScaleNormal="100" zoomScaleSheetLayoutView="115" workbookViewId="0">
      <selection activeCell="D1" sqref="D1:I1"/>
    </sheetView>
  </sheetViews>
  <sheetFormatPr defaultRowHeight="12.75" x14ac:dyDescent="0.2"/>
  <cols>
    <col min="1" max="1" width="7.140625" customWidth="1"/>
    <col min="3" max="3" width="34" customWidth="1"/>
    <col min="4" max="4" width="11.140625" customWidth="1"/>
    <col min="5" max="5" width="10.42578125" customWidth="1"/>
    <col min="6" max="6" width="8.7109375" customWidth="1"/>
    <col min="7" max="7" width="11.140625" customWidth="1"/>
    <col min="8" max="8" width="9.7109375" customWidth="1"/>
  </cols>
  <sheetData>
    <row r="1" spans="1:9" ht="12.75" customHeight="1" x14ac:dyDescent="0.2">
      <c r="D1" s="384" t="s">
        <v>290</v>
      </c>
      <c r="E1" s="384"/>
      <c r="F1" s="384"/>
      <c r="G1" s="384"/>
      <c r="H1" s="384"/>
      <c r="I1" s="384"/>
    </row>
    <row r="2" spans="1:9" x14ac:dyDescent="0.2">
      <c r="A2" s="1"/>
    </row>
    <row r="3" spans="1:9" x14ac:dyDescent="0.2">
      <c r="A3" s="286" t="s">
        <v>282</v>
      </c>
      <c r="B3" s="286"/>
      <c r="C3" s="286"/>
      <c r="D3" s="286"/>
      <c r="E3" s="286"/>
      <c r="F3" s="286"/>
      <c r="G3" s="286"/>
      <c r="H3" s="286"/>
      <c r="I3" s="286"/>
    </row>
    <row r="4" spans="1:9" ht="13.5" thickBot="1" x14ac:dyDescent="0.25">
      <c r="A4" s="2"/>
    </row>
    <row r="5" spans="1:9" ht="39.75" customHeight="1" thickBot="1" x14ac:dyDescent="0.25">
      <c r="A5" s="222"/>
      <c r="B5" s="300" t="s">
        <v>177</v>
      </c>
      <c r="C5" s="301"/>
      <c r="D5" s="299" t="s">
        <v>202</v>
      </c>
      <c r="E5" s="300"/>
      <c r="F5" s="301"/>
      <c r="G5" s="299" t="s">
        <v>203</v>
      </c>
      <c r="H5" s="300"/>
      <c r="I5" s="301"/>
    </row>
    <row r="6" spans="1:9" x14ac:dyDescent="0.2">
      <c r="A6" s="223" t="s">
        <v>204</v>
      </c>
      <c r="B6" s="215"/>
      <c r="C6" s="220"/>
      <c r="D6" s="214"/>
      <c r="E6" s="215"/>
      <c r="F6" s="215"/>
      <c r="G6" s="215"/>
      <c r="H6" s="215"/>
      <c r="I6" s="215"/>
    </row>
    <row r="7" spans="1:9" ht="13.5" thickBot="1" x14ac:dyDescent="0.25">
      <c r="A7" s="224" t="s">
        <v>208</v>
      </c>
      <c r="B7" s="216" t="s">
        <v>49</v>
      </c>
      <c r="C7" s="221" t="s">
        <v>178</v>
      </c>
      <c r="D7" s="213" t="s">
        <v>205</v>
      </c>
      <c r="E7" s="216" t="s">
        <v>206</v>
      </c>
      <c r="F7" s="216" t="s">
        <v>207</v>
      </c>
      <c r="G7" s="216" t="s">
        <v>205</v>
      </c>
      <c r="H7" s="216" t="s">
        <v>206</v>
      </c>
      <c r="I7" s="216" t="s">
        <v>207</v>
      </c>
    </row>
    <row r="8" spans="1:9" ht="16.5" customHeight="1" thickBot="1" x14ac:dyDescent="0.25">
      <c r="A8" s="302" t="s">
        <v>209</v>
      </c>
      <c r="B8" s="303"/>
      <c r="C8" s="303"/>
      <c r="D8" s="237"/>
      <c r="E8" s="209"/>
      <c r="F8" s="209"/>
      <c r="G8" s="209"/>
      <c r="H8" s="209"/>
      <c r="I8" s="209"/>
    </row>
    <row r="9" spans="1:9" ht="13.5" thickBot="1" x14ac:dyDescent="0.25">
      <c r="A9" s="212">
        <v>1</v>
      </c>
      <c r="B9" s="228" t="s">
        <v>195</v>
      </c>
      <c r="C9" s="218" t="s">
        <v>210</v>
      </c>
      <c r="D9" s="235">
        <v>26084494</v>
      </c>
      <c r="E9" s="235">
        <f>26084494+70000+1912420+1395280</f>
        <v>29462194</v>
      </c>
      <c r="F9" s="209"/>
      <c r="G9" s="252">
        <f>'2a'!M11</f>
        <v>37277905</v>
      </c>
      <c r="H9" s="209">
        <f>37297905+3390304</f>
        <v>40688209</v>
      </c>
      <c r="I9" s="209"/>
    </row>
    <row r="10" spans="1:9" ht="13.5" thickBot="1" x14ac:dyDescent="0.25">
      <c r="A10" s="212">
        <v>1</v>
      </c>
      <c r="B10" s="228" t="s">
        <v>225</v>
      </c>
      <c r="C10" s="218" t="s">
        <v>211</v>
      </c>
      <c r="D10" s="211">
        <v>4570512</v>
      </c>
      <c r="E10" s="211">
        <v>4570512</v>
      </c>
      <c r="F10" s="209"/>
      <c r="G10" s="210"/>
      <c r="H10" s="209"/>
      <c r="I10" s="209"/>
    </row>
    <row r="11" spans="1:9" ht="13.5" thickBot="1" x14ac:dyDescent="0.25">
      <c r="A11" s="212">
        <v>1</v>
      </c>
      <c r="B11" s="228" t="s">
        <v>226</v>
      </c>
      <c r="C11" s="218" t="s">
        <v>201</v>
      </c>
      <c r="D11" s="211">
        <v>11384523</v>
      </c>
      <c r="E11" s="211">
        <v>11384523</v>
      </c>
      <c r="F11" s="209"/>
      <c r="G11" s="210"/>
      <c r="H11" s="209"/>
      <c r="I11" s="209"/>
    </row>
    <row r="12" spans="1:9" ht="13.5" thickBot="1" x14ac:dyDescent="0.25">
      <c r="A12" s="212">
        <v>1</v>
      </c>
      <c r="B12" s="228" t="s">
        <v>227</v>
      </c>
      <c r="C12" s="218" t="s">
        <v>212</v>
      </c>
      <c r="D12" s="211">
        <v>3968000</v>
      </c>
      <c r="E12" s="211">
        <v>3968000</v>
      </c>
      <c r="F12" s="209"/>
      <c r="G12" s="210"/>
      <c r="H12" s="209"/>
      <c r="I12" s="209"/>
    </row>
    <row r="13" spans="1:9" ht="13.5" thickBot="1" x14ac:dyDescent="0.25">
      <c r="A13" s="212">
        <v>1</v>
      </c>
      <c r="B13" s="228" t="s">
        <v>228</v>
      </c>
      <c r="C13" s="218" t="s">
        <v>213</v>
      </c>
      <c r="D13" s="211">
        <v>1179400</v>
      </c>
      <c r="E13" s="211">
        <v>1179400</v>
      </c>
      <c r="F13" s="209"/>
      <c r="G13" s="210"/>
      <c r="H13" s="209"/>
      <c r="I13" s="209"/>
    </row>
    <row r="14" spans="1:9" ht="13.5" thickBot="1" x14ac:dyDescent="0.25">
      <c r="A14" s="212">
        <v>1</v>
      </c>
      <c r="B14" s="228" t="s">
        <v>193</v>
      </c>
      <c r="C14" s="218" t="s">
        <v>187</v>
      </c>
      <c r="D14" s="211">
        <v>180000</v>
      </c>
      <c r="E14" s="211">
        <v>180000</v>
      </c>
      <c r="F14" s="209"/>
      <c r="G14" s="210"/>
      <c r="H14" s="209"/>
      <c r="I14" s="209"/>
    </row>
    <row r="15" spans="1:9" ht="13.5" thickBot="1" x14ac:dyDescent="0.25">
      <c r="A15" s="212">
        <v>1</v>
      </c>
      <c r="B15" s="228" t="s">
        <v>189</v>
      </c>
      <c r="C15" s="218" t="s">
        <v>183</v>
      </c>
      <c r="D15" s="211">
        <v>2220000</v>
      </c>
      <c r="E15" s="211">
        <v>2220000</v>
      </c>
      <c r="F15" s="209"/>
      <c r="G15" s="210"/>
      <c r="H15" s="209"/>
      <c r="I15" s="209"/>
    </row>
    <row r="16" spans="1:9" ht="13.5" thickBot="1" x14ac:dyDescent="0.25">
      <c r="A16" s="212">
        <v>1</v>
      </c>
      <c r="B16" s="228" t="s">
        <v>191</v>
      </c>
      <c r="C16" s="218" t="s">
        <v>185</v>
      </c>
      <c r="D16" s="211">
        <v>2040000</v>
      </c>
      <c r="E16" s="211">
        <f>2040000+174000</f>
        <v>2214000</v>
      </c>
      <c r="F16" s="209"/>
      <c r="G16" s="210"/>
      <c r="H16" s="209"/>
      <c r="I16" s="209"/>
    </row>
    <row r="17" spans="1:9" ht="13.5" thickBot="1" x14ac:dyDescent="0.25">
      <c r="A17" s="212">
        <v>1</v>
      </c>
      <c r="B17" s="228" t="s">
        <v>190</v>
      </c>
      <c r="C17" s="218" t="s">
        <v>184</v>
      </c>
      <c r="D17" s="211">
        <v>250000</v>
      </c>
      <c r="E17" s="211">
        <v>250000</v>
      </c>
      <c r="F17" s="209"/>
      <c r="G17" s="210"/>
      <c r="H17" s="209"/>
      <c r="I17" s="209"/>
    </row>
    <row r="18" spans="1:9" ht="13.5" thickBot="1" x14ac:dyDescent="0.25">
      <c r="A18" s="212">
        <v>1</v>
      </c>
      <c r="B18" s="228" t="s">
        <v>192</v>
      </c>
      <c r="C18" s="218" t="s">
        <v>186</v>
      </c>
      <c r="D18" s="211">
        <v>50000</v>
      </c>
      <c r="E18" s="211">
        <v>50000</v>
      </c>
      <c r="F18" s="209"/>
      <c r="G18" s="210"/>
      <c r="H18" s="209"/>
      <c r="I18" s="209"/>
    </row>
    <row r="19" spans="1:9" ht="13.5" thickBot="1" x14ac:dyDescent="0.25">
      <c r="A19" s="212">
        <v>1</v>
      </c>
      <c r="B19" s="228" t="s">
        <v>229</v>
      </c>
      <c r="C19" s="218" t="s">
        <v>214</v>
      </c>
      <c r="D19" s="211">
        <v>825000</v>
      </c>
      <c r="E19" s="211">
        <v>825000</v>
      </c>
      <c r="F19" s="209"/>
      <c r="G19" s="210"/>
      <c r="H19" s="209"/>
      <c r="I19" s="209"/>
    </row>
    <row r="20" spans="1:9" ht="13.5" thickBot="1" x14ac:dyDescent="0.25">
      <c r="A20" s="212">
        <v>1</v>
      </c>
      <c r="B20" s="228" t="s">
        <v>198</v>
      </c>
      <c r="C20" s="218" t="s">
        <v>215</v>
      </c>
      <c r="D20" s="211">
        <v>6675015</v>
      </c>
      <c r="E20" s="211">
        <v>6675015</v>
      </c>
      <c r="F20" s="209"/>
      <c r="G20" s="252">
        <f>'2a'!M12</f>
        <v>1800000</v>
      </c>
      <c r="H20" s="209">
        <v>1800000</v>
      </c>
      <c r="I20" s="209"/>
    </row>
    <row r="21" spans="1:9" ht="13.5" thickBot="1" x14ac:dyDescent="0.25">
      <c r="A21" s="212">
        <v>1</v>
      </c>
      <c r="B21" s="228" t="s">
        <v>196</v>
      </c>
      <c r="C21" s="218" t="s">
        <v>126</v>
      </c>
      <c r="D21" s="211">
        <v>347820</v>
      </c>
      <c r="E21" s="211">
        <v>347820</v>
      </c>
      <c r="F21" s="209"/>
      <c r="G21" s="210"/>
      <c r="H21" s="209"/>
      <c r="I21" s="209"/>
    </row>
    <row r="22" spans="1:9" ht="13.5" thickBot="1" x14ac:dyDescent="0.25">
      <c r="A22" s="212">
        <v>1</v>
      </c>
      <c r="B22" s="228" t="s">
        <v>230</v>
      </c>
      <c r="C22" s="218" t="s">
        <v>216</v>
      </c>
      <c r="D22" s="211">
        <v>3716000</v>
      </c>
      <c r="E22" s="211">
        <f>3716000+6331100</f>
        <v>10047100</v>
      </c>
      <c r="F22" s="209"/>
      <c r="G22" s="252">
        <f>'2a'!M15-6331100</f>
        <v>3716000</v>
      </c>
      <c r="H22" s="209">
        <v>10047100</v>
      </c>
      <c r="I22" s="209"/>
    </row>
    <row r="23" spans="1:9" ht="13.5" thickBot="1" x14ac:dyDescent="0.25">
      <c r="A23" s="212">
        <v>1</v>
      </c>
      <c r="B23" s="228" t="s">
        <v>199</v>
      </c>
      <c r="C23" s="218" t="s">
        <v>217</v>
      </c>
      <c r="D23" s="211">
        <v>1188220</v>
      </c>
      <c r="E23" s="211">
        <f>1188220+1467234</f>
        <v>2655454</v>
      </c>
      <c r="F23" s="209"/>
      <c r="G23" s="252">
        <f>'2a'!M16-1467234</f>
        <v>-290734</v>
      </c>
      <c r="H23" s="209">
        <f>2643734-1467234</f>
        <v>1176500</v>
      </c>
      <c r="I23" s="209"/>
    </row>
    <row r="24" spans="1:9" ht="13.5" thickBot="1" x14ac:dyDescent="0.25">
      <c r="A24" s="212">
        <v>1</v>
      </c>
      <c r="B24" s="228" t="s">
        <v>248</v>
      </c>
      <c r="C24" s="218" t="s">
        <v>249</v>
      </c>
      <c r="D24" s="211">
        <v>11430000</v>
      </c>
      <c r="E24" s="211">
        <f>11430000+117580</f>
        <v>11547580</v>
      </c>
      <c r="F24" s="209"/>
      <c r="G24" s="210"/>
      <c r="H24" s="209"/>
      <c r="I24" s="209"/>
    </row>
    <row r="25" spans="1:9" ht="13.5" thickBot="1" x14ac:dyDescent="0.25">
      <c r="A25" s="212">
        <v>1</v>
      </c>
      <c r="B25" s="228" t="s">
        <v>232</v>
      </c>
      <c r="C25" s="218" t="s">
        <v>218</v>
      </c>
      <c r="D25" s="211">
        <v>95243774</v>
      </c>
      <c r="E25" s="211">
        <v>95243774</v>
      </c>
      <c r="F25" s="209"/>
      <c r="G25" s="210"/>
      <c r="H25" s="209"/>
      <c r="I25" s="209"/>
    </row>
    <row r="26" spans="1:9" ht="13.5" thickBot="1" x14ac:dyDescent="0.25">
      <c r="A26" s="212">
        <v>1</v>
      </c>
      <c r="B26" s="228" t="s">
        <v>233</v>
      </c>
      <c r="C26" s="218" t="s">
        <v>219</v>
      </c>
      <c r="D26" s="211"/>
      <c r="E26" s="211"/>
      <c r="F26" s="209"/>
      <c r="G26" s="252">
        <f>'2a'!M9-2100000</f>
        <v>15400000</v>
      </c>
      <c r="H26" s="209">
        <v>17500000</v>
      </c>
      <c r="I26" s="209"/>
    </row>
    <row r="27" spans="1:9" ht="13.5" thickBot="1" x14ac:dyDescent="0.25">
      <c r="A27" s="212">
        <v>1</v>
      </c>
      <c r="B27" s="228" t="s">
        <v>194</v>
      </c>
      <c r="C27" s="218" t="s">
        <v>220</v>
      </c>
      <c r="D27" s="211"/>
      <c r="E27" s="211"/>
      <c r="F27" s="209"/>
      <c r="G27" s="252">
        <f>'2a'!M10-174000</f>
        <v>128650244</v>
      </c>
      <c r="H27" s="209">
        <v>125413940</v>
      </c>
      <c r="I27" s="209"/>
    </row>
    <row r="28" spans="1:9" ht="13.5" thickBot="1" x14ac:dyDescent="0.25">
      <c r="A28" s="212">
        <v>1</v>
      </c>
      <c r="B28" s="228" t="s">
        <v>234</v>
      </c>
      <c r="C28" s="218" t="s">
        <v>221</v>
      </c>
      <c r="D28" s="211">
        <v>20364992</v>
      </c>
      <c r="E28" s="211">
        <v>20364992</v>
      </c>
      <c r="F28" s="209"/>
      <c r="G28" s="252">
        <f>'2a'!M13</f>
        <v>10804100</v>
      </c>
      <c r="H28" s="209">
        <v>10804100</v>
      </c>
      <c r="I28" s="209"/>
    </row>
    <row r="29" spans="1:9" ht="13.5" thickBot="1" x14ac:dyDescent="0.25">
      <c r="A29" s="212">
        <v>1</v>
      </c>
      <c r="B29" s="228" t="s">
        <v>231</v>
      </c>
      <c r="C29" s="218" t="s">
        <v>222</v>
      </c>
      <c r="D29" s="211">
        <v>23256026</v>
      </c>
      <c r="E29" s="211">
        <v>23256026</v>
      </c>
      <c r="F29" s="209"/>
      <c r="G29" s="252">
        <f>'2a'!M14</f>
        <v>23694298</v>
      </c>
      <c r="H29" s="209">
        <f>24242088-547790</f>
        <v>23694298</v>
      </c>
      <c r="I29" s="209"/>
    </row>
    <row r="30" spans="1:9" ht="13.5" thickBot="1" x14ac:dyDescent="0.25">
      <c r="A30" s="212">
        <v>1</v>
      </c>
      <c r="B30" s="228" t="s">
        <v>235</v>
      </c>
      <c r="C30" s="218" t="s">
        <v>223</v>
      </c>
      <c r="D30" s="211">
        <v>1918128</v>
      </c>
      <c r="E30" s="211">
        <v>1918128</v>
      </c>
      <c r="F30" s="209"/>
      <c r="G30" s="209"/>
      <c r="H30" s="209"/>
      <c r="I30" s="209"/>
    </row>
    <row r="31" spans="1:9" ht="13.5" thickBot="1" x14ac:dyDescent="0.25">
      <c r="A31" s="225">
        <v>1</v>
      </c>
      <c r="B31" s="229" t="s">
        <v>236</v>
      </c>
      <c r="C31" s="219" t="s">
        <v>224</v>
      </c>
      <c r="D31" s="211">
        <v>2764629</v>
      </c>
      <c r="E31" s="211">
        <v>2764629</v>
      </c>
      <c r="F31" s="217"/>
      <c r="G31" s="217"/>
      <c r="H31" s="217"/>
      <c r="I31" s="217"/>
    </row>
    <row r="32" spans="1:9" ht="15" thickTop="1" thickBot="1" x14ac:dyDescent="0.25">
      <c r="A32" s="230" t="s">
        <v>0</v>
      </c>
      <c r="B32" s="231"/>
      <c r="C32" s="226"/>
      <c r="D32" s="236">
        <f>SUM(D9:D31)</f>
        <v>219656533</v>
      </c>
      <c r="E32" s="236">
        <f>SUM(E9:E31)</f>
        <v>231124147</v>
      </c>
      <c r="F32" s="227"/>
      <c r="G32" s="236">
        <f>SUM(G9:G31)</f>
        <v>221051813</v>
      </c>
      <c r="H32" s="227">
        <f>SUM(H8:H31)</f>
        <v>231124147</v>
      </c>
      <c r="I32" s="227"/>
    </row>
    <row r="33" spans="1:9" x14ac:dyDescent="0.2">
      <c r="A33" s="208"/>
      <c r="B33" s="208"/>
      <c r="C33" s="208"/>
      <c r="D33" s="208"/>
      <c r="E33" s="208"/>
      <c r="F33" s="208"/>
      <c r="G33" s="208"/>
      <c r="H33" s="208"/>
      <c r="I33" s="208"/>
    </row>
    <row r="34" spans="1:9" ht="18.75" x14ac:dyDescent="0.2">
      <c r="A34" s="206"/>
    </row>
    <row r="35" spans="1:9" ht="15.75" x14ac:dyDescent="0.2">
      <c r="A35" s="207"/>
    </row>
  </sheetData>
  <mergeCells count="6">
    <mergeCell ref="D1:I1"/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L47"/>
  <sheetViews>
    <sheetView view="pageBreakPreview" zoomScale="115" zoomScaleNormal="100" zoomScaleSheetLayoutView="115" workbookViewId="0">
      <selection activeCell="C1" sqref="C1:G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3" customWidth="1"/>
    <col min="7" max="7" width="11.5703125" style="3" customWidth="1"/>
    <col min="8" max="8" width="12.28515625" style="2" customWidth="1"/>
    <col min="9" max="9" width="12" style="2" customWidth="1"/>
    <col min="10" max="16384" width="9.140625" style="2"/>
  </cols>
  <sheetData>
    <row r="1" spans="1:8" ht="15.75" customHeight="1" x14ac:dyDescent="0.2">
      <c r="C1" s="383" t="s">
        <v>289</v>
      </c>
      <c r="D1" s="383"/>
      <c r="E1" s="383"/>
      <c r="F1" s="383"/>
      <c r="G1" s="383"/>
    </row>
    <row r="2" spans="1:8" ht="15.75" customHeight="1" x14ac:dyDescent="0.2">
      <c r="A2" s="286" t="s">
        <v>281</v>
      </c>
      <c r="B2" s="286"/>
      <c r="C2" s="286"/>
      <c r="D2" s="286"/>
      <c r="E2" s="286"/>
      <c r="F2" s="286"/>
      <c r="G2" s="286"/>
    </row>
    <row r="3" spans="1:8" ht="15.75" customHeight="1" x14ac:dyDescent="0.2">
      <c r="A3" s="286" t="s">
        <v>273</v>
      </c>
      <c r="B3" s="286"/>
      <c r="C3" s="286"/>
      <c r="D3" s="286"/>
      <c r="E3" s="286"/>
      <c r="F3" s="286"/>
      <c r="G3" s="286"/>
    </row>
    <row r="4" spans="1:8" ht="15.75" customHeight="1" x14ac:dyDescent="0.2">
      <c r="A4" s="5"/>
      <c r="B4" s="5"/>
      <c r="C4" s="5"/>
      <c r="D4" s="5"/>
      <c r="E4" s="6"/>
      <c r="F4" s="6"/>
      <c r="G4" s="7"/>
    </row>
    <row r="5" spans="1:8" ht="9" customHeight="1" thickBot="1" x14ac:dyDescent="0.25">
      <c r="E5" s="7"/>
      <c r="F5" s="7"/>
    </row>
    <row r="6" spans="1:8" ht="21" customHeight="1" x14ac:dyDescent="0.2">
      <c r="A6" s="321" t="s">
        <v>3</v>
      </c>
      <c r="B6" s="335"/>
      <c r="C6" s="335"/>
      <c r="D6" s="338" t="s">
        <v>51</v>
      </c>
      <c r="E6" s="339"/>
      <c r="F6" s="339"/>
      <c r="G6" s="340"/>
      <c r="H6" s="321" t="s">
        <v>285</v>
      </c>
    </row>
    <row r="7" spans="1:8" ht="39.75" customHeight="1" x14ac:dyDescent="0.2">
      <c r="A7" s="322"/>
      <c r="B7" s="336"/>
      <c r="C7" s="336"/>
      <c r="D7" s="142" t="s">
        <v>4</v>
      </c>
      <c r="E7" s="9" t="s">
        <v>129</v>
      </c>
      <c r="F7" s="277" t="s">
        <v>110</v>
      </c>
      <c r="G7" s="324" t="s">
        <v>130</v>
      </c>
      <c r="H7" s="322"/>
    </row>
    <row r="8" spans="1:8" ht="30" customHeight="1" thickBot="1" x14ac:dyDescent="0.25">
      <c r="A8" s="323"/>
      <c r="B8" s="337"/>
      <c r="C8" s="337"/>
      <c r="D8" s="143" t="s">
        <v>6</v>
      </c>
      <c r="E8" s="333" t="s">
        <v>7</v>
      </c>
      <c r="F8" s="334"/>
      <c r="G8" s="324"/>
      <c r="H8" s="323"/>
    </row>
    <row r="9" spans="1:8" ht="15.75" customHeight="1" thickBot="1" x14ac:dyDescent="0.25">
      <c r="A9" s="331" t="s">
        <v>8</v>
      </c>
      <c r="B9" s="332"/>
      <c r="C9" s="332"/>
      <c r="D9" s="155">
        <f>D10+D16+D17</f>
        <v>0</v>
      </c>
      <c r="E9" s="155">
        <f>E10+E16+E17</f>
        <v>46550094</v>
      </c>
      <c r="F9" s="155">
        <f>F10+F16+F17</f>
        <v>48303775</v>
      </c>
      <c r="G9" s="156">
        <f>SUM(D9:F9)</f>
        <v>94853869</v>
      </c>
      <c r="H9" s="3">
        <f>'4önk'!G9+'4ovi'!F9</f>
        <v>104762019</v>
      </c>
    </row>
    <row r="10" spans="1:8" ht="15.75" customHeight="1" thickBot="1" x14ac:dyDescent="0.25">
      <c r="A10" s="329" t="s">
        <v>9</v>
      </c>
      <c r="B10" s="306" t="s">
        <v>8</v>
      </c>
      <c r="C10" s="306"/>
      <c r="D10" s="157">
        <f>SUM(D11:D15)</f>
        <v>0</v>
      </c>
      <c r="E10" s="157">
        <f>SUM(E11:E15)</f>
        <v>40764713</v>
      </c>
      <c r="F10" s="157">
        <f>SUM(F11:F15)</f>
        <v>48303775</v>
      </c>
      <c r="G10" s="156">
        <f>SUM(D10:F10)</f>
        <v>89068488</v>
      </c>
      <c r="H10" s="3">
        <f>'4önk'!G10+'4ovi'!F10</f>
        <v>91651120</v>
      </c>
    </row>
    <row r="11" spans="1:8" ht="15.75" customHeight="1" thickBot="1" x14ac:dyDescent="0.25">
      <c r="A11" s="329"/>
      <c r="B11" s="14" t="s">
        <v>9</v>
      </c>
      <c r="C11" s="271" t="s">
        <v>10</v>
      </c>
      <c r="D11" s="151"/>
      <c r="E11" s="146">
        <f>'4önk'!E11</f>
        <v>11364850</v>
      </c>
      <c r="F11" s="260">
        <f>'4ovi'!D11</f>
        <v>25914987</v>
      </c>
      <c r="G11" s="156">
        <f>SUM(D11:F11)</f>
        <v>37279837</v>
      </c>
      <c r="H11" s="3">
        <f>'4önk'!G11+'4ovi'!F11</f>
        <v>39016866</v>
      </c>
    </row>
    <row r="12" spans="1:8" ht="15.75" customHeight="1" thickBot="1" x14ac:dyDescent="0.25">
      <c r="A12" s="329"/>
      <c r="B12" s="14" t="s">
        <v>11</v>
      </c>
      <c r="C12" s="271" t="s">
        <v>12</v>
      </c>
      <c r="D12" s="151"/>
      <c r="E12" s="146">
        <f>'4önk'!E12</f>
        <v>2249263</v>
      </c>
      <c r="F12" s="260">
        <f>'4ovi'!D12</f>
        <v>5309727</v>
      </c>
      <c r="G12" s="156">
        <f t="shared" ref="G12:G47" si="0">SUM(D12:F12)</f>
        <v>7558990</v>
      </c>
      <c r="H12" s="3">
        <f>'4önk'!G12+'4ovi'!F12</f>
        <v>7738912</v>
      </c>
    </row>
    <row r="13" spans="1:8" ht="15.75" customHeight="1" thickBot="1" x14ac:dyDescent="0.25">
      <c r="A13" s="329"/>
      <c r="B13" s="14" t="s">
        <v>13</v>
      </c>
      <c r="C13" s="271" t="s">
        <v>14</v>
      </c>
      <c r="D13" s="151"/>
      <c r="E13" s="146">
        <f>'4önk'!E13</f>
        <v>22840600</v>
      </c>
      <c r="F13" s="260">
        <f>'4ovi'!D13</f>
        <v>17079061</v>
      </c>
      <c r="G13" s="156">
        <f t="shared" si="0"/>
        <v>39919661</v>
      </c>
      <c r="H13" s="3">
        <f>'4önk'!G13+'4ovi'!F13</f>
        <v>39861342</v>
      </c>
    </row>
    <row r="14" spans="1:8" ht="15.75" customHeight="1" thickBot="1" x14ac:dyDescent="0.25">
      <c r="A14" s="329"/>
      <c r="B14" s="14" t="s">
        <v>15</v>
      </c>
      <c r="C14" s="271" t="s">
        <v>16</v>
      </c>
      <c r="D14" s="151"/>
      <c r="E14" s="146">
        <f>'4önk'!E14</f>
        <v>0</v>
      </c>
      <c r="F14" s="260">
        <f>'4ovi'!D14</f>
        <v>0</v>
      </c>
      <c r="G14" s="156">
        <f t="shared" si="0"/>
        <v>0</v>
      </c>
      <c r="H14" s="3">
        <f>'4önk'!G14+'4ovi'!F14</f>
        <v>0</v>
      </c>
    </row>
    <row r="15" spans="1:8" ht="15.75" customHeight="1" thickBot="1" x14ac:dyDescent="0.25">
      <c r="A15" s="329"/>
      <c r="B15" s="14" t="s">
        <v>17</v>
      </c>
      <c r="C15" s="271" t="s">
        <v>18</v>
      </c>
      <c r="D15" s="151"/>
      <c r="E15" s="146">
        <f>'4önk'!E15</f>
        <v>4310000</v>
      </c>
      <c r="F15" s="260">
        <f>'4ovi'!D15</f>
        <v>0</v>
      </c>
      <c r="G15" s="156">
        <f t="shared" si="0"/>
        <v>4310000</v>
      </c>
      <c r="H15" s="3">
        <f>'4önk'!G15+'4ovi'!F15</f>
        <v>5034000</v>
      </c>
    </row>
    <row r="16" spans="1:8" s="4" customFormat="1" ht="15.75" customHeight="1" thickBot="1" x14ac:dyDescent="0.25">
      <c r="A16" s="270" t="s">
        <v>11</v>
      </c>
      <c r="B16" s="308" t="s">
        <v>19</v>
      </c>
      <c r="C16" s="308"/>
      <c r="D16" s="150"/>
      <c r="E16" s="146">
        <f>'4önk'!E16</f>
        <v>5369381</v>
      </c>
      <c r="F16" s="260">
        <f>'4ovi'!D16</f>
        <v>0</v>
      </c>
      <c r="G16" s="156">
        <f t="shared" si="0"/>
        <v>5369381</v>
      </c>
      <c r="H16" s="3">
        <f>'4önk'!G16+'4ovi'!F16</f>
        <v>6413799</v>
      </c>
    </row>
    <row r="17" spans="1:12" s="4" customFormat="1" ht="15.75" customHeight="1" thickBot="1" x14ac:dyDescent="0.25">
      <c r="A17" s="272" t="s">
        <v>13</v>
      </c>
      <c r="B17" s="342" t="s">
        <v>20</v>
      </c>
      <c r="C17" s="342"/>
      <c r="D17" s="158"/>
      <c r="E17" s="146">
        <f>'4önk'!E17</f>
        <v>416000</v>
      </c>
      <c r="F17" s="260">
        <f>'4ovi'!D17</f>
        <v>0</v>
      </c>
      <c r="G17" s="156">
        <f t="shared" si="0"/>
        <v>416000</v>
      </c>
      <c r="H17" s="3">
        <f>'4önk'!G17+'4ovi'!F17</f>
        <v>6697100</v>
      </c>
    </row>
    <row r="18" spans="1:12" s="4" customFormat="1" ht="15.75" customHeight="1" thickBot="1" x14ac:dyDescent="0.25">
      <c r="A18" s="313" t="s">
        <v>21</v>
      </c>
      <c r="B18" s="314"/>
      <c r="C18" s="315"/>
      <c r="D18" s="15">
        <f>SUM(D19:D21)</f>
        <v>0</v>
      </c>
      <c r="E18" s="146">
        <f>'4önk'!E18</f>
        <v>122036517</v>
      </c>
      <c r="F18" s="260">
        <f>'4ovi'!D18</f>
        <v>0</v>
      </c>
      <c r="G18" s="156">
        <f t="shared" si="0"/>
        <v>122036517</v>
      </c>
      <c r="H18" s="3">
        <f>'4önk'!G18+'4ovi'!F18</f>
        <v>122645789</v>
      </c>
      <c r="L18" s="184"/>
    </row>
    <row r="19" spans="1:12" ht="20.25" customHeight="1" thickBot="1" x14ac:dyDescent="0.25">
      <c r="A19" s="16" t="s">
        <v>9</v>
      </c>
      <c r="B19" s="330" t="s">
        <v>182</v>
      </c>
      <c r="C19" s="330"/>
      <c r="D19" s="151"/>
      <c r="E19" s="146">
        <f>'4önk'!E19</f>
        <v>122036517</v>
      </c>
      <c r="F19" s="260">
        <f>'4ovi'!D19</f>
        <v>0</v>
      </c>
      <c r="G19" s="156">
        <f t="shared" si="0"/>
        <v>122036517</v>
      </c>
      <c r="H19" s="3">
        <f>'4önk'!G19+'4ovi'!F19</f>
        <v>122645789</v>
      </c>
      <c r="L19" s="184"/>
    </row>
    <row r="20" spans="1:12" ht="15.75" customHeight="1" thickBot="1" x14ac:dyDescent="0.25">
      <c r="A20" s="16" t="s">
        <v>11</v>
      </c>
      <c r="B20" s="343" t="s">
        <v>22</v>
      </c>
      <c r="C20" s="344"/>
      <c r="D20" s="160"/>
      <c r="E20" s="146">
        <f>'4önk'!E20</f>
        <v>0</v>
      </c>
      <c r="F20" s="260">
        <f>'4ovi'!D20</f>
        <v>0</v>
      </c>
      <c r="G20" s="156">
        <f t="shared" si="0"/>
        <v>0</v>
      </c>
      <c r="H20" s="3">
        <f>'4önk'!G20+'4ovi'!F20</f>
        <v>0</v>
      </c>
      <c r="L20" s="184"/>
    </row>
    <row r="21" spans="1:12" ht="15.75" customHeight="1" thickBot="1" x14ac:dyDescent="0.25">
      <c r="A21" s="17" t="s">
        <v>13</v>
      </c>
      <c r="B21" s="327" t="s">
        <v>23</v>
      </c>
      <c r="C21" s="327"/>
      <c r="D21" s="161"/>
      <c r="E21" s="146">
        <f>'4önk'!E21</f>
        <v>0</v>
      </c>
      <c r="F21" s="260">
        <f>'4ovi'!D21</f>
        <v>0</v>
      </c>
      <c r="G21" s="156">
        <f t="shared" si="0"/>
        <v>0</v>
      </c>
      <c r="H21" s="3">
        <f>'4önk'!G21+'4ovi'!F21</f>
        <v>0</v>
      </c>
      <c r="L21" s="184"/>
    </row>
    <row r="22" spans="1:12" ht="18" customHeight="1" thickBot="1" x14ac:dyDescent="0.25">
      <c r="A22" s="331" t="s">
        <v>24</v>
      </c>
      <c r="B22" s="332"/>
      <c r="C22" s="332"/>
      <c r="D22" s="238">
        <f>D23+D26</f>
        <v>0</v>
      </c>
      <c r="E22" s="146">
        <f>'4önk'!E22</f>
        <v>0</v>
      </c>
      <c r="F22" s="260">
        <f>'4ovi'!D22</f>
        <v>0</v>
      </c>
      <c r="G22" s="156">
        <f t="shared" si="0"/>
        <v>0</v>
      </c>
      <c r="H22" s="3">
        <f>'4önk'!G22+'4ovi'!F22</f>
        <v>0</v>
      </c>
      <c r="L22" s="184"/>
    </row>
    <row r="23" spans="1:12" s="4" customFormat="1" ht="18" customHeight="1" thickBot="1" x14ac:dyDescent="0.25">
      <c r="A23" s="329" t="s">
        <v>9</v>
      </c>
      <c r="B23" s="306" t="s">
        <v>25</v>
      </c>
      <c r="C23" s="307"/>
      <c r="D23" s="163">
        <f>SUM(D24:D25)</f>
        <v>0</v>
      </c>
      <c r="E23" s="146">
        <f>'4önk'!E23</f>
        <v>0</v>
      </c>
      <c r="F23" s="260">
        <f>'4ovi'!D23</f>
        <v>0</v>
      </c>
      <c r="G23" s="156">
        <f t="shared" si="0"/>
        <v>0</v>
      </c>
      <c r="H23" s="3">
        <f>'4önk'!G23+'4ovi'!F23</f>
        <v>0</v>
      </c>
      <c r="L23" s="184"/>
    </row>
    <row r="24" spans="1:12" ht="18" customHeight="1" thickBot="1" x14ac:dyDescent="0.25">
      <c r="A24" s="329"/>
      <c r="B24" s="14" t="s">
        <v>9</v>
      </c>
      <c r="C24" s="18" t="s">
        <v>26</v>
      </c>
      <c r="D24" s="164"/>
      <c r="E24" s="146">
        <f>'4önk'!E24</f>
        <v>0</v>
      </c>
      <c r="F24" s="260">
        <f>'4ovi'!D24</f>
        <v>0</v>
      </c>
      <c r="G24" s="156">
        <f t="shared" si="0"/>
        <v>0</v>
      </c>
      <c r="H24" s="3">
        <f>'4önk'!G24+'4ovi'!F24</f>
        <v>0</v>
      </c>
      <c r="L24" s="184"/>
    </row>
    <row r="25" spans="1:12" ht="18" customHeight="1" thickBot="1" x14ac:dyDescent="0.25">
      <c r="A25" s="329"/>
      <c r="B25" s="14" t="s">
        <v>11</v>
      </c>
      <c r="C25" s="18" t="s">
        <v>27</v>
      </c>
      <c r="D25" s="164"/>
      <c r="E25" s="146">
        <f>'4önk'!E25</f>
        <v>0</v>
      </c>
      <c r="F25" s="260">
        <f>'4ovi'!D25</f>
        <v>0</v>
      </c>
      <c r="G25" s="156">
        <f t="shared" si="0"/>
        <v>0</v>
      </c>
      <c r="H25" s="3">
        <f>'4önk'!G25+'4ovi'!F25</f>
        <v>0</v>
      </c>
      <c r="L25" s="185"/>
    </row>
    <row r="26" spans="1:12" s="4" customFormat="1" ht="18" customHeight="1" thickBot="1" x14ac:dyDescent="0.25">
      <c r="A26" s="329" t="s">
        <v>11</v>
      </c>
      <c r="B26" s="306" t="s">
        <v>28</v>
      </c>
      <c r="C26" s="307"/>
      <c r="D26" s="163">
        <f>SUM(D27:D28)</f>
        <v>0</v>
      </c>
      <c r="E26" s="146">
        <f>'4önk'!E26</f>
        <v>0</v>
      </c>
      <c r="F26" s="260">
        <f>'4ovi'!D26</f>
        <v>0</v>
      </c>
      <c r="G26" s="156">
        <f t="shared" si="0"/>
        <v>0</v>
      </c>
      <c r="H26" s="3">
        <f>'4önk'!G26+'4ovi'!F26</f>
        <v>0</v>
      </c>
    </row>
    <row r="27" spans="1:12" ht="15.75" customHeight="1" thickBot="1" x14ac:dyDescent="0.25">
      <c r="A27" s="329"/>
      <c r="B27" s="14" t="s">
        <v>9</v>
      </c>
      <c r="C27" s="18" t="s">
        <v>26</v>
      </c>
      <c r="D27" s="164"/>
      <c r="E27" s="146">
        <f>'4önk'!E27</f>
        <v>0</v>
      </c>
      <c r="F27" s="260">
        <f>'4ovi'!D27</f>
        <v>0</v>
      </c>
      <c r="G27" s="156">
        <f t="shared" si="0"/>
        <v>0</v>
      </c>
      <c r="H27" s="3">
        <f>'4önk'!G27+'4ovi'!F27</f>
        <v>0</v>
      </c>
    </row>
    <row r="28" spans="1:12" ht="15.75" customHeight="1" thickBot="1" x14ac:dyDescent="0.25">
      <c r="A28" s="341"/>
      <c r="B28" s="19" t="s">
        <v>11</v>
      </c>
      <c r="C28" s="20" t="s">
        <v>27</v>
      </c>
      <c r="D28" s="165"/>
      <c r="E28" s="146">
        <f>'4önk'!E28</f>
        <v>0</v>
      </c>
      <c r="F28" s="260">
        <f>'4ovi'!D28</f>
        <v>0</v>
      </c>
      <c r="G28" s="156">
        <f t="shared" si="0"/>
        <v>0</v>
      </c>
      <c r="H28" s="3">
        <f>'4önk'!G28+'4ovi'!F28</f>
        <v>0</v>
      </c>
    </row>
    <row r="29" spans="1:12" s="4" customFormat="1" ht="18" customHeight="1" thickBot="1" x14ac:dyDescent="0.25">
      <c r="A29" s="313" t="s">
        <v>29</v>
      </c>
      <c r="B29" s="314"/>
      <c r="C29" s="315"/>
      <c r="D29" s="166">
        <f>D30+D31</f>
        <v>0</v>
      </c>
      <c r="E29" s="146">
        <f>'4önk'!E29</f>
        <v>2766147</v>
      </c>
      <c r="F29" s="260">
        <f>'4ovi'!D29</f>
        <v>0</v>
      </c>
      <c r="G29" s="156">
        <f t="shared" si="0"/>
        <v>2766147</v>
      </c>
      <c r="H29" s="3">
        <f>'4önk'!G29+'4ovi'!F29</f>
        <v>3716339</v>
      </c>
    </row>
    <row r="30" spans="1:12" s="4" customFormat="1" ht="18" customHeight="1" thickBot="1" x14ac:dyDescent="0.25">
      <c r="A30" s="273" t="s">
        <v>9</v>
      </c>
      <c r="B30" s="316" t="s">
        <v>30</v>
      </c>
      <c r="C30" s="317"/>
      <c r="D30" s="15"/>
      <c r="E30" s="146">
        <f>'4önk'!E30</f>
        <v>0</v>
      </c>
      <c r="F30" s="260">
        <f>'4ovi'!D30</f>
        <v>0</v>
      </c>
      <c r="G30" s="156">
        <f t="shared" si="0"/>
        <v>0</v>
      </c>
      <c r="H30" s="3">
        <f>'4önk'!G30+'4ovi'!F30</f>
        <v>0</v>
      </c>
    </row>
    <row r="31" spans="1:12" s="4" customFormat="1" ht="18" customHeight="1" thickBot="1" x14ac:dyDescent="0.25">
      <c r="A31" s="318" t="s">
        <v>11</v>
      </c>
      <c r="B31" s="316" t="s">
        <v>31</v>
      </c>
      <c r="C31" s="317"/>
      <c r="D31" s="149">
        <f>SUM(D32:D33)</f>
        <v>0</v>
      </c>
      <c r="E31" s="146">
        <f>'4önk'!E31</f>
        <v>2766147</v>
      </c>
      <c r="F31" s="260">
        <f>'4ovi'!D31</f>
        <v>0</v>
      </c>
      <c r="G31" s="156">
        <f t="shared" si="0"/>
        <v>2766147</v>
      </c>
      <c r="H31" s="3">
        <f>'4önk'!G31+'4ovi'!F31</f>
        <v>3716339</v>
      </c>
    </row>
    <row r="32" spans="1:12" ht="18" customHeight="1" thickBot="1" x14ac:dyDescent="0.25">
      <c r="A32" s="319"/>
      <c r="B32" s="21" t="s">
        <v>9</v>
      </c>
      <c r="C32" s="22" t="s">
        <v>32</v>
      </c>
      <c r="D32" s="167"/>
      <c r="E32" s="146">
        <f>'4önk'!E32</f>
        <v>2766147</v>
      </c>
      <c r="F32" s="260">
        <f>'4ovi'!D32</f>
        <v>0</v>
      </c>
      <c r="G32" s="156">
        <f t="shared" si="0"/>
        <v>2766147</v>
      </c>
      <c r="H32" s="3">
        <f>'4önk'!G32+'4ovi'!F32</f>
        <v>3716339</v>
      </c>
    </row>
    <row r="33" spans="1:8" s="4" customFormat="1" ht="18" customHeight="1" thickBot="1" x14ac:dyDescent="0.25">
      <c r="A33" s="320"/>
      <c r="B33" s="24" t="s">
        <v>11</v>
      </c>
      <c r="C33" s="25" t="s">
        <v>33</v>
      </c>
      <c r="D33" s="169"/>
      <c r="E33" s="146">
        <f>'4önk'!E33</f>
        <v>0</v>
      </c>
      <c r="F33" s="260">
        <f>'4ovi'!D33</f>
        <v>0</v>
      </c>
      <c r="G33" s="156">
        <f t="shared" si="0"/>
        <v>0</v>
      </c>
      <c r="H33" s="3">
        <f>'4önk'!G33+'4ovi'!F33</f>
        <v>0</v>
      </c>
    </row>
    <row r="34" spans="1:8" s="4" customFormat="1" ht="18" customHeight="1" thickBot="1" x14ac:dyDescent="0.25">
      <c r="A34" s="26"/>
      <c r="B34" s="328" t="s">
        <v>34</v>
      </c>
      <c r="C34" s="328"/>
      <c r="D34" s="171">
        <f>SUM(D9,D18,D29)</f>
        <v>0</v>
      </c>
      <c r="E34" s="146">
        <f>'4önk'!E34</f>
        <v>171352758</v>
      </c>
      <c r="F34" s="260">
        <f>'4ovi'!D34</f>
        <v>48303775</v>
      </c>
      <c r="G34" s="156">
        <f t="shared" si="0"/>
        <v>219656533</v>
      </c>
      <c r="H34" s="3">
        <f>'4önk'!G34+'4ovi'!F34</f>
        <v>231124147</v>
      </c>
    </row>
    <row r="35" spans="1:8" s="4" customFormat="1" ht="18" customHeight="1" thickBot="1" x14ac:dyDescent="0.25">
      <c r="A35" s="273">
        <v>1</v>
      </c>
      <c r="B35" s="311" t="s">
        <v>35</v>
      </c>
      <c r="C35" s="311"/>
      <c r="D35" s="124">
        <f t="shared" ref="D35" si="1">SUM(D36:D37)</f>
        <v>0</v>
      </c>
      <c r="E35" s="146">
        <f>'4önk'!E35</f>
        <v>0</v>
      </c>
      <c r="F35" s="260">
        <f>'4ovi'!D35</f>
        <v>0</v>
      </c>
      <c r="G35" s="156">
        <f t="shared" si="0"/>
        <v>0</v>
      </c>
      <c r="H35" s="3">
        <f>'4önk'!G35+'4ovi'!F35</f>
        <v>0</v>
      </c>
    </row>
    <row r="36" spans="1:8" s="4" customFormat="1" ht="18" customHeight="1" thickBot="1" x14ac:dyDescent="0.25">
      <c r="A36" s="325"/>
      <c r="B36" s="14" t="s">
        <v>9</v>
      </c>
      <c r="C36" s="27" t="s">
        <v>36</v>
      </c>
      <c r="D36" s="152"/>
      <c r="E36" s="146">
        <f>'4önk'!E36</f>
        <v>0</v>
      </c>
      <c r="F36" s="260">
        <f>'4ovi'!D36</f>
        <v>0</v>
      </c>
      <c r="G36" s="156">
        <f t="shared" si="0"/>
        <v>0</v>
      </c>
      <c r="H36" s="3">
        <f>'4önk'!G36+'4ovi'!F36</f>
        <v>0</v>
      </c>
    </row>
    <row r="37" spans="1:8" s="4" customFormat="1" ht="18" customHeight="1" thickBot="1" x14ac:dyDescent="0.25">
      <c r="A37" s="326"/>
      <c r="B37" s="14" t="s">
        <v>11</v>
      </c>
      <c r="C37" s="27" t="s">
        <v>37</v>
      </c>
      <c r="D37" s="152"/>
      <c r="E37" s="146">
        <f>'4önk'!E37</f>
        <v>0</v>
      </c>
      <c r="F37" s="260">
        <f>'4ovi'!D37</f>
        <v>0</v>
      </c>
      <c r="G37" s="156">
        <f t="shared" si="0"/>
        <v>0</v>
      </c>
      <c r="H37" s="3">
        <f>'4önk'!G37+'4ovi'!F37</f>
        <v>0</v>
      </c>
    </row>
    <row r="38" spans="1:8" s="4" customFormat="1" ht="18" customHeight="1" thickBot="1" x14ac:dyDescent="0.25">
      <c r="A38" s="28" t="s">
        <v>11</v>
      </c>
      <c r="B38" s="308" t="s">
        <v>38</v>
      </c>
      <c r="C38" s="308"/>
      <c r="D38" s="124">
        <f t="shared" ref="D38" si="2">SUM(D39:D41)</f>
        <v>0</v>
      </c>
      <c r="E38" s="146">
        <f>'4önk'!E38</f>
        <v>0</v>
      </c>
      <c r="F38" s="260">
        <f>'4ovi'!D38</f>
        <v>0</v>
      </c>
      <c r="G38" s="156">
        <f t="shared" si="0"/>
        <v>0</v>
      </c>
      <c r="H38" s="3">
        <f>'4önk'!G38+'4ovi'!F38</f>
        <v>0</v>
      </c>
    </row>
    <row r="39" spans="1:8" s="4" customFormat="1" ht="18" customHeight="1" thickBot="1" x14ac:dyDescent="0.25">
      <c r="A39" s="325"/>
      <c r="B39" s="14" t="s">
        <v>9</v>
      </c>
      <c r="C39" s="271" t="s">
        <v>39</v>
      </c>
      <c r="D39" s="151"/>
      <c r="E39" s="146">
        <f>'4önk'!E39</f>
        <v>0</v>
      </c>
      <c r="F39" s="260">
        <f>'4ovi'!D39</f>
        <v>0</v>
      </c>
      <c r="G39" s="156">
        <f t="shared" si="0"/>
        <v>0</v>
      </c>
      <c r="H39" s="3">
        <f>'4önk'!G39+'4ovi'!F39</f>
        <v>0</v>
      </c>
    </row>
    <row r="40" spans="1:8" s="4" customFormat="1" ht="18" customHeight="1" thickBot="1" x14ac:dyDescent="0.25">
      <c r="A40" s="326"/>
      <c r="B40" s="14" t="s">
        <v>11</v>
      </c>
      <c r="C40" s="271" t="s">
        <v>40</v>
      </c>
      <c r="D40" s="151"/>
      <c r="E40" s="146">
        <f>'4önk'!E40</f>
        <v>0</v>
      </c>
      <c r="F40" s="260">
        <f>'4ovi'!D40</f>
        <v>0</v>
      </c>
      <c r="G40" s="156">
        <f t="shared" si="0"/>
        <v>0</v>
      </c>
      <c r="H40" s="3">
        <f>'4önk'!G40+'4ovi'!F40</f>
        <v>0</v>
      </c>
    </row>
    <row r="41" spans="1:8" s="4" customFormat="1" ht="18" customHeight="1" thickBot="1" x14ac:dyDescent="0.25">
      <c r="A41" s="29"/>
      <c r="B41" s="30" t="s">
        <v>13</v>
      </c>
      <c r="C41" s="31" t="s">
        <v>41</v>
      </c>
      <c r="D41" s="173"/>
      <c r="E41" s="146">
        <f>'4önk'!E41</f>
        <v>0</v>
      </c>
      <c r="F41" s="260">
        <f>'4ovi'!D41</f>
        <v>0</v>
      </c>
      <c r="G41" s="156">
        <f t="shared" si="0"/>
        <v>0</v>
      </c>
      <c r="H41" s="3">
        <f>'4önk'!G41+'4ovi'!F41</f>
        <v>0</v>
      </c>
    </row>
    <row r="42" spans="1:8" s="4" customFormat="1" ht="18" customHeight="1" thickBot="1" x14ac:dyDescent="0.25">
      <c r="A42" s="26"/>
      <c r="B42" s="309" t="s">
        <v>42</v>
      </c>
      <c r="C42" s="310"/>
      <c r="D42" s="239">
        <f>D38+D35</f>
        <v>0</v>
      </c>
      <c r="E42" s="146">
        <f>'4önk'!E42</f>
        <v>0</v>
      </c>
      <c r="F42" s="260">
        <f>'4ovi'!D42</f>
        <v>0</v>
      </c>
      <c r="G42" s="156">
        <f t="shared" si="0"/>
        <v>0</v>
      </c>
      <c r="H42" s="3">
        <f>'4önk'!G42+'4ovi'!F42</f>
        <v>0</v>
      </c>
    </row>
    <row r="43" spans="1:8" s="4" customFormat="1" ht="21" customHeight="1" thickBot="1" x14ac:dyDescent="0.25">
      <c r="A43" s="32"/>
      <c r="B43" s="304" t="s">
        <v>43</v>
      </c>
      <c r="C43" s="304"/>
      <c r="D43" s="154">
        <f>D42+D34</f>
        <v>0</v>
      </c>
      <c r="E43" s="146">
        <f>'4önk'!E43</f>
        <v>171352758</v>
      </c>
      <c r="F43" s="260">
        <f>'4ovi'!D43</f>
        <v>48303775</v>
      </c>
      <c r="G43" s="156">
        <f t="shared" si="0"/>
        <v>219656533</v>
      </c>
      <c r="H43" s="3">
        <f>'4önk'!G43+'4ovi'!F43</f>
        <v>231124147</v>
      </c>
    </row>
    <row r="44" spans="1:8" ht="15.75" customHeight="1" thickBot="1" x14ac:dyDescent="0.25">
      <c r="A44" s="127"/>
      <c r="D44" s="176"/>
      <c r="E44" s="146">
        <f>'4önk'!E44</f>
        <v>0</v>
      </c>
      <c r="F44" s="260">
        <f>'4ovi'!D44</f>
        <v>0</v>
      </c>
      <c r="G44" s="156"/>
      <c r="H44" s="3">
        <f>'4önk'!G44+'4ovi'!F44</f>
        <v>0</v>
      </c>
    </row>
    <row r="45" spans="1:8" ht="15.75" customHeight="1" thickBot="1" x14ac:dyDescent="0.25">
      <c r="A45" s="33" t="s">
        <v>9</v>
      </c>
      <c r="B45" s="312" t="s">
        <v>44</v>
      </c>
      <c r="C45" s="312"/>
      <c r="D45" s="162">
        <f>D9+D32+D36+D39</f>
        <v>0</v>
      </c>
      <c r="E45" s="146">
        <f>'4önk'!E45</f>
        <v>49316241</v>
      </c>
      <c r="F45" s="260">
        <f>'4ovi'!D45</f>
        <v>48303775</v>
      </c>
      <c r="G45" s="156">
        <f t="shared" si="0"/>
        <v>97620016</v>
      </c>
      <c r="H45" s="3">
        <f>'4önk'!G45+'4ovi'!F45</f>
        <v>108970050</v>
      </c>
    </row>
    <row r="46" spans="1:8" ht="15.75" customHeight="1" thickBot="1" x14ac:dyDescent="0.25">
      <c r="A46" s="34" t="s">
        <v>11</v>
      </c>
      <c r="B46" s="327" t="s">
        <v>45</v>
      </c>
      <c r="C46" s="327"/>
      <c r="D46" s="161">
        <f>D18+D26+D33+D37+D40+D41</f>
        <v>0</v>
      </c>
      <c r="E46" s="146">
        <f>'4önk'!E46</f>
        <v>122036517</v>
      </c>
      <c r="F46" s="260">
        <f>'4ovi'!D46</f>
        <v>0</v>
      </c>
      <c r="G46" s="156">
        <f t="shared" si="0"/>
        <v>122036517</v>
      </c>
      <c r="H46" s="3">
        <f>'4önk'!G46+'4ovi'!F46</f>
        <v>122154097</v>
      </c>
    </row>
    <row r="47" spans="1:8" ht="21" customHeight="1" thickBot="1" x14ac:dyDescent="0.25">
      <c r="A47" s="35"/>
      <c r="B47" s="304" t="s">
        <v>43</v>
      </c>
      <c r="C47" s="305"/>
      <c r="D47" s="177">
        <f>D45+D46</f>
        <v>0</v>
      </c>
      <c r="E47" s="146">
        <f>'4önk'!E47</f>
        <v>171352758</v>
      </c>
      <c r="F47" s="260">
        <f>'4ovi'!D47</f>
        <v>48303775</v>
      </c>
      <c r="G47" s="156">
        <f t="shared" si="0"/>
        <v>219656533</v>
      </c>
      <c r="H47" s="3">
        <f>'4önk'!G47+'4ovi'!F47</f>
        <v>231124147</v>
      </c>
    </row>
  </sheetData>
  <mergeCells count="36">
    <mergeCell ref="C1:G1"/>
    <mergeCell ref="A2:G2"/>
    <mergeCell ref="B34:C34"/>
    <mergeCell ref="A10:A15"/>
    <mergeCell ref="B10:C10"/>
    <mergeCell ref="B19:C19"/>
    <mergeCell ref="A22:C22"/>
    <mergeCell ref="A23:A25"/>
    <mergeCell ref="E8:F8"/>
    <mergeCell ref="B21:C21"/>
    <mergeCell ref="A6:C8"/>
    <mergeCell ref="D6:G6"/>
    <mergeCell ref="A26:A28"/>
    <mergeCell ref="A9:C9"/>
    <mergeCell ref="B17:C17"/>
    <mergeCell ref="A18:C18"/>
    <mergeCell ref="B20:C20"/>
    <mergeCell ref="H6:H8"/>
    <mergeCell ref="A3:G3"/>
    <mergeCell ref="G7:G8"/>
    <mergeCell ref="A36:A37"/>
    <mergeCell ref="B46:C46"/>
    <mergeCell ref="A39:A40"/>
    <mergeCell ref="B16:C16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1:A33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A47"/>
  <sheetViews>
    <sheetView view="pageBreakPreview" zoomScale="130" zoomScaleNormal="100" zoomScaleSheetLayoutView="13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F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3" customWidth="1"/>
    <col min="6" max="6" width="11.5703125" style="3" customWidth="1"/>
    <col min="7" max="7" width="12.42578125" style="2" customWidth="1"/>
    <col min="8" max="8" width="12" style="2" customWidth="1"/>
    <col min="9" max="16384" width="9.140625" style="2"/>
  </cols>
  <sheetData>
    <row r="1" spans="1:27" ht="15.75" customHeight="1" x14ac:dyDescent="0.2">
      <c r="A1" s="287" t="s">
        <v>289</v>
      </c>
      <c r="B1" s="287"/>
      <c r="C1" s="287"/>
      <c r="D1" s="287"/>
      <c r="E1" s="287"/>
      <c r="F1" s="287"/>
    </row>
    <row r="2" spans="1:27" ht="15.75" customHeight="1" x14ac:dyDescent="0.2">
      <c r="A2" s="286" t="s">
        <v>180</v>
      </c>
      <c r="B2" s="286"/>
      <c r="C2" s="286"/>
      <c r="D2" s="286"/>
      <c r="E2" s="286"/>
      <c r="F2" s="286"/>
    </row>
    <row r="3" spans="1:27" ht="15.75" customHeight="1" x14ac:dyDescent="0.2">
      <c r="A3" s="5"/>
      <c r="B3" s="5"/>
      <c r="C3" s="5"/>
      <c r="D3" s="5"/>
      <c r="E3" s="6"/>
    </row>
    <row r="4" spans="1:27" ht="15.75" customHeight="1" x14ac:dyDescent="0.2">
      <c r="A4" s="5"/>
      <c r="B4" s="5"/>
      <c r="C4" s="286" t="s">
        <v>2</v>
      </c>
      <c r="D4" s="286"/>
      <c r="E4" s="286"/>
      <c r="F4" s="7"/>
    </row>
    <row r="5" spans="1:27" ht="9" customHeight="1" thickBot="1" x14ac:dyDescent="0.25">
      <c r="E5" s="7"/>
    </row>
    <row r="6" spans="1:27" ht="21" customHeight="1" x14ac:dyDescent="0.2">
      <c r="A6" s="321" t="s">
        <v>3</v>
      </c>
      <c r="B6" s="335"/>
      <c r="C6" s="345"/>
      <c r="D6" s="348" t="s">
        <v>51</v>
      </c>
      <c r="E6" s="339"/>
      <c r="F6" s="340"/>
      <c r="G6" s="321" t="s">
        <v>285</v>
      </c>
    </row>
    <row r="7" spans="1:27" ht="39.75" customHeight="1" x14ac:dyDescent="0.2">
      <c r="A7" s="322"/>
      <c r="B7" s="336"/>
      <c r="C7" s="346"/>
      <c r="D7" s="8" t="s">
        <v>4</v>
      </c>
      <c r="E7" s="9" t="s">
        <v>4</v>
      </c>
      <c r="F7" s="10" t="s">
        <v>5</v>
      </c>
      <c r="G7" s="322"/>
    </row>
    <row r="8" spans="1:27" ht="30" customHeight="1" thickBot="1" x14ac:dyDescent="0.25">
      <c r="A8" s="323"/>
      <c r="B8" s="337"/>
      <c r="C8" s="347"/>
      <c r="D8" s="11" t="s">
        <v>6</v>
      </c>
      <c r="E8" s="12" t="s">
        <v>7</v>
      </c>
      <c r="F8" s="13"/>
      <c r="G8" s="323"/>
      <c r="H8" s="176" t="s">
        <v>254</v>
      </c>
      <c r="I8" s="176" t="s">
        <v>255</v>
      </c>
      <c r="J8" s="176" t="s">
        <v>256</v>
      </c>
      <c r="K8" s="176" t="s">
        <v>257</v>
      </c>
      <c r="L8" s="176" t="s">
        <v>258</v>
      </c>
      <c r="M8" s="176" t="s">
        <v>259</v>
      </c>
      <c r="N8" s="176" t="s">
        <v>260</v>
      </c>
      <c r="O8" s="176" t="s">
        <v>261</v>
      </c>
      <c r="P8" s="176" t="s">
        <v>262</v>
      </c>
      <c r="Q8" s="176" t="s">
        <v>263</v>
      </c>
      <c r="R8" s="176" t="s">
        <v>264</v>
      </c>
      <c r="S8" s="176" t="s">
        <v>265</v>
      </c>
      <c r="T8" s="176" t="s">
        <v>266</v>
      </c>
      <c r="U8" s="176" t="s">
        <v>267</v>
      </c>
      <c r="V8" s="176" t="s">
        <v>268</v>
      </c>
      <c r="W8" s="176" t="s">
        <v>269</v>
      </c>
      <c r="X8" s="176" t="s">
        <v>270</v>
      </c>
    </row>
    <row r="9" spans="1:27" ht="15.75" customHeight="1" thickBot="1" x14ac:dyDescent="0.25">
      <c r="A9" s="331" t="s">
        <v>8</v>
      </c>
      <c r="B9" s="332"/>
      <c r="C9" s="332"/>
      <c r="D9" s="155">
        <f>D10+D16+D17</f>
        <v>0</v>
      </c>
      <c r="E9" s="155">
        <f>E10+E16+E17</f>
        <v>46550094</v>
      </c>
      <c r="F9" s="36">
        <f t="shared" ref="F9:F46" si="0">SUM(D9:E9)</f>
        <v>46550094</v>
      </c>
      <c r="G9" s="155">
        <f>G10+G16+G17</f>
        <v>55006991</v>
      </c>
    </row>
    <row r="10" spans="1:27" ht="15.75" customHeight="1" thickBot="1" x14ac:dyDescent="0.25">
      <c r="A10" s="329" t="s">
        <v>9</v>
      </c>
      <c r="B10" s="306" t="s">
        <v>8</v>
      </c>
      <c r="C10" s="306"/>
      <c r="D10" s="157">
        <f>SUM(D11:D15)</f>
        <v>0</v>
      </c>
      <c r="E10" s="157">
        <f>SUM(E11:E15)</f>
        <v>40764713</v>
      </c>
      <c r="F10" s="36">
        <f t="shared" si="0"/>
        <v>40764713</v>
      </c>
      <c r="G10" s="157">
        <f>SUM(G11:G15)</f>
        <v>41896092</v>
      </c>
      <c r="Y10" s="176"/>
      <c r="Z10" s="176"/>
      <c r="AA10" s="176"/>
    </row>
    <row r="11" spans="1:27" ht="15.75" customHeight="1" thickBot="1" x14ac:dyDescent="0.25">
      <c r="A11" s="329"/>
      <c r="B11" s="14" t="s">
        <v>9</v>
      </c>
      <c r="C11" s="271" t="s">
        <v>10</v>
      </c>
      <c r="D11" s="151"/>
      <c r="E11" s="146">
        <f>SUM(H11:X11)</f>
        <v>11364850</v>
      </c>
      <c r="F11" s="36">
        <f t="shared" si="0"/>
        <v>11364850</v>
      </c>
      <c r="G11" s="2">
        <f>11364850+118614+1227811-518462</f>
        <v>12192813</v>
      </c>
      <c r="H11" s="2">
        <v>605000</v>
      </c>
      <c r="K11" s="2">
        <v>6210000</v>
      </c>
      <c r="N11" s="2">
        <v>3412600</v>
      </c>
      <c r="U11" s="2">
        <v>90360</v>
      </c>
      <c r="X11" s="2">
        <v>1046890</v>
      </c>
    </row>
    <row r="12" spans="1:27" ht="15.75" customHeight="1" thickBot="1" x14ac:dyDescent="0.25">
      <c r="A12" s="329"/>
      <c r="B12" s="14" t="s">
        <v>11</v>
      </c>
      <c r="C12" s="271" t="s">
        <v>12</v>
      </c>
      <c r="D12" s="151"/>
      <c r="E12" s="146">
        <f t="shared" ref="E12:E21" si="1">SUM(H12:X12)</f>
        <v>2249263</v>
      </c>
      <c r="F12" s="36">
        <f t="shared" si="0"/>
        <v>2249263</v>
      </c>
      <c r="G12" s="2">
        <f>2249263+239423-176501</f>
        <v>2312185</v>
      </c>
      <c r="H12" s="2">
        <v>117975</v>
      </c>
      <c r="K12" s="2">
        <v>1297523</v>
      </c>
      <c r="N12" s="2">
        <v>674815</v>
      </c>
      <c r="U12" s="2">
        <v>17620</v>
      </c>
      <c r="X12" s="2">
        <v>141330</v>
      </c>
    </row>
    <row r="13" spans="1:27" ht="15.75" customHeight="1" thickBot="1" x14ac:dyDescent="0.25">
      <c r="A13" s="329"/>
      <c r="B13" s="14" t="s">
        <v>13</v>
      </c>
      <c r="C13" s="271" t="s">
        <v>14</v>
      </c>
      <c r="D13" s="151"/>
      <c r="E13" s="146">
        <f t="shared" si="1"/>
        <v>22840600</v>
      </c>
      <c r="F13" s="36">
        <f t="shared" si="0"/>
        <v>22840600</v>
      </c>
      <c r="G13" s="2">
        <f>22840600-59868+70000-493638</f>
        <v>22357094</v>
      </c>
      <c r="H13" s="2">
        <v>9605000</v>
      </c>
      <c r="I13" s="2">
        <v>317500</v>
      </c>
      <c r="J13" s="2">
        <v>3037260</v>
      </c>
      <c r="K13" s="2">
        <v>1727000</v>
      </c>
      <c r="L13" s="2">
        <v>3968000</v>
      </c>
      <c r="M13" s="2">
        <v>533400</v>
      </c>
      <c r="N13" s="2">
        <v>2587600</v>
      </c>
      <c r="T13" s="2">
        <v>825000</v>
      </c>
      <c r="U13" s="2">
        <v>239840</v>
      </c>
    </row>
    <row r="14" spans="1:27" ht="15.75" customHeight="1" thickBot="1" x14ac:dyDescent="0.25">
      <c r="A14" s="329"/>
      <c r="B14" s="14" t="s">
        <v>15</v>
      </c>
      <c r="C14" s="271" t="s">
        <v>16</v>
      </c>
      <c r="D14" s="151"/>
      <c r="E14" s="146">
        <f t="shared" si="1"/>
        <v>0</v>
      </c>
      <c r="F14" s="36">
        <f t="shared" si="0"/>
        <v>0</v>
      </c>
      <c r="G14" s="2">
        <v>0</v>
      </c>
    </row>
    <row r="15" spans="1:27" ht="15.75" customHeight="1" thickBot="1" x14ac:dyDescent="0.25">
      <c r="A15" s="329"/>
      <c r="B15" s="14" t="s">
        <v>17</v>
      </c>
      <c r="C15" s="271" t="s">
        <v>18</v>
      </c>
      <c r="D15" s="151"/>
      <c r="E15" s="146">
        <f t="shared" si="1"/>
        <v>4310000</v>
      </c>
      <c r="F15" s="36">
        <f t="shared" si="0"/>
        <v>4310000</v>
      </c>
      <c r="G15" s="2">
        <f>4310000+174000+550000</f>
        <v>5034000</v>
      </c>
      <c r="O15" s="2">
        <v>2220000</v>
      </c>
      <c r="Q15" s="2">
        <v>2040000</v>
      </c>
      <c r="R15" s="2">
        <v>50000</v>
      </c>
    </row>
    <row r="16" spans="1:27" s="4" customFormat="1" ht="15.75" customHeight="1" thickBot="1" x14ac:dyDescent="0.25">
      <c r="A16" s="270" t="s">
        <v>11</v>
      </c>
      <c r="B16" s="308" t="s">
        <v>19</v>
      </c>
      <c r="C16" s="308"/>
      <c r="D16" s="150"/>
      <c r="E16" s="146">
        <f t="shared" si="1"/>
        <v>5369381</v>
      </c>
      <c r="F16" s="36">
        <f t="shared" si="0"/>
        <v>5369381</v>
      </c>
      <c r="G16" s="4">
        <f>5369381+30+1044388</f>
        <v>6413799</v>
      </c>
      <c r="H16" s="4">
        <v>4519381</v>
      </c>
      <c r="M16" s="4">
        <v>600000</v>
      </c>
      <c r="P16" s="4">
        <v>250000</v>
      </c>
    </row>
    <row r="17" spans="1:23" s="4" customFormat="1" ht="15.75" customHeight="1" thickBot="1" x14ac:dyDescent="0.25">
      <c r="A17" s="272" t="s">
        <v>13</v>
      </c>
      <c r="B17" s="342" t="s">
        <v>20</v>
      </c>
      <c r="C17" s="342"/>
      <c r="D17" s="158"/>
      <c r="E17" s="146">
        <f t="shared" si="1"/>
        <v>416000</v>
      </c>
      <c r="F17" s="36">
        <f t="shared" si="0"/>
        <v>416000</v>
      </c>
      <c r="G17" s="4">
        <f>416000+6331100-50000</f>
        <v>6697100</v>
      </c>
      <c r="H17" s="4">
        <v>190000</v>
      </c>
      <c r="M17" s="4">
        <v>46000</v>
      </c>
      <c r="S17" s="4">
        <v>180000</v>
      </c>
    </row>
    <row r="18" spans="1:23" s="4" customFormat="1" ht="15.75" customHeight="1" thickBot="1" x14ac:dyDescent="0.25">
      <c r="A18" s="313" t="s">
        <v>21</v>
      </c>
      <c r="B18" s="314"/>
      <c r="C18" s="315"/>
      <c r="D18" s="15">
        <f>SUM(D19:D21)</f>
        <v>0</v>
      </c>
      <c r="E18" s="15">
        <f>SUM(E19:E21)</f>
        <v>122036517</v>
      </c>
      <c r="F18" s="36">
        <f t="shared" si="0"/>
        <v>122036517</v>
      </c>
      <c r="G18" s="4">
        <f>SUM(G19:G21)</f>
        <v>122154097</v>
      </c>
    </row>
    <row r="19" spans="1:23" ht="20.25" customHeight="1" thickBot="1" x14ac:dyDescent="0.25">
      <c r="A19" s="16" t="s">
        <v>9</v>
      </c>
      <c r="B19" s="330" t="s">
        <v>182</v>
      </c>
      <c r="C19" s="330"/>
      <c r="D19" s="151"/>
      <c r="E19" s="146">
        <f t="shared" si="1"/>
        <v>122036517</v>
      </c>
      <c r="F19" s="36">
        <f t="shared" si="0"/>
        <v>122036517</v>
      </c>
      <c r="G19" s="2">
        <f>122036517+117580</f>
        <v>122154097</v>
      </c>
      <c r="H19" s="2">
        <v>8280991</v>
      </c>
      <c r="I19" s="2">
        <v>4253012</v>
      </c>
      <c r="J19" s="2">
        <v>92206514</v>
      </c>
      <c r="K19" s="2">
        <v>2150000</v>
      </c>
      <c r="V19" s="2">
        <v>3716000</v>
      </c>
      <c r="W19" s="2">
        <v>11430000</v>
      </c>
    </row>
    <row r="20" spans="1:23" ht="15.75" customHeight="1" thickBot="1" x14ac:dyDescent="0.25">
      <c r="A20" s="16" t="s">
        <v>11</v>
      </c>
      <c r="B20" s="343" t="s">
        <v>22</v>
      </c>
      <c r="C20" s="344"/>
      <c r="D20" s="160"/>
      <c r="E20" s="146">
        <f t="shared" si="1"/>
        <v>0</v>
      </c>
      <c r="F20" s="36">
        <f t="shared" si="0"/>
        <v>0</v>
      </c>
      <c r="G20" s="2">
        <v>0</v>
      </c>
    </row>
    <row r="21" spans="1:23" ht="15.75" customHeight="1" thickBot="1" x14ac:dyDescent="0.25">
      <c r="A21" s="17" t="s">
        <v>13</v>
      </c>
      <c r="B21" s="327" t="s">
        <v>23</v>
      </c>
      <c r="C21" s="327"/>
      <c r="D21" s="161"/>
      <c r="E21" s="146">
        <f t="shared" si="1"/>
        <v>0</v>
      </c>
      <c r="F21" s="36">
        <f t="shared" si="0"/>
        <v>0</v>
      </c>
      <c r="G21" s="2">
        <v>0</v>
      </c>
    </row>
    <row r="22" spans="1:23" ht="18" customHeight="1" thickBot="1" x14ac:dyDescent="0.25">
      <c r="A22" s="331" t="s">
        <v>24</v>
      </c>
      <c r="B22" s="332"/>
      <c r="C22" s="332"/>
      <c r="D22" s="238">
        <f>D23+D26</f>
        <v>0</v>
      </c>
      <c r="E22" s="238">
        <f>E23+E26</f>
        <v>0</v>
      </c>
      <c r="F22" s="36">
        <f t="shared" si="0"/>
        <v>0</v>
      </c>
      <c r="G22" s="2">
        <v>0</v>
      </c>
    </row>
    <row r="23" spans="1:23" s="4" customFormat="1" ht="18" customHeight="1" thickBot="1" x14ac:dyDescent="0.25">
      <c r="A23" s="329" t="s">
        <v>9</v>
      </c>
      <c r="B23" s="306" t="s">
        <v>25</v>
      </c>
      <c r="C23" s="307"/>
      <c r="D23" s="150">
        <f>D24+D25</f>
        <v>0</v>
      </c>
      <c r="E23" s="150">
        <f>E24+E25</f>
        <v>0</v>
      </c>
      <c r="F23" s="36">
        <f t="shared" si="0"/>
        <v>0</v>
      </c>
      <c r="G23" s="4">
        <v>0</v>
      </c>
    </row>
    <row r="24" spans="1:23" ht="18" customHeight="1" thickBot="1" x14ac:dyDescent="0.25">
      <c r="A24" s="329"/>
      <c r="B24" s="14" t="s">
        <v>9</v>
      </c>
      <c r="C24" s="18" t="s">
        <v>26</v>
      </c>
      <c r="D24" s="151"/>
      <c r="E24" s="146">
        <f t="shared" ref="E24:E25" si="2">SUM(H24:X24)</f>
        <v>0</v>
      </c>
      <c r="F24" s="36">
        <f t="shared" si="0"/>
        <v>0</v>
      </c>
      <c r="G24" s="2">
        <v>0</v>
      </c>
    </row>
    <row r="25" spans="1:23" ht="18" customHeight="1" thickBot="1" x14ac:dyDescent="0.25">
      <c r="A25" s="329"/>
      <c r="B25" s="14" t="s">
        <v>11</v>
      </c>
      <c r="C25" s="18" t="s">
        <v>27</v>
      </c>
      <c r="D25" s="151"/>
      <c r="E25" s="146">
        <f t="shared" si="2"/>
        <v>0</v>
      </c>
      <c r="F25" s="36">
        <f t="shared" si="0"/>
        <v>0</v>
      </c>
      <c r="G25" s="2">
        <v>0</v>
      </c>
    </row>
    <row r="26" spans="1:23" s="4" customFormat="1" ht="18" customHeight="1" thickBot="1" x14ac:dyDescent="0.25">
      <c r="A26" s="329" t="s">
        <v>11</v>
      </c>
      <c r="B26" s="306" t="s">
        <v>28</v>
      </c>
      <c r="C26" s="307"/>
      <c r="D26" s="147">
        <f>D27+D28</f>
        <v>0</v>
      </c>
      <c r="E26" s="147">
        <f>E27+E28</f>
        <v>0</v>
      </c>
      <c r="F26" s="36">
        <f t="shared" si="0"/>
        <v>0</v>
      </c>
      <c r="G26" s="4">
        <v>0</v>
      </c>
    </row>
    <row r="27" spans="1:23" ht="15.75" customHeight="1" thickBot="1" x14ac:dyDescent="0.25">
      <c r="A27" s="329"/>
      <c r="B27" s="14" t="s">
        <v>9</v>
      </c>
      <c r="C27" s="18" t="s">
        <v>26</v>
      </c>
      <c r="D27" s="164"/>
      <c r="E27" s="146">
        <f t="shared" ref="E27:E28" si="3">SUM(H27:X27)</f>
        <v>0</v>
      </c>
      <c r="F27" s="36">
        <f t="shared" si="0"/>
        <v>0</v>
      </c>
      <c r="G27" s="2">
        <v>0</v>
      </c>
    </row>
    <row r="28" spans="1:23" ht="15.75" customHeight="1" thickBot="1" x14ac:dyDescent="0.25">
      <c r="A28" s="341"/>
      <c r="B28" s="19" t="s">
        <v>11</v>
      </c>
      <c r="C28" s="20" t="s">
        <v>27</v>
      </c>
      <c r="D28" s="165"/>
      <c r="E28" s="146">
        <f t="shared" si="3"/>
        <v>0</v>
      </c>
      <c r="F28" s="36">
        <f t="shared" si="0"/>
        <v>0</v>
      </c>
      <c r="G28" s="2">
        <v>0</v>
      </c>
    </row>
    <row r="29" spans="1:23" s="4" customFormat="1" ht="18" customHeight="1" thickBot="1" x14ac:dyDescent="0.25">
      <c r="A29" s="313" t="s">
        <v>29</v>
      </c>
      <c r="B29" s="314"/>
      <c r="C29" s="315"/>
      <c r="D29" s="166">
        <f>D30+D31</f>
        <v>0</v>
      </c>
      <c r="E29" s="166">
        <f>E30+E31</f>
        <v>2766147</v>
      </c>
      <c r="F29" s="36">
        <f t="shared" si="0"/>
        <v>2766147</v>
      </c>
      <c r="G29" s="166">
        <f>G30+G31</f>
        <v>3716339</v>
      </c>
    </row>
    <row r="30" spans="1:23" s="4" customFormat="1" ht="18" customHeight="1" thickBot="1" x14ac:dyDescent="0.25">
      <c r="A30" s="273" t="s">
        <v>9</v>
      </c>
      <c r="B30" s="316" t="s">
        <v>30</v>
      </c>
      <c r="C30" s="317"/>
      <c r="D30" s="149"/>
      <c r="E30" s="146">
        <f t="shared" ref="E30" si="4">SUM(H30:X30)</f>
        <v>0</v>
      </c>
      <c r="F30" s="36">
        <f t="shared" si="0"/>
        <v>0</v>
      </c>
      <c r="G30" s="4">
        <v>0</v>
      </c>
    </row>
    <row r="31" spans="1:23" s="4" customFormat="1" ht="18" customHeight="1" thickBot="1" x14ac:dyDescent="0.25">
      <c r="A31" s="318" t="s">
        <v>11</v>
      </c>
      <c r="B31" s="316" t="s">
        <v>31</v>
      </c>
      <c r="C31" s="317"/>
      <c r="D31" s="149">
        <f>SUM(D32:D33)</f>
        <v>0</v>
      </c>
      <c r="E31" s="149">
        <f>SUM(E32:E33)</f>
        <v>2766147</v>
      </c>
      <c r="F31" s="36">
        <f t="shared" si="0"/>
        <v>2766147</v>
      </c>
      <c r="G31" s="149">
        <f>SUM(G32:G33)</f>
        <v>3716339</v>
      </c>
    </row>
    <row r="32" spans="1:23" ht="18" customHeight="1" thickBot="1" x14ac:dyDescent="0.25">
      <c r="A32" s="319"/>
      <c r="B32" s="21" t="s">
        <v>9</v>
      </c>
      <c r="C32" s="22" t="s">
        <v>32</v>
      </c>
      <c r="D32" s="167"/>
      <c r="E32" s="146">
        <f t="shared" ref="E32:E33" si="5">SUM(H32:X32)</f>
        <v>2766147</v>
      </c>
      <c r="F32" s="36">
        <f t="shared" si="0"/>
        <v>2766147</v>
      </c>
      <c r="G32" s="2">
        <f>2766147-58776+1912420-903452</f>
        <v>3716339</v>
      </c>
      <c r="H32" s="2">
        <v>2766147</v>
      </c>
    </row>
    <row r="33" spans="1:26" s="4" customFormat="1" ht="18" customHeight="1" thickBot="1" x14ac:dyDescent="0.25">
      <c r="A33" s="320"/>
      <c r="B33" s="24" t="s">
        <v>11</v>
      </c>
      <c r="C33" s="25" t="s">
        <v>33</v>
      </c>
      <c r="D33" s="169"/>
      <c r="E33" s="146">
        <f t="shared" si="5"/>
        <v>0</v>
      </c>
      <c r="F33" s="36">
        <f t="shared" si="0"/>
        <v>0</v>
      </c>
      <c r="G33" s="4">
        <v>0</v>
      </c>
    </row>
    <row r="34" spans="1:26" s="4" customFormat="1" ht="18" customHeight="1" thickBot="1" x14ac:dyDescent="0.25">
      <c r="A34" s="26"/>
      <c r="B34" s="328" t="s">
        <v>34</v>
      </c>
      <c r="C34" s="328"/>
      <c r="D34" s="171">
        <f>SUM(D9,D18,D29)</f>
        <v>0</v>
      </c>
      <c r="E34" s="171">
        <f>SUM(E9,E18,E29)</f>
        <v>171352758</v>
      </c>
      <c r="F34" s="36">
        <f t="shared" si="0"/>
        <v>171352758</v>
      </c>
      <c r="G34" s="171">
        <f>SUM(G9,G18,G29)</f>
        <v>180877427</v>
      </c>
    </row>
    <row r="35" spans="1:26" s="4" customFormat="1" ht="18" customHeight="1" thickBot="1" x14ac:dyDescent="0.25">
      <c r="A35" s="273">
        <v>1</v>
      </c>
      <c r="B35" s="311" t="s">
        <v>35</v>
      </c>
      <c r="C35" s="311"/>
      <c r="D35" s="172">
        <f>SUM(D36:D37)</f>
        <v>0</v>
      </c>
      <c r="E35" s="172">
        <f>SUM(E36:E37)</f>
        <v>0</v>
      </c>
      <c r="F35" s="36">
        <f>SUM(D35:E35)</f>
        <v>0</v>
      </c>
      <c r="G35" s="4">
        <v>0</v>
      </c>
    </row>
    <row r="36" spans="1:26" s="4" customFormat="1" ht="18" customHeight="1" thickBot="1" x14ac:dyDescent="0.25">
      <c r="A36" s="325"/>
      <c r="B36" s="14" t="s">
        <v>9</v>
      </c>
      <c r="C36" s="27" t="s">
        <v>36</v>
      </c>
      <c r="D36" s="152"/>
      <c r="E36" s="146">
        <f t="shared" ref="E36:E37" si="6">SUM(H36:X36)</f>
        <v>0</v>
      </c>
      <c r="F36" s="36">
        <f t="shared" si="0"/>
        <v>0</v>
      </c>
      <c r="G36" s="4">
        <v>0</v>
      </c>
    </row>
    <row r="37" spans="1:26" s="4" customFormat="1" ht="18" customHeight="1" thickBot="1" x14ac:dyDescent="0.25">
      <c r="A37" s="326"/>
      <c r="B37" s="14" t="s">
        <v>11</v>
      </c>
      <c r="C37" s="27" t="s">
        <v>37</v>
      </c>
      <c r="D37" s="152"/>
      <c r="E37" s="146">
        <f t="shared" si="6"/>
        <v>0</v>
      </c>
      <c r="F37" s="36">
        <f t="shared" si="0"/>
        <v>0</v>
      </c>
      <c r="G37" s="4">
        <v>0</v>
      </c>
    </row>
    <row r="38" spans="1:26" s="4" customFormat="1" ht="18" customHeight="1" thickBot="1" x14ac:dyDescent="0.25">
      <c r="A38" s="28" t="s">
        <v>11</v>
      </c>
      <c r="B38" s="308" t="s">
        <v>38</v>
      </c>
      <c r="C38" s="308"/>
      <c r="D38" s="150">
        <f>SUM(D39:D41)</f>
        <v>0</v>
      </c>
      <c r="E38" s="150">
        <f>SUM(E39:E41)</f>
        <v>0</v>
      </c>
      <c r="F38" s="36">
        <f t="shared" si="0"/>
        <v>0</v>
      </c>
      <c r="G38" s="4">
        <v>0</v>
      </c>
    </row>
    <row r="39" spans="1:26" s="4" customFormat="1" ht="18" customHeight="1" thickBot="1" x14ac:dyDescent="0.25">
      <c r="A39" s="325"/>
      <c r="B39" s="14" t="s">
        <v>9</v>
      </c>
      <c r="C39" s="271" t="s">
        <v>39</v>
      </c>
      <c r="D39" s="151"/>
      <c r="E39" s="146">
        <f t="shared" ref="E39:E41" si="7">SUM(H39:X39)</f>
        <v>0</v>
      </c>
      <c r="F39" s="36">
        <f t="shared" si="0"/>
        <v>0</v>
      </c>
      <c r="G39" s="4">
        <v>0</v>
      </c>
    </row>
    <row r="40" spans="1:26" s="4" customFormat="1" ht="18" customHeight="1" thickBot="1" x14ac:dyDescent="0.25">
      <c r="A40" s="326"/>
      <c r="B40" s="14" t="s">
        <v>11</v>
      </c>
      <c r="C40" s="271" t="s">
        <v>40</v>
      </c>
      <c r="D40" s="151"/>
      <c r="E40" s="146">
        <f t="shared" si="7"/>
        <v>0</v>
      </c>
      <c r="F40" s="36">
        <f t="shared" si="0"/>
        <v>0</v>
      </c>
      <c r="G40" s="4">
        <v>0</v>
      </c>
    </row>
    <row r="41" spans="1:26" s="4" customFormat="1" ht="18" customHeight="1" thickBot="1" x14ac:dyDescent="0.25">
      <c r="A41" s="29"/>
      <c r="B41" s="30" t="s">
        <v>13</v>
      </c>
      <c r="C41" s="31" t="s">
        <v>41</v>
      </c>
      <c r="D41" s="173"/>
      <c r="E41" s="146">
        <f t="shared" si="7"/>
        <v>0</v>
      </c>
      <c r="F41" s="36">
        <f t="shared" si="0"/>
        <v>0</v>
      </c>
      <c r="G41" s="4">
        <v>0</v>
      </c>
    </row>
    <row r="42" spans="1:26" s="4" customFormat="1" ht="18" customHeight="1" thickBot="1" x14ac:dyDescent="0.25">
      <c r="A42" s="26"/>
      <c r="B42" s="309" t="s">
        <v>42</v>
      </c>
      <c r="C42" s="310"/>
      <c r="D42" s="174">
        <f>D35+D38</f>
        <v>0</v>
      </c>
      <c r="E42" s="175">
        <f>E38+E35</f>
        <v>0</v>
      </c>
      <c r="F42" s="36">
        <f t="shared" si="0"/>
        <v>0</v>
      </c>
      <c r="G42" s="4">
        <v>0</v>
      </c>
    </row>
    <row r="43" spans="1:26" s="4" customFormat="1" ht="21" customHeight="1" thickBot="1" x14ac:dyDescent="0.25">
      <c r="A43" s="32"/>
      <c r="B43" s="304" t="s">
        <v>43</v>
      </c>
      <c r="C43" s="304"/>
      <c r="D43" s="154">
        <f>D42+D34</f>
        <v>0</v>
      </c>
      <c r="E43" s="154">
        <f>E42+E34</f>
        <v>171352758</v>
      </c>
      <c r="F43" s="36">
        <f t="shared" si="0"/>
        <v>171352758</v>
      </c>
      <c r="G43" s="4">
        <f>G34</f>
        <v>180877427</v>
      </c>
      <c r="H43" s="4">
        <f>SUM(H11:H42)</f>
        <v>26084494</v>
      </c>
      <c r="I43" s="4">
        <f t="shared" ref="I43:Z43" si="8">SUM(I11:I42)</f>
        <v>4570512</v>
      </c>
      <c r="J43" s="4">
        <f t="shared" si="8"/>
        <v>95243774</v>
      </c>
      <c r="K43" s="4">
        <f t="shared" si="8"/>
        <v>11384523</v>
      </c>
      <c r="L43" s="4">
        <f t="shared" si="8"/>
        <v>3968000</v>
      </c>
      <c r="M43" s="4">
        <f t="shared" si="8"/>
        <v>1179400</v>
      </c>
      <c r="N43" s="4">
        <f t="shared" si="8"/>
        <v>6675015</v>
      </c>
      <c r="O43" s="4">
        <f t="shared" si="8"/>
        <v>2220000</v>
      </c>
      <c r="P43" s="4">
        <f t="shared" si="8"/>
        <v>250000</v>
      </c>
      <c r="Q43" s="4">
        <f t="shared" si="8"/>
        <v>2040000</v>
      </c>
      <c r="R43" s="4">
        <f t="shared" si="8"/>
        <v>50000</v>
      </c>
      <c r="S43" s="4">
        <f t="shared" si="8"/>
        <v>180000</v>
      </c>
      <c r="T43" s="4">
        <f t="shared" si="8"/>
        <v>825000</v>
      </c>
      <c r="U43" s="4">
        <f t="shared" si="8"/>
        <v>347820</v>
      </c>
      <c r="V43" s="4">
        <f t="shared" si="8"/>
        <v>3716000</v>
      </c>
      <c r="W43" s="4">
        <f t="shared" si="8"/>
        <v>11430000</v>
      </c>
      <c r="X43" s="4">
        <f t="shared" si="8"/>
        <v>1188220</v>
      </c>
      <c r="Y43" s="4">
        <f t="shared" si="8"/>
        <v>0</v>
      </c>
      <c r="Z43" s="4">
        <f t="shared" si="8"/>
        <v>0</v>
      </c>
    </row>
    <row r="44" spans="1:26" ht="15.75" customHeight="1" thickBot="1" x14ac:dyDescent="0.25">
      <c r="D44" s="176"/>
      <c r="E44" s="132"/>
      <c r="F44" s="36"/>
    </row>
    <row r="45" spans="1:26" ht="15.75" customHeight="1" thickBot="1" x14ac:dyDescent="0.25">
      <c r="A45" s="33" t="s">
        <v>9</v>
      </c>
      <c r="B45" s="312" t="s">
        <v>44</v>
      </c>
      <c r="C45" s="312"/>
      <c r="D45" s="162">
        <f>D9+D32+D36+D39</f>
        <v>0</v>
      </c>
      <c r="E45" s="162">
        <f>E9+E32+E36+E39</f>
        <v>49316241</v>
      </c>
      <c r="F45" s="36">
        <f t="shared" si="0"/>
        <v>49316241</v>
      </c>
      <c r="G45" s="2">
        <f>G9+G32</f>
        <v>58723330</v>
      </c>
    </row>
    <row r="46" spans="1:26" ht="15.75" customHeight="1" thickBot="1" x14ac:dyDescent="0.25">
      <c r="A46" s="34" t="s">
        <v>11</v>
      </c>
      <c r="B46" s="327" t="s">
        <v>45</v>
      </c>
      <c r="C46" s="327"/>
      <c r="D46" s="161">
        <f>D18+D26+D33+D37+D40+D41</f>
        <v>0</v>
      </c>
      <c r="E46" s="161">
        <f>E18+E26+E33+E37+E40+E41</f>
        <v>122036517</v>
      </c>
      <c r="F46" s="36">
        <f t="shared" si="0"/>
        <v>122036517</v>
      </c>
      <c r="G46" s="2">
        <f>G18</f>
        <v>122154097</v>
      </c>
    </row>
    <row r="47" spans="1:26" ht="21" customHeight="1" thickBot="1" x14ac:dyDescent="0.25">
      <c r="A47" s="35"/>
      <c r="B47" s="304" t="s">
        <v>43</v>
      </c>
      <c r="C47" s="304"/>
      <c r="D47" s="177">
        <f>D45+D46</f>
        <v>0</v>
      </c>
      <c r="E47" s="177">
        <f>E45+E46</f>
        <v>171352758</v>
      </c>
      <c r="F47" s="36">
        <f>SUM(D47:E47)</f>
        <v>171352758</v>
      </c>
      <c r="G47" s="2">
        <f>SUM(G45:G46)</f>
        <v>180877427</v>
      </c>
    </row>
  </sheetData>
  <mergeCells count="34">
    <mergeCell ref="A9:C9"/>
    <mergeCell ref="B16:C16"/>
    <mergeCell ref="B46:C46"/>
    <mergeCell ref="A39:A40"/>
    <mergeCell ref="G6:G8"/>
    <mergeCell ref="B20:C20"/>
    <mergeCell ref="A1:F1"/>
    <mergeCell ref="B34:C34"/>
    <mergeCell ref="A10:A15"/>
    <mergeCell ref="A2:F2"/>
    <mergeCell ref="B10:C10"/>
    <mergeCell ref="B19:C19"/>
    <mergeCell ref="A22:C22"/>
    <mergeCell ref="A23:A25"/>
    <mergeCell ref="B21:C21"/>
    <mergeCell ref="C4:E4"/>
    <mergeCell ref="A6:C8"/>
    <mergeCell ref="D6:F6"/>
    <mergeCell ref="A26:A28"/>
    <mergeCell ref="B17:C17"/>
    <mergeCell ref="A31:A33"/>
    <mergeCell ref="A18:C18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6:A37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J47"/>
  <sheetViews>
    <sheetView view="pageBreakPreview" zoomScale="130" zoomScaleNormal="100" zoomScaleSheetLayoutView="130" workbookViewId="0">
      <selection sqref="A1:E1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2.7109375" style="2" customWidth="1"/>
    <col min="5" max="5" width="12.7109375" style="3" customWidth="1"/>
    <col min="6" max="6" width="11.5703125" style="2" customWidth="1"/>
    <col min="7" max="7" width="12" style="2" customWidth="1"/>
    <col min="8" max="16384" width="9.140625" style="2"/>
  </cols>
  <sheetData>
    <row r="1" spans="1:10" ht="15.75" customHeight="1" x14ac:dyDescent="0.2">
      <c r="A1" s="287" t="s">
        <v>289</v>
      </c>
      <c r="B1" s="287"/>
      <c r="C1" s="287"/>
      <c r="D1" s="287"/>
      <c r="E1" s="287"/>
    </row>
    <row r="2" spans="1:10" ht="15.75" customHeight="1" x14ac:dyDescent="0.2">
      <c r="A2" s="286" t="s">
        <v>179</v>
      </c>
      <c r="B2" s="286"/>
      <c r="C2" s="286"/>
      <c r="D2" s="286"/>
      <c r="E2" s="286"/>
    </row>
    <row r="3" spans="1:10" ht="8.25" customHeight="1" x14ac:dyDescent="0.2">
      <c r="A3" s="5"/>
      <c r="B3" s="5"/>
      <c r="C3" s="5"/>
      <c r="D3" s="5"/>
      <c r="E3" s="6"/>
    </row>
    <row r="4" spans="1:10" ht="15.75" customHeight="1" x14ac:dyDescent="0.2">
      <c r="A4" s="287" t="s">
        <v>110</v>
      </c>
      <c r="B4" s="287"/>
      <c r="C4" s="287"/>
      <c r="D4" s="287"/>
      <c r="E4" s="287"/>
    </row>
    <row r="5" spans="1:10" ht="8.25" customHeight="1" thickBot="1" x14ac:dyDescent="0.25">
      <c r="E5" s="7"/>
    </row>
    <row r="6" spans="1:10" ht="21" customHeight="1" thickBot="1" x14ac:dyDescent="0.25">
      <c r="A6" s="321" t="s">
        <v>3</v>
      </c>
      <c r="B6" s="335"/>
      <c r="C6" s="335"/>
      <c r="D6" s="349" t="s">
        <v>51</v>
      </c>
      <c r="E6" s="350"/>
      <c r="F6" s="321" t="s">
        <v>285</v>
      </c>
    </row>
    <row r="7" spans="1:10" ht="39.75" customHeight="1" x14ac:dyDescent="0.2">
      <c r="A7" s="322"/>
      <c r="B7" s="336"/>
      <c r="C7" s="336"/>
      <c r="D7" s="187" t="s">
        <v>110</v>
      </c>
      <c r="E7" s="122" t="s">
        <v>130</v>
      </c>
      <c r="F7" s="322"/>
    </row>
    <row r="8" spans="1:10" ht="30" customHeight="1" thickBot="1" x14ac:dyDescent="0.25">
      <c r="A8" s="323"/>
      <c r="B8" s="337"/>
      <c r="C8" s="337"/>
      <c r="D8" s="188" t="s">
        <v>7</v>
      </c>
      <c r="E8" s="123"/>
      <c r="F8" s="323"/>
    </row>
    <row r="9" spans="1:10" ht="15.75" customHeight="1" thickBot="1" x14ac:dyDescent="0.25">
      <c r="A9" s="313" t="s">
        <v>8</v>
      </c>
      <c r="B9" s="314"/>
      <c r="C9" s="315"/>
      <c r="D9" s="253">
        <f>D10+D16+D17</f>
        <v>48303775</v>
      </c>
      <c r="E9" s="178">
        <f>D9</f>
        <v>48303775</v>
      </c>
      <c r="F9" s="253">
        <f>F10+F16+F17</f>
        <v>49755028</v>
      </c>
    </row>
    <row r="10" spans="1:10" ht="15.75" customHeight="1" thickBot="1" x14ac:dyDescent="0.25">
      <c r="A10" s="318" t="s">
        <v>9</v>
      </c>
      <c r="B10" s="316" t="s">
        <v>8</v>
      </c>
      <c r="C10" s="317"/>
      <c r="D10" s="254">
        <f>SUM(D11:D15)</f>
        <v>48303775</v>
      </c>
      <c r="E10" s="178">
        <f t="shared" ref="E10:E47" si="0">D10</f>
        <v>48303775</v>
      </c>
      <c r="F10" s="254">
        <f>SUM(F11:F15)</f>
        <v>49755028</v>
      </c>
      <c r="G10" s="2" t="s">
        <v>250</v>
      </c>
      <c r="H10" s="2" t="s">
        <v>251</v>
      </c>
      <c r="I10" s="2" t="s">
        <v>252</v>
      </c>
      <c r="J10" s="2" t="s">
        <v>253</v>
      </c>
    </row>
    <row r="11" spans="1:10" ht="15.75" customHeight="1" thickBot="1" x14ac:dyDescent="0.25">
      <c r="A11" s="319"/>
      <c r="B11" s="14" t="s">
        <v>9</v>
      </c>
      <c r="C11" s="271" t="s">
        <v>10</v>
      </c>
      <c r="D11" s="245">
        <f>SUM(G11:J11)</f>
        <v>25914987</v>
      </c>
      <c r="E11" s="255">
        <f>D11</f>
        <v>25914987</v>
      </c>
      <c r="F11" s="2">
        <f>25914987+197938+711128</f>
        <v>26824053</v>
      </c>
      <c r="G11" s="146">
        <v>15094737</v>
      </c>
      <c r="H11" s="2">
        <v>10820250</v>
      </c>
    </row>
    <row r="12" spans="1:10" ht="15.75" customHeight="1" thickBot="1" x14ac:dyDescent="0.25">
      <c r="A12" s="319"/>
      <c r="B12" s="14" t="s">
        <v>11</v>
      </c>
      <c r="C12" s="271" t="s">
        <v>12</v>
      </c>
      <c r="D12" s="245">
        <f t="shared" ref="D12:D13" si="1">SUM(G12:J12)</f>
        <v>5309727</v>
      </c>
      <c r="E12" s="255">
        <f t="shared" ref="E12:E13" si="2">D12</f>
        <v>5309727</v>
      </c>
      <c r="F12" s="2">
        <f>5309727+117000</f>
        <v>5426727</v>
      </c>
      <c r="G12" s="146">
        <v>3018255</v>
      </c>
      <c r="H12" s="2">
        <v>2291472</v>
      </c>
    </row>
    <row r="13" spans="1:10" ht="15.75" customHeight="1" thickBot="1" x14ac:dyDescent="0.25">
      <c r="A13" s="319"/>
      <c r="B13" s="14" t="s">
        <v>13</v>
      </c>
      <c r="C13" s="271" t="s">
        <v>14</v>
      </c>
      <c r="D13" s="245">
        <f t="shared" si="1"/>
        <v>17079061</v>
      </c>
      <c r="E13" s="255">
        <f t="shared" si="2"/>
        <v>17079061</v>
      </c>
      <c r="F13" s="2">
        <f>17079061-197938-491692+1114817</f>
        <v>17504248</v>
      </c>
      <c r="G13" s="2">
        <v>2252000</v>
      </c>
      <c r="H13" s="2">
        <v>10144304</v>
      </c>
      <c r="I13" s="2">
        <v>1918128</v>
      </c>
      <c r="J13" s="2">
        <v>2764629</v>
      </c>
    </row>
    <row r="14" spans="1:10" ht="15.75" customHeight="1" thickBot="1" x14ac:dyDescent="0.25">
      <c r="A14" s="319"/>
      <c r="B14" s="14" t="s">
        <v>15</v>
      </c>
      <c r="C14" s="271" t="s">
        <v>16</v>
      </c>
      <c r="D14" s="146"/>
      <c r="E14" s="178">
        <f t="shared" si="0"/>
        <v>0</v>
      </c>
      <c r="F14" s="2">
        <v>0</v>
      </c>
    </row>
    <row r="15" spans="1:10" ht="15.75" customHeight="1" thickBot="1" x14ac:dyDescent="0.25">
      <c r="A15" s="367"/>
      <c r="B15" s="14" t="s">
        <v>17</v>
      </c>
      <c r="C15" s="271" t="s">
        <v>18</v>
      </c>
      <c r="D15" s="146"/>
      <c r="E15" s="178">
        <f t="shared" si="0"/>
        <v>0</v>
      </c>
      <c r="F15" s="2">
        <v>0</v>
      </c>
      <c r="G15" s="3">
        <f>SUM(G11:G14)</f>
        <v>20364992</v>
      </c>
      <c r="H15" s="3">
        <f t="shared" ref="H15:J15" si="3">SUM(H11:H14)</f>
        <v>23256026</v>
      </c>
      <c r="I15" s="3">
        <f t="shared" si="3"/>
        <v>1918128</v>
      </c>
      <c r="J15" s="3">
        <f t="shared" si="3"/>
        <v>2764629</v>
      </c>
    </row>
    <row r="16" spans="1:10" s="4" customFormat="1" ht="15.75" customHeight="1" thickBot="1" x14ac:dyDescent="0.25">
      <c r="A16" s="270" t="s">
        <v>11</v>
      </c>
      <c r="B16" s="357" t="s">
        <v>19</v>
      </c>
      <c r="C16" s="358"/>
      <c r="D16" s="147"/>
      <c r="E16" s="178">
        <f t="shared" si="0"/>
        <v>0</v>
      </c>
      <c r="F16" s="4">
        <v>0</v>
      </c>
    </row>
    <row r="17" spans="1:6" s="4" customFormat="1" ht="15.75" customHeight="1" thickBot="1" x14ac:dyDescent="0.25">
      <c r="A17" s="272" t="s">
        <v>13</v>
      </c>
      <c r="B17" s="365" t="s">
        <v>20</v>
      </c>
      <c r="C17" s="366"/>
      <c r="D17" s="159"/>
      <c r="E17" s="178">
        <f t="shared" si="0"/>
        <v>0</v>
      </c>
      <c r="F17" s="4">
        <v>0</v>
      </c>
    </row>
    <row r="18" spans="1:6" s="4" customFormat="1" ht="15.75" customHeight="1" thickBot="1" x14ac:dyDescent="0.25">
      <c r="A18" s="313" t="s">
        <v>21</v>
      </c>
      <c r="B18" s="314"/>
      <c r="C18" s="315"/>
      <c r="D18" s="256">
        <f>SUM(D19:D21)</f>
        <v>0</v>
      </c>
      <c r="E18" s="178">
        <f t="shared" si="0"/>
        <v>0</v>
      </c>
      <c r="F18" s="4">
        <v>491692</v>
      </c>
    </row>
    <row r="19" spans="1:6" ht="20.25" customHeight="1" thickBot="1" x14ac:dyDescent="0.25">
      <c r="A19" s="16" t="s">
        <v>9</v>
      </c>
      <c r="B19" s="343" t="s">
        <v>182</v>
      </c>
      <c r="C19" s="344"/>
      <c r="D19" s="146"/>
      <c r="E19" s="178">
        <f t="shared" si="0"/>
        <v>0</v>
      </c>
      <c r="F19" s="2">
        <v>491692</v>
      </c>
    </row>
    <row r="20" spans="1:6" ht="15.75" customHeight="1" thickBot="1" x14ac:dyDescent="0.25">
      <c r="A20" s="16" t="s">
        <v>11</v>
      </c>
      <c r="B20" s="343" t="s">
        <v>22</v>
      </c>
      <c r="C20" s="344"/>
      <c r="D20" s="146"/>
      <c r="E20" s="178">
        <f t="shared" si="0"/>
        <v>0</v>
      </c>
      <c r="F20" s="2">
        <v>0</v>
      </c>
    </row>
    <row r="21" spans="1:6" ht="15.75" customHeight="1" thickBot="1" x14ac:dyDescent="0.25">
      <c r="A21" s="17" t="s">
        <v>13</v>
      </c>
      <c r="B21" s="352" t="s">
        <v>23</v>
      </c>
      <c r="C21" s="353"/>
      <c r="D21" s="153"/>
      <c r="E21" s="178">
        <f t="shared" si="0"/>
        <v>0</v>
      </c>
      <c r="F21" s="2">
        <v>0</v>
      </c>
    </row>
    <row r="22" spans="1:6" ht="18" customHeight="1" thickBot="1" x14ac:dyDescent="0.25">
      <c r="A22" s="313" t="s">
        <v>24</v>
      </c>
      <c r="B22" s="314"/>
      <c r="C22" s="315"/>
      <c r="D22" s="238">
        <f>D23+D26</f>
        <v>0</v>
      </c>
      <c r="E22" s="178">
        <f t="shared" si="0"/>
        <v>0</v>
      </c>
      <c r="F22" s="2">
        <v>0</v>
      </c>
    </row>
    <row r="23" spans="1:6" s="4" customFormat="1" ht="18" customHeight="1" thickBot="1" x14ac:dyDescent="0.25">
      <c r="A23" s="318" t="s">
        <v>9</v>
      </c>
      <c r="B23" s="316" t="s">
        <v>25</v>
      </c>
      <c r="C23" s="317"/>
      <c r="D23" s="257">
        <f t="shared" ref="D23" si="4">SUM(D24:D25)</f>
        <v>0</v>
      </c>
      <c r="E23" s="178">
        <f t="shared" si="0"/>
        <v>0</v>
      </c>
      <c r="F23" s="4">
        <v>0</v>
      </c>
    </row>
    <row r="24" spans="1:6" ht="18" customHeight="1" thickBot="1" x14ac:dyDescent="0.25">
      <c r="A24" s="319"/>
      <c r="B24" s="14" t="s">
        <v>9</v>
      </c>
      <c r="C24" s="18" t="s">
        <v>26</v>
      </c>
      <c r="D24" s="146"/>
      <c r="E24" s="178">
        <f t="shared" si="0"/>
        <v>0</v>
      </c>
      <c r="F24" s="2">
        <v>0</v>
      </c>
    </row>
    <row r="25" spans="1:6" ht="18" customHeight="1" thickBot="1" x14ac:dyDescent="0.25">
      <c r="A25" s="367"/>
      <c r="B25" s="14" t="s">
        <v>11</v>
      </c>
      <c r="C25" s="18" t="s">
        <v>27</v>
      </c>
      <c r="D25" s="146"/>
      <c r="E25" s="178">
        <f t="shared" si="0"/>
        <v>0</v>
      </c>
      <c r="F25" s="2">
        <v>0</v>
      </c>
    </row>
    <row r="26" spans="1:6" s="4" customFormat="1" ht="18" customHeight="1" thickBot="1" x14ac:dyDescent="0.25">
      <c r="A26" s="318" t="s">
        <v>11</v>
      </c>
      <c r="B26" s="316" t="s">
        <v>28</v>
      </c>
      <c r="C26" s="317"/>
      <c r="D26" s="257">
        <f>SUM(D27:D28)</f>
        <v>0</v>
      </c>
      <c r="E26" s="178">
        <f t="shared" si="0"/>
        <v>0</v>
      </c>
      <c r="F26" s="4">
        <v>0</v>
      </c>
    </row>
    <row r="27" spans="1:6" ht="15.75" customHeight="1" thickBot="1" x14ac:dyDescent="0.25">
      <c r="A27" s="319"/>
      <c r="B27" s="14" t="s">
        <v>9</v>
      </c>
      <c r="C27" s="18" t="s">
        <v>26</v>
      </c>
      <c r="D27" s="146"/>
      <c r="E27" s="178">
        <f t="shared" si="0"/>
        <v>0</v>
      </c>
      <c r="F27" s="2">
        <v>0</v>
      </c>
    </row>
    <row r="28" spans="1:6" ht="15.75" customHeight="1" thickBot="1" x14ac:dyDescent="0.25">
      <c r="A28" s="320"/>
      <c r="B28" s="19" t="s">
        <v>11</v>
      </c>
      <c r="C28" s="20" t="s">
        <v>27</v>
      </c>
      <c r="D28" s="148"/>
      <c r="E28" s="178">
        <f t="shared" si="0"/>
        <v>0</v>
      </c>
      <c r="F28" s="2">
        <v>0</v>
      </c>
    </row>
    <row r="29" spans="1:6" s="4" customFormat="1" ht="18" customHeight="1" thickBot="1" x14ac:dyDescent="0.25">
      <c r="A29" s="313" t="s">
        <v>29</v>
      </c>
      <c r="B29" s="314"/>
      <c r="C29" s="315"/>
      <c r="D29" s="166">
        <f>D30+D31</f>
        <v>0</v>
      </c>
      <c r="E29" s="178">
        <f t="shared" si="0"/>
        <v>0</v>
      </c>
      <c r="F29" s="4">
        <v>0</v>
      </c>
    </row>
    <row r="30" spans="1:6" s="4" customFormat="1" ht="18" customHeight="1" thickBot="1" x14ac:dyDescent="0.25">
      <c r="A30" s="273" t="s">
        <v>9</v>
      </c>
      <c r="B30" s="316" t="s">
        <v>30</v>
      </c>
      <c r="C30" s="317"/>
      <c r="D30" s="149"/>
      <c r="E30" s="178">
        <f t="shared" si="0"/>
        <v>0</v>
      </c>
      <c r="F30" s="4">
        <v>0</v>
      </c>
    </row>
    <row r="31" spans="1:6" s="4" customFormat="1" ht="18" customHeight="1" thickBot="1" x14ac:dyDescent="0.25">
      <c r="A31" s="318" t="s">
        <v>11</v>
      </c>
      <c r="B31" s="316" t="s">
        <v>31</v>
      </c>
      <c r="C31" s="317"/>
      <c r="D31" s="149">
        <f>SUM(D32:D33)</f>
        <v>0</v>
      </c>
      <c r="E31" s="178">
        <f t="shared" si="0"/>
        <v>0</v>
      </c>
      <c r="F31" s="4">
        <v>0</v>
      </c>
    </row>
    <row r="32" spans="1:6" ht="18" customHeight="1" thickBot="1" x14ac:dyDescent="0.25">
      <c r="A32" s="319"/>
      <c r="B32" s="21" t="s">
        <v>9</v>
      </c>
      <c r="C32" s="22" t="s">
        <v>32</v>
      </c>
      <c r="D32" s="168"/>
      <c r="E32" s="178">
        <f t="shared" si="0"/>
        <v>0</v>
      </c>
      <c r="F32" s="2">
        <v>0</v>
      </c>
    </row>
    <row r="33" spans="1:6" s="4" customFormat="1" ht="18" customHeight="1" thickBot="1" x14ac:dyDescent="0.25">
      <c r="A33" s="320"/>
      <c r="B33" s="24" t="s">
        <v>11</v>
      </c>
      <c r="C33" s="25" t="s">
        <v>33</v>
      </c>
      <c r="D33" s="170"/>
      <c r="E33" s="178">
        <f t="shared" si="0"/>
        <v>0</v>
      </c>
      <c r="F33" s="4">
        <v>0</v>
      </c>
    </row>
    <row r="34" spans="1:6" s="4" customFormat="1" ht="18" customHeight="1" thickBot="1" x14ac:dyDescent="0.25">
      <c r="A34" s="125"/>
      <c r="B34" s="351" t="s">
        <v>34</v>
      </c>
      <c r="C34" s="310"/>
      <c r="D34" s="175">
        <f>SUM(D9,D18,D29)</f>
        <v>48303775</v>
      </c>
      <c r="E34" s="175">
        <f t="shared" si="0"/>
        <v>48303775</v>
      </c>
      <c r="F34" s="141">
        <f>F18+F9</f>
        <v>50246720</v>
      </c>
    </row>
    <row r="35" spans="1:6" s="4" customFormat="1" ht="18" customHeight="1" thickBot="1" x14ac:dyDescent="0.25">
      <c r="A35" s="273">
        <v>1</v>
      </c>
      <c r="B35" s="361" t="s">
        <v>35</v>
      </c>
      <c r="C35" s="362"/>
      <c r="D35" s="124">
        <f t="shared" ref="D35" si="5">SUM(D36:D37)</f>
        <v>0</v>
      </c>
      <c r="E35" s="178">
        <f t="shared" si="0"/>
        <v>0</v>
      </c>
      <c r="F35" s="4">
        <v>0</v>
      </c>
    </row>
    <row r="36" spans="1:6" s="4" customFormat="1" ht="18" customHeight="1" thickBot="1" x14ac:dyDescent="0.25">
      <c r="A36" s="325"/>
      <c r="B36" s="14" t="s">
        <v>9</v>
      </c>
      <c r="C36" s="27" t="s">
        <v>36</v>
      </c>
      <c r="D36" s="146"/>
      <c r="E36" s="178">
        <f t="shared" si="0"/>
        <v>0</v>
      </c>
      <c r="F36" s="4">
        <v>0</v>
      </c>
    </row>
    <row r="37" spans="1:6" s="4" customFormat="1" ht="18" customHeight="1" thickBot="1" x14ac:dyDescent="0.25">
      <c r="A37" s="326"/>
      <c r="B37" s="14" t="s">
        <v>11</v>
      </c>
      <c r="C37" s="27" t="s">
        <v>37</v>
      </c>
      <c r="D37" s="146"/>
      <c r="E37" s="178">
        <f t="shared" si="0"/>
        <v>0</v>
      </c>
      <c r="F37" s="4">
        <v>0</v>
      </c>
    </row>
    <row r="38" spans="1:6" s="4" customFormat="1" ht="18" customHeight="1" thickBot="1" x14ac:dyDescent="0.25">
      <c r="A38" s="28" t="s">
        <v>11</v>
      </c>
      <c r="B38" s="357" t="s">
        <v>38</v>
      </c>
      <c r="C38" s="358"/>
      <c r="D38" s="124">
        <f t="shared" ref="D38" si="6">SUM(D39:D41)</f>
        <v>0</v>
      </c>
      <c r="E38" s="178">
        <f t="shared" si="0"/>
        <v>0</v>
      </c>
      <c r="F38" s="4">
        <v>0</v>
      </c>
    </row>
    <row r="39" spans="1:6" s="4" customFormat="1" ht="18" customHeight="1" thickBot="1" x14ac:dyDescent="0.25">
      <c r="A39" s="325"/>
      <c r="B39" s="14" t="s">
        <v>9</v>
      </c>
      <c r="C39" s="271" t="s">
        <v>39</v>
      </c>
      <c r="D39" s="146"/>
      <c r="E39" s="178">
        <f t="shared" si="0"/>
        <v>0</v>
      </c>
      <c r="F39" s="4">
        <v>0</v>
      </c>
    </row>
    <row r="40" spans="1:6" s="4" customFormat="1" ht="18" customHeight="1" thickBot="1" x14ac:dyDescent="0.25">
      <c r="A40" s="326"/>
      <c r="B40" s="14" t="s">
        <v>11</v>
      </c>
      <c r="C40" s="271" t="s">
        <v>40</v>
      </c>
      <c r="D40" s="146"/>
      <c r="E40" s="178">
        <f t="shared" si="0"/>
        <v>0</v>
      </c>
      <c r="F40" s="4">
        <v>0</v>
      </c>
    </row>
    <row r="41" spans="1:6" s="4" customFormat="1" ht="18" customHeight="1" thickBot="1" x14ac:dyDescent="0.25">
      <c r="A41" s="29"/>
      <c r="B41" s="30" t="s">
        <v>13</v>
      </c>
      <c r="C41" s="31" t="s">
        <v>41</v>
      </c>
      <c r="D41" s="153"/>
      <c r="E41" s="178">
        <f t="shared" si="0"/>
        <v>0</v>
      </c>
      <c r="F41" s="4">
        <v>0</v>
      </c>
    </row>
    <row r="42" spans="1:6" s="4" customFormat="1" ht="18" customHeight="1" thickBot="1" x14ac:dyDescent="0.25">
      <c r="A42" s="26"/>
      <c r="B42" s="359" t="s">
        <v>42</v>
      </c>
      <c r="C42" s="360"/>
      <c r="D42" s="239">
        <f t="shared" ref="D42" si="7">D38+D35</f>
        <v>0</v>
      </c>
      <c r="E42" s="175">
        <f t="shared" si="0"/>
        <v>0</v>
      </c>
      <c r="F42" s="4">
        <v>0</v>
      </c>
    </row>
    <row r="43" spans="1:6" s="4" customFormat="1" ht="21" customHeight="1" thickBot="1" x14ac:dyDescent="0.25">
      <c r="A43" s="126"/>
      <c r="B43" s="355" t="s">
        <v>43</v>
      </c>
      <c r="C43" s="356"/>
      <c r="D43" s="258">
        <f>D42+D34</f>
        <v>48303775</v>
      </c>
      <c r="E43" s="258">
        <f t="shared" si="0"/>
        <v>48303775</v>
      </c>
      <c r="F43" s="141">
        <f>F34</f>
        <v>50246720</v>
      </c>
    </row>
    <row r="44" spans="1:6" ht="15.75" customHeight="1" thickBot="1" x14ac:dyDescent="0.25">
      <c r="A44" s="127"/>
      <c r="C44" s="189"/>
      <c r="D44" s="132"/>
      <c r="E44" s="178">
        <f t="shared" si="0"/>
        <v>0</v>
      </c>
      <c r="F44" s="2">
        <v>0</v>
      </c>
    </row>
    <row r="45" spans="1:6" ht="15.75" customHeight="1" thickBot="1" x14ac:dyDescent="0.25">
      <c r="A45" s="33" t="s">
        <v>9</v>
      </c>
      <c r="B45" s="363" t="s">
        <v>44</v>
      </c>
      <c r="C45" s="364"/>
      <c r="D45" s="238">
        <f>D9+D32+D36+D39</f>
        <v>48303775</v>
      </c>
      <c r="E45" s="178">
        <f t="shared" si="0"/>
        <v>48303775</v>
      </c>
      <c r="F45" s="3">
        <f>F34</f>
        <v>50246720</v>
      </c>
    </row>
    <row r="46" spans="1:6" ht="15.75" customHeight="1" thickBot="1" x14ac:dyDescent="0.25">
      <c r="A46" s="34" t="s">
        <v>11</v>
      </c>
      <c r="B46" s="352" t="s">
        <v>45</v>
      </c>
      <c r="C46" s="353"/>
      <c r="D46" s="153">
        <f>D18+D26+D33+D37+D40+D41</f>
        <v>0</v>
      </c>
      <c r="E46" s="178">
        <f t="shared" si="0"/>
        <v>0</v>
      </c>
      <c r="F46" s="2">
        <v>0</v>
      </c>
    </row>
    <row r="47" spans="1:6" ht="21" customHeight="1" thickBot="1" x14ac:dyDescent="0.25">
      <c r="A47" s="35"/>
      <c r="B47" s="305" t="s">
        <v>43</v>
      </c>
      <c r="C47" s="354"/>
      <c r="D47" s="259">
        <f>D45+D46</f>
        <v>48303775</v>
      </c>
      <c r="E47" s="258">
        <f t="shared" si="0"/>
        <v>48303775</v>
      </c>
      <c r="F47" s="3">
        <f>F45</f>
        <v>50246720</v>
      </c>
    </row>
  </sheetData>
  <mergeCells count="34">
    <mergeCell ref="F6:F8"/>
    <mergeCell ref="A1:E1"/>
    <mergeCell ref="A2:E2"/>
    <mergeCell ref="A4:E4"/>
    <mergeCell ref="A26:A28"/>
    <mergeCell ref="A9:C9"/>
    <mergeCell ref="B16:C16"/>
    <mergeCell ref="B17:C17"/>
    <mergeCell ref="A18:C18"/>
    <mergeCell ref="B20:C20"/>
    <mergeCell ref="A10:A15"/>
    <mergeCell ref="B10:C10"/>
    <mergeCell ref="B19:C19"/>
    <mergeCell ref="A22:C22"/>
    <mergeCell ref="A23:A25"/>
    <mergeCell ref="B21:C21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D6:E6"/>
    <mergeCell ref="A39:A40"/>
    <mergeCell ref="A29:C29"/>
    <mergeCell ref="B30:C30"/>
    <mergeCell ref="B31:C31"/>
    <mergeCell ref="A31:A33"/>
    <mergeCell ref="A36:A37"/>
    <mergeCell ref="B34:C34"/>
    <mergeCell ref="A6:C8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115" zoomScaleNormal="100" zoomScaleSheetLayoutView="115" workbookViewId="0">
      <selection sqref="A1:E1"/>
    </sheetView>
  </sheetViews>
  <sheetFormatPr defaultRowHeight="12.75" x14ac:dyDescent="0.2"/>
  <cols>
    <col min="1" max="1" width="52" style="145" customWidth="1"/>
    <col min="2" max="3" width="21.28515625" style="145" customWidth="1"/>
    <col min="4" max="4" width="52" style="145" customWidth="1"/>
    <col min="5" max="6" width="21.28515625" style="145" customWidth="1"/>
    <col min="7" max="16384" width="9.140625" style="145"/>
  </cols>
  <sheetData>
    <row r="1" spans="1:6" x14ac:dyDescent="0.2">
      <c r="A1" s="369" t="s">
        <v>291</v>
      </c>
      <c r="B1" s="369"/>
      <c r="C1" s="369"/>
      <c r="D1" s="369"/>
      <c r="E1" s="369"/>
    </row>
    <row r="3" spans="1:6" x14ac:dyDescent="0.2">
      <c r="A3" s="370" t="s">
        <v>280</v>
      </c>
      <c r="B3" s="370"/>
      <c r="C3" s="370"/>
      <c r="D3" s="370"/>
      <c r="E3" s="370"/>
    </row>
    <row r="5" spans="1:6" x14ac:dyDescent="0.2">
      <c r="A5" s="368" t="s">
        <v>1</v>
      </c>
      <c r="B5" s="368"/>
      <c r="C5" s="274"/>
      <c r="D5" s="368" t="s">
        <v>160</v>
      </c>
      <c r="E5" s="368"/>
      <c r="F5" s="261"/>
    </row>
    <row r="6" spans="1:6" x14ac:dyDescent="0.2">
      <c r="A6" s="262" t="s">
        <v>3</v>
      </c>
      <c r="B6" s="262" t="s">
        <v>51</v>
      </c>
      <c r="C6" s="262" t="s">
        <v>285</v>
      </c>
      <c r="D6" s="262" t="s">
        <v>3</v>
      </c>
      <c r="E6" s="262" t="s">
        <v>51</v>
      </c>
      <c r="F6" s="262" t="s">
        <v>285</v>
      </c>
    </row>
    <row r="7" spans="1:6" x14ac:dyDescent="0.2">
      <c r="A7" s="262"/>
      <c r="B7" s="262"/>
      <c r="C7" s="262"/>
      <c r="D7" s="262"/>
      <c r="E7" s="262"/>
      <c r="F7" s="261"/>
    </row>
    <row r="8" spans="1:6" x14ac:dyDescent="0.2">
      <c r="A8" s="261" t="s">
        <v>161</v>
      </c>
      <c r="B8" s="263">
        <v>11675966</v>
      </c>
      <c r="C8" s="263">
        <f>11675966-547790+20000</f>
        <v>11148176</v>
      </c>
      <c r="D8" s="261" t="s">
        <v>10</v>
      </c>
      <c r="E8" s="264">
        <f>'4'!G11</f>
        <v>37279837</v>
      </c>
      <c r="F8" s="265">
        <f>'4'!H11</f>
        <v>39016866</v>
      </c>
    </row>
    <row r="9" spans="1:6" x14ac:dyDescent="0.2">
      <c r="A9" s="261" t="s">
        <v>162</v>
      </c>
      <c r="B9" s="263">
        <v>15400000</v>
      </c>
      <c r="C9" s="263">
        <f>15400000+2100000</f>
        <v>17500000</v>
      </c>
      <c r="D9" s="261" t="s">
        <v>163</v>
      </c>
      <c r="E9" s="264">
        <f>'4'!G12</f>
        <v>7558990</v>
      </c>
      <c r="F9" s="265">
        <f>'4'!H12</f>
        <v>7738912</v>
      </c>
    </row>
    <row r="10" spans="1:6" x14ac:dyDescent="0.2">
      <c r="A10" s="261" t="s">
        <v>164</v>
      </c>
      <c r="B10" s="263">
        <v>64421252</v>
      </c>
      <c r="C10" s="263">
        <f>64421252+6331100+174000</f>
        <v>70926352</v>
      </c>
      <c r="D10" s="261" t="s">
        <v>14</v>
      </c>
      <c r="E10" s="264">
        <f>'4'!G13</f>
        <v>39919661</v>
      </c>
      <c r="F10" s="265">
        <f>'4'!H13</f>
        <v>39861342</v>
      </c>
    </row>
    <row r="11" spans="1:6" x14ac:dyDescent="0.2">
      <c r="A11" s="261" t="s">
        <v>165</v>
      </c>
      <c r="B11" s="263">
        <v>1322420</v>
      </c>
      <c r="C11" s="263">
        <f>1322420</f>
        <v>1322420</v>
      </c>
      <c r="D11" s="261" t="s">
        <v>166</v>
      </c>
      <c r="E11" s="264">
        <f>'4'!G15</f>
        <v>4310000</v>
      </c>
      <c r="F11" s="265">
        <f>'4'!H15</f>
        <v>5034000</v>
      </c>
    </row>
    <row r="12" spans="1:6" x14ac:dyDescent="0.2">
      <c r="A12" s="266" t="s">
        <v>247</v>
      </c>
      <c r="B12" s="264"/>
      <c r="C12" s="264"/>
      <c r="D12" s="266" t="s">
        <v>271</v>
      </c>
      <c r="E12" s="264">
        <f>'4'!G16</f>
        <v>5369381</v>
      </c>
      <c r="F12" s="278">
        <f>'4'!H16</f>
        <v>6413799</v>
      </c>
    </row>
    <row r="13" spans="1:6" ht="13.5" customHeight="1" x14ac:dyDescent="0.2">
      <c r="A13" s="261" t="s">
        <v>167</v>
      </c>
      <c r="B13" s="263">
        <v>4800378</v>
      </c>
      <c r="C13" s="263">
        <f>4800378+2781032</f>
        <v>7581410</v>
      </c>
      <c r="D13" s="266" t="s">
        <v>272</v>
      </c>
      <c r="E13" s="264">
        <f>'4'!G17</f>
        <v>416000</v>
      </c>
      <c r="F13" s="261">
        <f>416000+6331100-50000</f>
        <v>6697100</v>
      </c>
    </row>
    <row r="14" spans="1:6" ht="13.5" customHeight="1" x14ac:dyDescent="0.2">
      <c r="A14" s="261"/>
      <c r="B14" s="264"/>
      <c r="C14" s="264"/>
      <c r="D14" s="261" t="s">
        <v>168</v>
      </c>
      <c r="E14" s="264">
        <f>'4'!G32</f>
        <v>2766147</v>
      </c>
      <c r="F14" s="278">
        <f>'4'!H32</f>
        <v>3716339</v>
      </c>
    </row>
    <row r="15" spans="1:6" ht="13.5" customHeight="1" x14ac:dyDescent="0.2">
      <c r="A15" s="262" t="s">
        <v>169</v>
      </c>
      <c r="B15" s="274">
        <v>97620016</v>
      </c>
      <c r="C15" s="279">
        <f>SUM(C8:C13)</f>
        <v>108478358</v>
      </c>
      <c r="D15" s="262" t="s">
        <v>170</v>
      </c>
      <c r="E15" s="274">
        <f>SUM(E8:E14)</f>
        <v>97620016</v>
      </c>
      <c r="F15" s="282">
        <f>SUM(F8:F14)</f>
        <v>108478358</v>
      </c>
    </row>
    <row r="16" spans="1:6" x14ac:dyDescent="0.2">
      <c r="A16" s="262"/>
      <c r="B16" s="274"/>
      <c r="C16" s="274"/>
      <c r="D16" s="262"/>
      <c r="E16" s="274"/>
      <c r="F16" s="261"/>
    </row>
    <row r="17" spans="1:6" x14ac:dyDescent="0.2">
      <c r="A17" s="261" t="s">
        <v>171</v>
      </c>
      <c r="B17" s="263">
        <v>89558990</v>
      </c>
      <c r="C17" s="263">
        <v>92949294</v>
      </c>
      <c r="D17" s="266" t="s">
        <v>182</v>
      </c>
      <c r="E17" s="264">
        <f>'4'!G19</f>
        <v>122036517</v>
      </c>
      <c r="F17" s="265">
        <f>'4'!H19</f>
        <v>122645789</v>
      </c>
    </row>
    <row r="18" spans="1:6" x14ac:dyDescent="0.2">
      <c r="A18" s="261" t="s">
        <v>172</v>
      </c>
      <c r="B18" s="264"/>
      <c r="C18" s="264"/>
      <c r="D18" s="266" t="s">
        <v>24</v>
      </c>
      <c r="E18" s="264">
        <f>'4'!G26</f>
        <v>0</v>
      </c>
      <c r="F18" s="261">
        <v>0</v>
      </c>
    </row>
    <row r="19" spans="1:6" x14ac:dyDescent="0.2">
      <c r="A19" s="261" t="s">
        <v>173</v>
      </c>
      <c r="B19" s="264"/>
      <c r="C19" s="264"/>
      <c r="D19" s="261"/>
      <c r="E19" s="264"/>
      <c r="F19" s="261"/>
    </row>
    <row r="20" spans="1:6" x14ac:dyDescent="0.2">
      <c r="A20" s="261" t="s">
        <v>174</v>
      </c>
      <c r="B20" s="263">
        <v>32477527</v>
      </c>
      <c r="C20" s="263">
        <f>32477527-2781032</f>
        <v>29696495</v>
      </c>
      <c r="D20" s="261"/>
      <c r="E20" s="264"/>
      <c r="F20" s="261"/>
    </row>
    <row r="21" spans="1:6" x14ac:dyDescent="0.2">
      <c r="A21" s="262" t="s">
        <v>175</v>
      </c>
      <c r="B21" s="274">
        <v>122036517</v>
      </c>
      <c r="C21" s="279">
        <f>C20+C17</f>
        <v>122645789</v>
      </c>
      <c r="D21" s="262" t="s">
        <v>176</v>
      </c>
      <c r="E21" s="274">
        <f>SUM(E17:E20)</f>
        <v>122036517</v>
      </c>
      <c r="F21" s="282">
        <f>F17</f>
        <v>122645789</v>
      </c>
    </row>
    <row r="22" spans="1:6" ht="13.5" thickBot="1" x14ac:dyDescent="0.25">
      <c r="A22" s="267" t="s">
        <v>122</v>
      </c>
      <c r="B22" s="268">
        <v>219656533</v>
      </c>
      <c r="C22" s="280">
        <f>C21+C15</f>
        <v>231124147</v>
      </c>
      <c r="D22" s="267" t="s">
        <v>122</v>
      </c>
      <c r="E22" s="269">
        <f>E15+E21</f>
        <v>219656533</v>
      </c>
      <c r="F22" s="281">
        <f>F21+F15</f>
        <v>231124147</v>
      </c>
    </row>
    <row r="23" spans="1:6" x14ac:dyDescent="0.2">
      <c r="A23" s="186"/>
      <c r="B23" s="186"/>
      <c r="C23" s="186"/>
      <c r="D23" s="186"/>
      <c r="E23" s="186"/>
    </row>
    <row r="24" spans="1:6" x14ac:dyDescent="0.2">
      <c r="A24" s="186"/>
      <c r="B24" s="186"/>
      <c r="C24" s="186"/>
      <c r="D24" s="186"/>
      <c r="E24" s="186"/>
    </row>
  </sheetData>
  <mergeCells count="4">
    <mergeCell ref="A5:B5"/>
    <mergeCell ref="A1:E1"/>
    <mergeCell ref="A3:E3"/>
    <mergeCell ref="D5:E5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view="pageBreakPreview" zoomScale="145" zoomScaleNormal="100" zoomScaleSheetLayoutView="145" workbookViewId="0">
      <selection activeCell="C1" sqref="C1:D1"/>
    </sheetView>
  </sheetViews>
  <sheetFormatPr defaultColWidth="8" defaultRowHeight="12.75" x14ac:dyDescent="0.2"/>
  <cols>
    <col min="1" max="1" width="8.28515625" style="121" customWidth="1"/>
    <col min="2" max="2" width="8.28515625" style="47" customWidth="1"/>
    <col min="3" max="3" width="57.140625" style="47" customWidth="1"/>
    <col min="4" max="4" width="11.42578125" style="47" customWidth="1"/>
    <col min="5" max="16384" width="8" style="47"/>
  </cols>
  <sheetData>
    <row r="1" spans="1:5" s="38" customFormat="1" ht="21" customHeight="1" thickBot="1" x14ac:dyDescent="0.25">
      <c r="A1" s="37"/>
      <c r="C1" s="371" t="s">
        <v>292</v>
      </c>
      <c r="D1" s="371"/>
    </row>
    <row r="2" spans="1:5" s="39" customFormat="1" ht="25.5" customHeight="1" x14ac:dyDescent="0.2">
      <c r="A2" s="373" t="s">
        <v>46</v>
      </c>
      <c r="B2" s="374"/>
      <c r="C2" s="379" t="s">
        <v>47</v>
      </c>
      <c r="D2" s="380"/>
    </row>
    <row r="3" spans="1:5" s="39" customFormat="1" ht="16.5" thickBot="1" x14ac:dyDescent="0.25">
      <c r="A3" s="40" t="s">
        <v>48</v>
      </c>
      <c r="B3" s="41"/>
      <c r="C3" s="381" t="s">
        <v>279</v>
      </c>
      <c r="D3" s="382"/>
    </row>
    <row r="4" spans="1:5" s="43" customFormat="1" ht="15.95" customHeight="1" thickBot="1" x14ac:dyDescent="0.25">
      <c r="A4" s="42"/>
      <c r="B4" s="42"/>
      <c r="C4" s="42"/>
      <c r="D4" s="42"/>
    </row>
    <row r="5" spans="1:5" ht="30" customHeight="1" thickBot="1" x14ac:dyDescent="0.25">
      <c r="A5" s="375" t="s">
        <v>49</v>
      </c>
      <c r="B5" s="376"/>
      <c r="C5" s="44" t="s">
        <v>50</v>
      </c>
      <c r="D5" s="45" t="s">
        <v>285</v>
      </c>
      <c r="E5" s="46"/>
    </row>
    <row r="6" spans="1:5" s="51" customFormat="1" ht="12.95" customHeight="1" thickBot="1" x14ac:dyDescent="0.25">
      <c r="A6" s="48">
        <v>1</v>
      </c>
      <c r="B6" s="49">
        <v>2</v>
      </c>
      <c r="C6" s="49">
        <v>3</v>
      </c>
      <c r="D6" s="50"/>
    </row>
    <row r="7" spans="1:5" s="51" customFormat="1" ht="15.95" customHeight="1" thickBot="1" x14ac:dyDescent="0.25">
      <c r="A7" s="275"/>
      <c r="B7" s="276"/>
      <c r="C7" s="375" t="s">
        <v>52</v>
      </c>
      <c r="D7" s="377"/>
    </row>
    <row r="8" spans="1:5" s="54" customFormat="1" ht="12" customHeight="1" thickBot="1" x14ac:dyDescent="0.25">
      <c r="A8" s="48" t="s">
        <v>9</v>
      </c>
      <c r="B8" s="52"/>
      <c r="C8" s="179" t="s">
        <v>53</v>
      </c>
      <c r="D8" s="72">
        <f>SUM(D9:D16)</f>
        <v>7128176</v>
      </c>
    </row>
    <row r="9" spans="1:5" s="54" customFormat="1" ht="12" customHeight="1" x14ac:dyDescent="0.2">
      <c r="A9" s="55"/>
      <c r="B9" s="56" t="s">
        <v>54</v>
      </c>
      <c r="C9" s="57" t="s">
        <v>55</v>
      </c>
      <c r="D9" s="58">
        <f>7675966-547790</f>
        <v>7128176</v>
      </c>
    </row>
    <row r="10" spans="1:5" s="54" customFormat="1" ht="12" customHeight="1" x14ac:dyDescent="0.2">
      <c r="A10" s="59"/>
      <c r="B10" s="60" t="s">
        <v>56</v>
      </c>
      <c r="C10" s="61" t="s">
        <v>57</v>
      </c>
      <c r="D10" s="62"/>
    </row>
    <row r="11" spans="1:5" s="54" customFormat="1" ht="12" customHeight="1" x14ac:dyDescent="0.2">
      <c r="A11" s="59"/>
      <c r="B11" s="60" t="s">
        <v>58</v>
      </c>
      <c r="C11" s="61" t="s">
        <v>59</v>
      </c>
      <c r="D11" s="62"/>
    </row>
    <row r="12" spans="1:5" s="54" customFormat="1" ht="12" customHeight="1" x14ac:dyDescent="0.2">
      <c r="A12" s="59"/>
      <c r="B12" s="60" t="s">
        <v>60</v>
      </c>
      <c r="C12" s="61" t="s">
        <v>61</v>
      </c>
      <c r="D12" s="62"/>
    </row>
    <row r="13" spans="1:5" s="54" customFormat="1" ht="12" customHeight="1" x14ac:dyDescent="0.2">
      <c r="A13" s="59"/>
      <c r="B13" s="60" t="s">
        <v>62</v>
      </c>
      <c r="C13" s="63" t="s">
        <v>63</v>
      </c>
      <c r="D13" s="62"/>
    </row>
    <row r="14" spans="1:5" s="54" customFormat="1" ht="12" customHeight="1" x14ac:dyDescent="0.2">
      <c r="A14" s="64"/>
      <c r="B14" s="60" t="s">
        <v>64</v>
      </c>
      <c r="C14" s="61" t="s">
        <v>65</v>
      </c>
      <c r="D14" s="65"/>
    </row>
    <row r="15" spans="1:5" s="66" customFormat="1" ht="12" customHeight="1" x14ac:dyDescent="0.2">
      <c r="A15" s="59"/>
      <c r="B15" s="60" t="s">
        <v>66</v>
      </c>
      <c r="C15" s="61" t="s">
        <v>67</v>
      </c>
      <c r="D15" s="62"/>
    </row>
    <row r="16" spans="1:5" s="66" customFormat="1" ht="12" customHeight="1" thickBot="1" x14ac:dyDescent="0.25">
      <c r="A16" s="180"/>
      <c r="B16" s="181" t="s">
        <v>68</v>
      </c>
      <c r="C16" s="182" t="s">
        <v>69</v>
      </c>
      <c r="D16" s="183"/>
    </row>
    <row r="17" spans="1:4" s="54" customFormat="1" ht="12" customHeight="1" thickBot="1" x14ac:dyDescent="0.25">
      <c r="A17" s="48" t="s">
        <v>11</v>
      </c>
      <c r="B17" s="70"/>
      <c r="C17" s="71" t="s">
        <v>70</v>
      </c>
      <c r="D17" s="72">
        <f>SUM(D18:D21)</f>
        <v>0</v>
      </c>
    </row>
    <row r="18" spans="1:4" s="66" customFormat="1" ht="12" customHeight="1" x14ac:dyDescent="0.2">
      <c r="A18" s="73"/>
      <c r="B18" s="74" t="s">
        <v>71</v>
      </c>
      <c r="C18" s="75" t="s">
        <v>72</v>
      </c>
      <c r="D18" s="76"/>
    </row>
    <row r="19" spans="1:4" s="66" customFormat="1" ht="12" customHeight="1" x14ac:dyDescent="0.2">
      <c r="A19" s="59"/>
      <c r="B19" s="60" t="s">
        <v>73</v>
      </c>
      <c r="C19" s="61" t="s">
        <v>74</v>
      </c>
      <c r="D19" s="62"/>
    </row>
    <row r="20" spans="1:4" s="66" customFormat="1" ht="12" customHeight="1" x14ac:dyDescent="0.2">
      <c r="A20" s="59"/>
      <c r="B20" s="60" t="s">
        <v>75</v>
      </c>
      <c r="C20" s="61" t="s">
        <v>76</v>
      </c>
      <c r="D20" s="62"/>
    </row>
    <row r="21" spans="1:4" s="66" customFormat="1" ht="12" customHeight="1" thickBot="1" x14ac:dyDescent="0.25">
      <c r="A21" s="67"/>
      <c r="B21" s="68" t="s">
        <v>77</v>
      </c>
      <c r="C21" s="77" t="s">
        <v>78</v>
      </c>
      <c r="D21" s="69"/>
    </row>
    <row r="22" spans="1:4" s="66" customFormat="1" ht="12" customHeight="1" thickBot="1" x14ac:dyDescent="0.25">
      <c r="A22" s="78" t="s">
        <v>13</v>
      </c>
      <c r="B22" s="79"/>
      <c r="C22" s="79" t="s">
        <v>79</v>
      </c>
      <c r="D22" s="80"/>
    </row>
    <row r="23" spans="1:4" s="54" customFormat="1" ht="12" customHeight="1" thickBot="1" x14ac:dyDescent="0.25">
      <c r="A23" s="78" t="s">
        <v>15</v>
      </c>
      <c r="B23" s="81"/>
      <c r="C23" s="79" t="s">
        <v>80</v>
      </c>
      <c r="D23" s="80"/>
    </row>
    <row r="24" spans="1:4" s="54" customFormat="1" ht="12" customHeight="1" thickBot="1" x14ac:dyDescent="0.25">
      <c r="A24" s="48" t="s">
        <v>17</v>
      </c>
      <c r="B24" s="82"/>
      <c r="C24" s="79" t="s">
        <v>81</v>
      </c>
      <c r="D24" s="72">
        <f>SUM(D25:D26)</f>
        <v>650880</v>
      </c>
    </row>
    <row r="25" spans="1:4" s="54" customFormat="1" ht="12" customHeight="1" x14ac:dyDescent="0.2">
      <c r="A25" s="73"/>
      <c r="B25" s="83" t="s">
        <v>82</v>
      </c>
      <c r="C25" s="84" t="s">
        <v>83</v>
      </c>
      <c r="D25" s="85">
        <v>0</v>
      </c>
    </row>
    <row r="26" spans="1:4" s="54" customFormat="1" ht="12" customHeight="1" thickBot="1" x14ac:dyDescent="0.25">
      <c r="A26" s="67"/>
      <c r="B26" s="86" t="s">
        <v>84</v>
      </c>
      <c r="C26" s="87" t="s">
        <v>85</v>
      </c>
      <c r="D26" s="88">
        <v>650880</v>
      </c>
    </row>
    <row r="27" spans="1:4" s="66" customFormat="1" ht="12" customHeight="1" thickBot="1" x14ac:dyDescent="0.25">
      <c r="A27" s="89" t="s">
        <v>86</v>
      </c>
      <c r="B27" s="90"/>
      <c r="C27" s="79" t="s">
        <v>87</v>
      </c>
      <c r="D27" s="80">
        <f>39976929+2490735</f>
        <v>42467664</v>
      </c>
    </row>
    <row r="28" spans="1:4" s="66" customFormat="1" ht="12" customHeight="1" thickBot="1" x14ac:dyDescent="0.25">
      <c r="A28" s="89" t="s">
        <v>88</v>
      </c>
      <c r="B28" s="91"/>
      <c r="C28" s="92" t="s">
        <v>89</v>
      </c>
      <c r="D28" s="80"/>
    </row>
    <row r="29" spans="1:4" s="66" customFormat="1" ht="15" customHeight="1" thickBot="1" x14ac:dyDescent="0.25">
      <c r="A29" s="89" t="s">
        <v>90</v>
      </c>
      <c r="B29" s="93"/>
      <c r="C29" s="94" t="s">
        <v>91</v>
      </c>
      <c r="D29" s="72">
        <f>SUM(D8,D17,D22,D23,D24,D27,D28)</f>
        <v>50246720</v>
      </c>
    </row>
    <row r="30" spans="1:4" s="66" customFormat="1" ht="15" customHeight="1" x14ac:dyDescent="0.2">
      <c r="A30" s="95"/>
      <c r="B30" s="96"/>
      <c r="C30" s="97"/>
      <c r="D30" s="98"/>
    </row>
    <row r="31" spans="1:4" ht="13.5" thickBot="1" x14ac:dyDescent="0.25">
      <c r="A31" s="99"/>
      <c r="B31" s="100"/>
      <c r="C31" s="100"/>
      <c r="D31" s="101"/>
    </row>
    <row r="32" spans="1:4" s="51" customFormat="1" ht="16.5" customHeight="1" thickBot="1" x14ac:dyDescent="0.25">
      <c r="A32" s="375" t="s">
        <v>92</v>
      </c>
      <c r="B32" s="378"/>
      <c r="C32" s="378"/>
      <c r="D32" s="377"/>
    </row>
    <row r="33" spans="1:4" s="104" customFormat="1" ht="12" customHeight="1" thickBot="1" x14ac:dyDescent="0.25">
      <c r="A33" s="78" t="s">
        <v>9</v>
      </c>
      <c r="B33" s="102"/>
      <c r="C33" s="103" t="s">
        <v>108</v>
      </c>
      <c r="D33" s="72">
        <f>SUM(D34:D38)</f>
        <v>49755028</v>
      </c>
    </row>
    <row r="34" spans="1:4" ht="12" customHeight="1" x14ac:dyDescent="0.2">
      <c r="A34" s="105"/>
      <c r="B34" s="83" t="s">
        <v>54</v>
      </c>
      <c r="C34" s="75" t="s">
        <v>93</v>
      </c>
      <c r="D34" s="76">
        <f>'4ovi'!F11</f>
        <v>26824053</v>
      </c>
    </row>
    <row r="35" spans="1:4" ht="12" customHeight="1" x14ac:dyDescent="0.2">
      <c r="A35" s="106"/>
      <c r="B35" s="107" t="s">
        <v>56</v>
      </c>
      <c r="C35" s="61" t="s">
        <v>94</v>
      </c>
      <c r="D35" s="76">
        <f>'4ovi'!F12</f>
        <v>5426727</v>
      </c>
    </row>
    <row r="36" spans="1:4" ht="12" customHeight="1" x14ac:dyDescent="0.2">
      <c r="A36" s="106"/>
      <c r="B36" s="107" t="s">
        <v>58</v>
      </c>
      <c r="C36" s="61" t="s">
        <v>95</v>
      </c>
      <c r="D36" s="76">
        <f>'4ovi'!F13</f>
        <v>17504248</v>
      </c>
    </row>
    <row r="37" spans="1:4" ht="12" customHeight="1" x14ac:dyDescent="0.2">
      <c r="A37" s="106"/>
      <c r="B37" s="107" t="s">
        <v>60</v>
      </c>
      <c r="C37" s="61" t="s">
        <v>18</v>
      </c>
      <c r="D37" s="62"/>
    </row>
    <row r="38" spans="1:4" ht="12" customHeight="1" thickBot="1" x14ac:dyDescent="0.25">
      <c r="A38" s="108"/>
      <c r="B38" s="86" t="s">
        <v>96</v>
      </c>
      <c r="C38" s="77" t="s">
        <v>97</v>
      </c>
      <c r="D38" s="69"/>
    </row>
    <row r="39" spans="1:4" ht="12" customHeight="1" thickBot="1" x14ac:dyDescent="0.25">
      <c r="A39" s="78" t="s">
        <v>11</v>
      </c>
      <c r="B39" s="102"/>
      <c r="C39" s="103" t="s">
        <v>109</v>
      </c>
      <c r="D39" s="72">
        <f>SUM(D40:D43)</f>
        <v>491692</v>
      </c>
    </row>
    <row r="40" spans="1:4" s="104" customFormat="1" ht="12" customHeight="1" x14ac:dyDescent="0.2">
      <c r="A40" s="105"/>
      <c r="B40" s="83" t="s">
        <v>71</v>
      </c>
      <c r="C40" s="75" t="s">
        <v>98</v>
      </c>
      <c r="D40" s="76">
        <v>491692</v>
      </c>
    </row>
    <row r="41" spans="1:4" ht="12" customHeight="1" x14ac:dyDescent="0.2">
      <c r="A41" s="106"/>
      <c r="B41" s="107" t="s">
        <v>73</v>
      </c>
      <c r="C41" s="61" t="s">
        <v>99</v>
      </c>
      <c r="D41" s="62"/>
    </row>
    <row r="42" spans="1:4" ht="12" customHeight="1" x14ac:dyDescent="0.2">
      <c r="A42" s="106"/>
      <c r="B42" s="107" t="s">
        <v>100</v>
      </c>
      <c r="C42" s="61" t="s">
        <v>188</v>
      </c>
      <c r="D42" s="62"/>
    </row>
    <row r="43" spans="1:4" ht="12" customHeight="1" thickBot="1" x14ac:dyDescent="0.25">
      <c r="A43" s="106"/>
      <c r="B43" s="86" t="s">
        <v>101</v>
      </c>
      <c r="C43" s="77" t="s">
        <v>102</v>
      </c>
      <c r="D43" s="69"/>
    </row>
    <row r="44" spans="1:4" ht="12" customHeight="1" thickBot="1" x14ac:dyDescent="0.25">
      <c r="A44" s="53" t="s">
        <v>13</v>
      </c>
      <c r="B44" s="109"/>
      <c r="C44" s="103" t="s">
        <v>103</v>
      </c>
      <c r="D44" s="80"/>
    </row>
    <row r="45" spans="1:4" ht="12" customHeight="1" thickBot="1" x14ac:dyDescent="0.25">
      <c r="A45" s="78" t="s">
        <v>15</v>
      </c>
      <c r="B45" s="102"/>
      <c r="C45" s="103" t="s">
        <v>104</v>
      </c>
      <c r="D45" s="80"/>
    </row>
    <row r="46" spans="1:4" ht="15" customHeight="1" thickBot="1" x14ac:dyDescent="0.25">
      <c r="A46" s="78" t="s">
        <v>17</v>
      </c>
      <c r="B46" s="110"/>
      <c r="C46" s="111" t="s">
        <v>105</v>
      </c>
      <c r="D46" s="72">
        <f>+D33+D39+D44+D45</f>
        <v>50246720</v>
      </c>
    </row>
    <row r="47" spans="1:4" ht="13.5" thickBot="1" x14ac:dyDescent="0.25">
      <c r="A47" s="112"/>
      <c r="D47" s="113"/>
    </row>
    <row r="48" spans="1:4" ht="15" customHeight="1" thickBot="1" x14ac:dyDescent="0.25">
      <c r="A48" s="114" t="s">
        <v>106</v>
      </c>
      <c r="B48" s="115"/>
      <c r="C48" s="116"/>
      <c r="D48" s="117">
        <v>8</v>
      </c>
    </row>
    <row r="49" spans="1:4" ht="14.25" customHeight="1" thickBot="1" x14ac:dyDescent="0.25">
      <c r="A49" s="118" t="s">
        <v>107</v>
      </c>
      <c r="B49" s="119"/>
      <c r="C49" s="116"/>
      <c r="D49" s="120"/>
    </row>
    <row r="50" spans="1:4" ht="51" customHeight="1" x14ac:dyDescent="0.2">
      <c r="A50" s="372"/>
      <c r="B50" s="372"/>
      <c r="C50" s="372"/>
    </row>
  </sheetData>
  <sheetProtection formatCells="0"/>
  <mergeCells count="8">
    <mergeCell ref="C1:D1"/>
    <mergeCell ref="A50:C50"/>
    <mergeCell ref="A2:B2"/>
    <mergeCell ref="A5:B5"/>
    <mergeCell ref="C7:D7"/>
    <mergeCell ref="A32:D32"/>
    <mergeCell ref="C2:D2"/>
    <mergeCell ref="C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8</vt:i4>
      </vt:variant>
    </vt:vector>
  </HeadingPairs>
  <TitlesOfParts>
    <vt:vector size="16" baseType="lpstr">
      <vt:lpstr>2</vt:lpstr>
      <vt:lpstr>2a</vt:lpstr>
      <vt:lpstr>3</vt:lpstr>
      <vt:lpstr>4</vt:lpstr>
      <vt:lpstr>4önk</vt:lpstr>
      <vt:lpstr>4ovi</vt:lpstr>
      <vt:lpstr>5</vt:lpstr>
      <vt:lpstr>10</vt:lpstr>
      <vt:lpstr>'10'!Nyomtatási_cím</vt:lpstr>
      <vt:lpstr>'2a'!Nyomtatási_cím</vt:lpstr>
      <vt:lpstr>'10'!Nyomtatási_terület</vt:lpstr>
      <vt:lpstr>'2'!Nyomtatási_terület</vt:lpstr>
      <vt:lpstr>'2a'!Nyomtatási_terület</vt:lpstr>
      <vt:lpstr>'4'!Nyomtatási_terület</vt:lpstr>
      <vt:lpstr>'4ovi'!Nyomtatási_terület</vt:lpstr>
      <vt:lpstr>'4önk'!Nyomtatási_terület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2019-03-22T10:09:08Z</cp:lastPrinted>
  <dcterms:created xsi:type="dcterms:W3CDTF">2005-12-27T13:42:28Z</dcterms:created>
  <dcterms:modified xsi:type="dcterms:W3CDTF">2019-04-05T07:02:48Z</dcterms:modified>
</cp:coreProperties>
</file>