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825" windowWidth="11340" windowHeight="8115"/>
  </bookViews>
  <sheets>
    <sheet name="Eu-s projektek" sheetId="2" r:id="rId1"/>
  </sheets>
  <definedNames>
    <definedName name="_xlnm.Print_Titles" localSheetId="0">'Eu-s projektek'!$1:$6</definedName>
    <definedName name="_xlnm.Print_Area" localSheetId="0">'Eu-s projektek'!$A$1:$P$60</definedName>
  </definedNames>
  <calcPr calcId="145621" fullCalcOnLoad="1"/>
</workbook>
</file>

<file path=xl/calcChain.xml><?xml version="1.0" encoding="utf-8"?>
<calcChain xmlns="http://schemas.openxmlformats.org/spreadsheetml/2006/main">
  <c r="G53" i="2"/>
  <c r="G56"/>
  <c r="F56"/>
  <c r="E56"/>
  <c r="J56"/>
  <c r="K56"/>
  <c r="L56"/>
  <c r="I56"/>
  <c r="J52"/>
  <c r="J46"/>
  <c r="J42"/>
  <c r="K36"/>
  <c r="I36"/>
  <c r="K35"/>
  <c r="I35"/>
  <c r="K33"/>
  <c r="I33"/>
  <c r="K32"/>
  <c r="K23"/>
  <c r="I23"/>
  <c r="K21"/>
  <c r="I21"/>
  <c r="K19"/>
  <c r="K17"/>
  <c r="I17"/>
  <c r="I19"/>
  <c r="I32"/>
  <c r="K31"/>
  <c r="I31"/>
  <c r="K29"/>
  <c r="I29"/>
  <c r="K27"/>
  <c r="I27"/>
  <c r="K25"/>
  <c r="I25"/>
  <c r="K16"/>
  <c r="I16"/>
  <c r="K14"/>
  <c r="I14"/>
  <c r="K12"/>
  <c r="I12"/>
  <c r="K11"/>
  <c r="I11"/>
  <c r="K9"/>
  <c r="I9"/>
  <c r="K7"/>
  <c r="I7"/>
  <c r="K38"/>
  <c r="I38"/>
  <c r="J40"/>
  <c r="J38"/>
  <c r="J36"/>
  <c r="L38"/>
  <c r="L36"/>
  <c r="L32"/>
  <c r="L33"/>
  <c r="L31"/>
  <c r="E34"/>
  <c r="J33"/>
  <c r="E37"/>
  <c r="G37"/>
  <c r="G39"/>
  <c r="G7"/>
  <c r="E33"/>
  <c r="F33"/>
  <c r="L35"/>
  <c r="J35"/>
  <c r="J32"/>
  <c r="J31"/>
  <c r="J29"/>
  <c r="L29"/>
  <c r="L27"/>
  <c r="J27"/>
  <c r="L21"/>
  <c r="J21"/>
  <c r="E22"/>
  <c r="G22"/>
  <c r="E28"/>
  <c r="G28"/>
  <c r="L19"/>
  <c r="E20"/>
  <c r="G20"/>
  <c r="J19"/>
  <c r="L9"/>
  <c r="J9"/>
  <c r="G35"/>
  <c r="E10"/>
  <c r="G10"/>
  <c r="F19"/>
  <c r="G29"/>
  <c r="L25"/>
  <c r="J25"/>
  <c r="L23"/>
  <c r="J23"/>
  <c r="L17"/>
  <c r="J17"/>
  <c r="L7"/>
  <c r="J7"/>
  <c r="E18"/>
  <c r="G18"/>
  <c r="E26"/>
  <c r="G26"/>
  <c r="E8"/>
  <c r="G8"/>
  <c r="G15"/>
  <c r="G13"/>
  <c r="L14"/>
  <c r="J14"/>
  <c r="L12"/>
  <c r="J12"/>
  <c r="E21"/>
  <c r="G11"/>
  <c r="G12"/>
  <c r="G14"/>
  <c r="G16"/>
  <c r="G9"/>
  <c r="G34"/>
  <c r="G19"/>
</calcChain>
</file>

<file path=xl/sharedStrings.xml><?xml version="1.0" encoding="utf-8"?>
<sst xmlns="http://schemas.openxmlformats.org/spreadsheetml/2006/main" count="118" uniqueCount="82">
  <si>
    <t>sorsz.</t>
  </si>
  <si>
    <t>Györgyi Dénes Általános Iskola komplex felújítása és tornateremmel történő bővítése</t>
  </si>
  <si>
    <t>KDOP-5.2.1/B-2008-0012</t>
  </si>
  <si>
    <t>KDOP-3.1.1/C-2008-0005</t>
  </si>
  <si>
    <t>Balatonalmádi városközpontjának megújítása, kistérségi szerepkörének és vonzerejének növelése (I. ütem)</t>
  </si>
  <si>
    <t>KDOP-2.1.1/D-2F-2009-0005</t>
  </si>
  <si>
    <t>projekt címe</t>
  </si>
  <si>
    <t>projekt azonosító</t>
  </si>
  <si>
    <t>ÁROP-1.A.2/A-2008-0082</t>
  </si>
  <si>
    <t>Balatonalmádi Polgármesteri Hivatal szervezetfejlesztése</t>
  </si>
  <si>
    <t>támogatási intezitás</t>
  </si>
  <si>
    <t>ÖSSZESEN:</t>
  </si>
  <si>
    <t>projekt státusza</t>
  </si>
  <si>
    <t>elfogadott</t>
  </si>
  <si>
    <t>KDOP-5.1.1/2F-2008-0045 KDOP-5.1.1/2F-2f-2009-0013</t>
  </si>
  <si>
    <t>Balatonalmádi Kistérség járóbeteg szakellátás intergált fejlesztése</t>
  </si>
  <si>
    <t>projekt összköltsége Ft</t>
  </si>
  <si>
    <t>támogatási összeg Ft</t>
  </si>
  <si>
    <t>önerő  Ft</t>
  </si>
  <si>
    <t>EU-s támogatással megvalósuló projektek bevételeinek- kiadásainak kimutatása</t>
  </si>
  <si>
    <t>Kiadások</t>
  </si>
  <si>
    <t>Bevételek (támogatások)</t>
  </si>
  <si>
    <t>módosított összköltség önerő emelése után</t>
  </si>
  <si>
    <r>
      <t xml:space="preserve">Balatonalmádi, Wesselényi strand szolgáltatási színvonalának fejlesztése </t>
    </r>
    <r>
      <rPr>
        <b/>
        <sz val="10"/>
        <rFont val="Arial"/>
        <family val="2"/>
        <charset val="238"/>
      </rPr>
      <t>(a támogatás szerződés adatai  NETTÓBAN értendőek)</t>
    </r>
  </si>
  <si>
    <t>TIOP-1.2.3-09/1-2009-0014</t>
  </si>
  <si>
    <t>könyvtári szolgáltatás összehangolt infrastruktúrális fejlesztése</t>
  </si>
  <si>
    <t>TÁMOP 3.2.4-08/1-2009-0017</t>
  </si>
  <si>
    <t>Tudásdepó-express</t>
  </si>
  <si>
    <t>szociális- és gyermekjóléti szolgáltatások komplex fejlesztése</t>
  </si>
  <si>
    <t>TIOP-1.1.1-07/1-2008-0960</t>
  </si>
  <si>
    <t>Balatonalmádi iskoláinak IKT infrastruktúra fejlesztése</t>
  </si>
  <si>
    <t>SZAK-KDOP-5.2.2/A-09-2009-0002</t>
  </si>
  <si>
    <t>Támogatási szerződés /költségvetés módosított előirányzata szerint  Ft</t>
  </si>
  <si>
    <t>kultúrparkok és központok kialakítása</t>
  </si>
  <si>
    <t>MVH                                    LEADER kultúrpark</t>
  </si>
  <si>
    <t>módosított összköltség tény adatok alapján</t>
  </si>
  <si>
    <t>Európa Napok</t>
  </si>
  <si>
    <t>KDOP-4.1.1/E-11-2011-0009</t>
  </si>
  <si>
    <t>Endre-Vörösmarty út csapadékvíz elvezetése</t>
  </si>
  <si>
    <t>TÁMOP 3.2.4.A-11/1-2012-0089</t>
  </si>
  <si>
    <t>Bakony-Balaton együttműködés 2.</t>
  </si>
  <si>
    <t xml:space="preserve">Kulturális szakemberek továbbképzésének szervezése </t>
  </si>
  <si>
    <t xml:space="preserve">  TÁMOP 3.2.12-12/1-2012-0037</t>
  </si>
  <si>
    <t>KDOP-3.1.1/C-12-2012</t>
  </si>
  <si>
    <t>Balatonalmádi városközpontjának funkcióbővítő rehabilitációja II. ütem</t>
  </si>
  <si>
    <t>TÁMOP 3.2.13-12/1-2012-0454</t>
  </si>
  <si>
    <t>Tudásforrás-Kalauz a digitális írástudás fejlesztéséhez általános iskolások számára</t>
  </si>
  <si>
    <t>KEOP-4.10.0/A/12-2013-0504</t>
  </si>
  <si>
    <t>Balatonalmádi Városgondnokság napelemes rendszer telepítése</t>
  </si>
  <si>
    <t>MVH LEADER 2013. 35/2013.(V.22.) VM rendelet alapján</t>
  </si>
  <si>
    <t>Balatonalmádi LEADER Hagyományőrző Kultúrközpont kialakítása</t>
  </si>
  <si>
    <t>Megvalósítás időtartama</t>
  </si>
  <si>
    <t>Kezdés</t>
  </si>
  <si>
    <t xml:space="preserve">Befejezés </t>
  </si>
  <si>
    <t>Projekt pénzügyi zárás dátuma</t>
  </si>
  <si>
    <t>Projekt fenntartási időszak záró időpont</t>
  </si>
  <si>
    <t>Megjegyzés: A projektek összköltségei a fordított Áfa összegét tartalmazzák</t>
  </si>
  <si>
    <t>KEOP-4.10.0/F/14-2014-0025</t>
  </si>
  <si>
    <t>Balatonalmádi Magy-Angol Tannyelvű Gimnázium és Kollégium gimnáziumi épületrészének épületenergetikai fejlesztése</t>
  </si>
  <si>
    <t>Balatonalmádi - Vörösberény városrész háziorvosi rendelők fejlesztése</t>
  </si>
  <si>
    <t>TOP-4.1.1-15 Egészségügyi alapellátás infrastrukturális fejlesztése</t>
  </si>
  <si>
    <t>benyújtott</t>
  </si>
  <si>
    <t>2016.01.01 előtti kiadás</t>
  </si>
  <si>
    <t xml:space="preserve">2016. 01.01-től várható </t>
  </si>
  <si>
    <t>2016.01.01 előtti bevétel</t>
  </si>
  <si>
    <t>TOP-2.1.3-15 Települési környezetvédelmi Infrastruktúra-fejlesztések</t>
  </si>
  <si>
    <t>Balatonalmádi, Vörösberényi-séd vízrendezése</t>
  </si>
  <si>
    <t>TOP-1.2.1-15 Társadalmi és környezeti fenntartható turizmusfejlesztés</t>
  </si>
  <si>
    <t>Aktív sportos strandélet infrastrukturális feltételeinek fejlesztése a balatonalmádi Wesselényi strandon</t>
  </si>
  <si>
    <t>Almádi Magocskák Óvoda új épületének építése</t>
  </si>
  <si>
    <t>TOP-3.2.1-15 Önkormányzati épületek energetikai korszerűsítése</t>
  </si>
  <si>
    <t>Balatonalmádi, Magyar-Angol Tannyelvű Gimnázium és Kollégium KOLLÉGIUMI épületrészének épületenergetikai korszerűsítése</t>
  </si>
  <si>
    <t>VP-6-7.4.1.1-16 Településképet meghatározó épületek külső rekonstrukciója</t>
  </si>
  <si>
    <t>Balatonalmádi Városháza energetikai megújítása</t>
  </si>
  <si>
    <t>Top-3.1.1-15 Fenntartható települési közlekedésfejlesztés</t>
  </si>
  <si>
    <t>Balatonalmádi kerékpárosbartá várossá fejlesztése</t>
  </si>
  <si>
    <t>Elfogadott pályázatok (aláírt támogatási szerződéssel)/ benyújtott pályázatok</t>
  </si>
  <si>
    <t>Kiadások - Bevételek   Ft (tény adatok alapján)</t>
  </si>
  <si>
    <t>TOP-5.1.2.15 Helyi foglalkoztatási együttműködések</t>
  </si>
  <si>
    <t>Balatonfüred és Balatonalmádi közös helyi foglalkoztatási együttműködés Balatonalmádi konzorciumi tagi rész</t>
  </si>
  <si>
    <t>TOP-1.4.1-15 A foglalkoztatás és az életminőség javítása családbarát, munkába állást segítő intézmények, közszolgáltatások fejlesztésével</t>
  </si>
  <si>
    <t>A kijelölt cella esetében tartalmaz további saját forrásigényt.</t>
  </si>
</sst>
</file>

<file path=xl/styles.xml><?xml version="1.0" encoding="utf-8"?>
<styleSheet xmlns="http://schemas.openxmlformats.org/spreadsheetml/2006/main">
  <numFmts count="1">
    <numFmt numFmtId="172" formatCode="#,##0\ &quot;Ft&quot;"/>
  </numFmts>
  <fonts count="10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4" fillId="0" borderId="0" xfId="0" applyFont="1"/>
    <xf numFmtId="0" fontId="0" fillId="0" borderId="0" xfId="0" applyFill="1"/>
    <xf numFmtId="0" fontId="0" fillId="0" borderId="0" xfId="0" applyBorder="1"/>
    <xf numFmtId="172" fontId="0" fillId="0" borderId="0" xfId="0" applyNumberFormat="1"/>
    <xf numFmtId="0" fontId="6" fillId="0" borderId="0" xfId="0" applyFont="1"/>
    <xf numFmtId="0" fontId="0" fillId="0" borderId="1" xfId="0" applyBorder="1"/>
    <xf numFmtId="0" fontId="6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172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172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vertical="center" wrapText="1"/>
    </xf>
    <xf numFmtId="0" fontId="1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172" fontId="1" fillId="0" borderId="1" xfId="0" applyNumberFormat="1" applyFont="1" applyFill="1" applyBorder="1" applyAlignment="1">
      <alignment horizontal="center" vertical="center"/>
    </xf>
    <xf numFmtId="17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2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172" fontId="1" fillId="0" borderId="3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3" xfId="0" applyFont="1" applyFill="1" applyBorder="1" applyAlignment="1">
      <alignment vertical="center" wrapText="1"/>
    </xf>
    <xf numFmtId="0" fontId="7" fillId="0" borderId="1" xfId="0" applyFont="1" applyFill="1" applyBorder="1" applyAlignment="1"/>
    <xf numFmtId="172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172" fontId="8" fillId="0" borderId="0" xfId="0" applyNumberFormat="1" applyFont="1"/>
    <xf numFmtId="172" fontId="0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9" fillId="0" borderId="0" xfId="0" applyFont="1"/>
    <xf numFmtId="0" fontId="8" fillId="0" borderId="0" xfId="0" applyFont="1" applyFill="1"/>
    <xf numFmtId="3" fontId="8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2" fontId="1" fillId="0" borderId="2" xfId="0" applyNumberFormat="1" applyFont="1" applyFill="1" applyBorder="1" applyAlignment="1">
      <alignment horizontal="center" vertical="center"/>
    </xf>
    <xf numFmtId="9" fontId="1" fillId="0" borderId="2" xfId="0" applyNumberFormat="1" applyFont="1" applyFill="1" applyBorder="1" applyAlignment="1">
      <alignment horizontal="center" vertical="center"/>
    </xf>
    <xf numFmtId="172" fontId="1" fillId="0" borderId="3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172" fontId="1" fillId="0" borderId="4" xfId="0" applyNumberFormat="1" applyFont="1" applyFill="1" applyBorder="1" applyAlignment="1">
      <alignment horizontal="center" vertical="center"/>
    </xf>
    <xf numFmtId="9" fontId="1" fillId="0" borderId="4" xfId="0" applyNumberFormat="1" applyFont="1" applyFill="1" applyBorder="1" applyAlignment="1">
      <alignment horizontal="center" vertical="center"/>
    </xf>
    <xf numFmtId="3" fontId="8" fillId="0" borderId="4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172" fontId="8" fillId="0" borderId="2" xfId="0" applyNumberFormat="1" applyFont="1" applyFill="1" applyBorder="1" applyAlignment="1">
      <alignment horizontal="center" vertical="center"/>
    </xf>
    <xf numFmtId="172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14" fontId="0" fillId="0" borderId="1" xfId="0" applyNumberFormat="1" applyFill="1" applyBorder="1" applyAlignment="1">
      <alignment vertical="center"/>
    </xf>
    <xf numFmtId="14" fontId="1" fillId="0" borderId="1" xfId="0" applyNumberFormat="1" applyFont="1" applyFill="1" applyBorder="1" applyAlignment="1">
      <alignment vertical="center"/>
    </xf>
    <xf numFmtId="14" fontId="1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vertical="center"/>
    </xf>
    <xf numFmtId="172" fontId="8" fillId="0" borderId="4" xfId="0" applyNumberFormat="1" applyFont="1" applyFill="1" applyBorder="1" applyAlignment="1">
      <alignment horizontal="center" vertical="center" wrapText="1"/>
    </xf>
    <xf numFmtId="172" fontId="8" fillId="0" borderId="10" xfId="0" applyNumberFormat="1" applyFont="1" applyFill="1" applyBorder="1" applyAlignment="1">
      <alignment horizontal="center" vertical="center" wrapText="1"/>
    </xf>
    <xf numFmtId="0" fontId="1" fillId="0" borderId="0" xfId="0" applyFont="1"/>
    <xf numFmtId="14" fontId="1" fillId="0" borderId="3" xfId="0" applyNumberFormat="1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2" fontId="8" fillId="0" borderId="3" xfId="0" applyNumberFormat="1" applyFont="1" applyFill="1" applyBorder="1" applyAlignment="1">
      <alignment horizontal="center" vertical="center"/>
    </xf>
    <xf numFmtId="172" fontId="8" fillId="0" borderId="2" xfId="0" applyNumberFormat="1" applyFont="1" applyFill="1" applyBorder="1" applyAlignment="1">
      <alignment horizontal="center" vertical="center"/>
    </xf>
    <xf numFmtId="9" fontId="8" fillId="0" borderId="3" xfId="0" applyNumberFormat="1" applyFont="1" applyFill="1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9" fontId="1" fillId="0" borderId="3" xfId="0" applyNumberFormat="1" applyFont="1" applyFill="1" applyBorder="1" applyAlignment="1">
      <alignment horizontal="center" vertical="center"/>
    </xf>
    <xf numFmtId="9" fontId="1" fillId="0" borderId="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14" fontId="3" fillId="2" borderId="7" xfId="0" applyNumberFormat="1" applyFont="1" applyFill="1" applyBorder="1" applyAlignment="1">
      <alignment horizontal="center" vertical="center" wrapText="1"/>
    </xf>
    <xf numFmtId="14" fontId="3" fillId="2" borderId="8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3" fontId="0" fillId="0" borderId="3" xfId="0" applyNumberForma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/>
    </xf>
    <xf numFmtId="10" fontId="1" fillId="0" borderId="3" xfId="0" applyNumberFormat="1" applyFont="1" applyFill="1" applyBorder="1" applyAlignment="1">
      <alignment horizontal="center" vertical="center"/>
    </xf>
    <xf numFmtId="10" fontId="1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/>
    <xf numFmtId="17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172" fontId="1" fillId="0" borderId="3" xfId="0" applyNumberFormat="1" applyFont="1" applyFill="1" applyBorder="1" applyAlignment="1">
      <alignment horizontal="center" vertical="center"/>
    </xf>
    <xf numFmtId="172" fontId="1" fillId="0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textRotation="9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2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10" fontId="0" fillId="0" borderId="1" xfId="0" applyNumberForma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3" fontId="0" fillId="0" borderId="1" xfId="0" applyNumberFormat="1" applyFill="1" applyBorder="1" applyAlignment="1">
      <alignment vertical="center"/>
    </xf>
    <xf numFmtId="3" fontId="0" fillId="0" borderId="1" xfId="0" applyNumberForma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10" fontId="0" fillId="0" borderId="3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172" fontId="1" fillId="0" borderId="1" xfId="0" applyNumberFormat="1" applyFont="1" applyFill="1" applyBorder="1" applyAlignment="1">
      <alignment horizontal="center" vertical="center" wrapText="1"/>
    </xf>
    <xf numFmtId="172" fontId="1" fillId="0" borderId="3" xfId="0" applyNumberFormat="1" applyFont="1" applyFill="1" applyBorder="1" applyAlignment="1">
      <alignment horizontal="center" vertical="center" wrapText="1"/>
    </xf>
    <xf numFmtId="172" fontId="1" fillId="0" borderId="2" xfId="0" applyNumberFormat="1" applyFont="1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172" fontId="8" fillId="0" borderId="5" xfId="0" applyNumberFormat="1" applyFont="1" applyFill="1" applyBorder="1" applyAlignment="1">
      <alignment horizontal="center" vertical="center"/>
    </xf>
    <xf numFmtId="9" fontId="8" fillId="0" borderId="6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87</xdr:row>
      <xdr:rowOff>19050</xdr:rowOff>
    </xdr:from>
    <xdr:to>
      <xdr:col>4</xdr:col>
      <xdr:colOff>161925</xdr:colOff>
      <xdr:row>87</xdr:row>
      <xdr:rowOff>95250</xdr:rowOff>
    </xdr:to>
    <xdr:sp macro="" textlink="">
      <xdr:nvSpPr>
        <xdr:cNvPr id="1076" name="Text Box 1"/>
        <xdr:cNvSpPr txBox="1">
          <a:spLocks noChangeArrowheads="1"/>
        </xdr:cNvSpPr>
      </xdr:nvSpPr>
      <xdr:spPr bwMode="auto">
        <a:xfrm>
          <a:off x="4362450" y="35318700"/>
          <a:ext cx="7620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8"/>
  <sheetViews>
    <sheetView tabSelected="1" zoomScale="80" zoomScaleNormal="80" zoomScaleSheetLayoutView="100" zoomScalePageLayoutView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:B8"/>
    </sheetView>
  </sheetViews>
  <sheetFormatPr defaultRowHeight="12.75"/>
  <cols>
    <col min="1" max="1" width="3.7109375" customWidth="1"/>
    <col min="2" max="2" width="26.28515625" customWidth="1"/>
    <col min="3" max="3" width="22.5703125" customWidth="1"/>
    <col min="4" max="4" width="11.5703125" customWidth="1"/>
    <col min="5" max="5" width="21" customWidth="1"/>
    <col min="6" max="6" width="17.28515625" customWidth="1"/>
    <col min="7" max="7" width="16.7109375" customWidth="1"/>
    <col min="8" max="8" width="12.7109375" customWidth="1"/>
    <col min="9" max="9" width="17.85546875" customWidth="1"/>
    <col min="10" max="10" width="15.7109375" customWidth="1"/>
    <col min="11" max="11" width="15.85546875" customWidth="1"/>
    <col min="12" max="12" width="17.140625" customWidth="1"/>
    <col min="13" max="13" width="15.140625" bestFit="1" customWidth="1"/>
    <col min="14" max="14" width="12.140625" customWidth="1"/>
    <col min="15" max="15" width="16.42578125" customWidth="1"/>
    <col min="16" max="16" width="16.85546875" customWidth="1"/>
    <col min="23" max="23" width="15.28515625" customWidth="1"/>
  </cols>
  <sheetData>
    <row r="1" spans="1:16" ht="21.75" customHeight="1">
      <c r="B1" s="115" t="s">
        <v>19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6" ht="18">
      <c r="B2" s="1"/>
      <c r="J2" s="4"/>
      <c r="K2" s="4"/>
      <c r="L2" s="4"/>
    </row>
    <row r="3" spans="1:16" ht="16.5" thickBot="1">
      <c r="B3" s="5" t="s">
        <v>76</v>
      </c>
    </row>
    <row r="4" spans="1:16" ht="16.5" customHeight="1" thickBot="1">
      <c r="A4" s="6"/>
      <c r="B4" s="7"/>
      <c r="C4" s="83" t="s">
        <v>32</v>
      </c>
      <c r="D4" s="83"/>
      <c r="E4" s="83"/>
      <c r="F4" s="83"/>
      <c r="G4" s="83"/>
      <c r="H4" s="83"/>
      <c r="I4" s="83" t="s">
        <v>77</v>
      </c>
      <c r="J4" s="83"/>
      <c r="K4" s="83"/>
      <c r="L4" s="83"/>
      <c r="M4" s="83" t="s">
        <v>51</v>
      </c>
      <c r="N4" s="83"/>
      <c r="O4" s="83"/>
      <c r="P4" s="83"/>
    </row>
    <row r="5" spans="1:16" ht="16.5" customHeight="1" thickBot="1">
      <c r="A5" s="107" t="s">
        <v>0</v>
      </c>
      <c r="B5" s="108" t="s">
        <v>7</v>
      </c>
      <c r="C5" s="109" t="s">
        <v>6</v>
      </c>
      <c r="D5" s="109" t="s">
        <v>12</v>
      </c>
      <c r="E5" s="109" t="s">
        <v>16</v>
      </c>
      <c r="F5" s="109" t="s">
        <v>17</v>
      </c>
      <c r="G5" s="108" t="s">
        <v>18</v>
      </c>
      <c r="H5" s="109" t="s">
        <v>10</v>
      </c>
      <c r="I5" s="83" t="s">
        <v>20</v>
      </c>
      <c r="J5" s="83"/>
      <c r="K5" s="83" t="s">
        <v>21</v>
      </c>
      <c r="L5" s="83"/>
      <c r="M5" s="84" t="s">
        <v>52</v>
      </c>
      <c r="N5" s="86" t="s">
        <v>53</v>
      </c>
      <c r="O5" s="84" t="s">
        <v>54</v>
      </c>
      <c r="P5" s="88" t="s">
        <v>55</v>
      </c>
    </row>
    <row r="6" spans="1:16" ht="30.75" customHeight="1" thickBot="1">
      <c r="A6" s="107"/>
      <c r="B6" s="108"/>
      <c r="C6" s="109"/>
      <c r="D6" s="109"/>
      <c r="E6" s="109"/>
      <c r="F6" s="109"/>
      <c r="G6" s="108"/>
      <c r="H6" s="109"/>
      <c r="I6" s="21" t="s">
        <v>62</v>
      </c>
      <c r="J6" s="8" t="s">
        <v>63</v>
      </c>
      <c r="K6" s="21" t="s">
        <v>64</v>
      </c>
      <c r="L6" s="8" t="s">
        <v>63</v>
      </c>
      <c r="M6" s="85"/>
      <c r="N6" s="87"/>
      <c r="O6" s="85"/>
      <c r="P6" s="89"/>
    </row>
    <row r="7" spans="1:16" s="3" customFormat="1" ht="51.75" thickBot="1">
      <c r="A7" s="119">
        <v>1</v>
      </c>
      <c r="B7" s="111" t="s">
        <v>14</v>
      </c>
      <c r="C7" s="14" t="s">
        <v>1</v>
      </c>
      <c r="D7" s="113" t="s">
        <v>13</v>
      </c>
      <c r="E7" s="13">
        <v>308733280</v>
      </c>
      <c r="F7" s="110">
        <v>249302124</v>
      </c>
      <c r="G7" s="10">
        <f>E7-F7</f>
        <v>59431156</v>
      </c>
      <c r="H7" s="117">
        <v>0.8075</v>
      </c>
      <c r="I7" s="80">
        <f>(1560+16738+10257+875+170354+127742+3092+1137+348+1+188+9964+1140+4081+844+204)*1000</f>
        <v>348525000</v>
      </c>
      <c r="J7" s="80">
        <f>9964+1140+4081+844+204+6563-6563-9964-1140-4081-844-204</f>
        <v>0</v>
      </c>
      <c r="K7" s="80">
        <f>(3415+229294+5129+15035)*1000</f>
        <v>252873000</v>
      </c>
      <c r="L7" s="80">
        <f>5129+14835+200-5129-15035</f>
        <v>0</v>
      </c>
      <c r="M7" s="79">
        <v>39873</v>
      </c>
      <c r="N7" s="79">
        <v>40389</v>
      </c>
      <c r="O7" s="79">
        <v>40927</v>
      </c>
      <c r="P7" s="79">
        <v>42766</v>
      </c>
    </row>
    <row r="8" spans="1:16" s="3" customFormat="1" ht="26.25" thickBot="1">
      <c r="A8" s="119"/>
      <c r="B8" s="111"/>
      <c r="C8" s="14" t="s">
        <v>22</v>
      </c>
      <c r="D8" s="113"/>
      <c r="E8" s="23">
        <f>348337000+188000+6563000-6563000</f>
        <v>348525000</v>
      </c>
      <c r="F8" s="110"/>
      <c r="G8" s="10">
        <f>E8-F7</f>
        <v>99222876</v>
      </c>
      <c r="H8" s="117"/>
      <c r="I8" s="80"/>
      <c r="J8" s="80"/>
      <c r="K8" s="80"/>
      <c r="L8" s="80"/>
      <c r="M8" s="79"/>
      <c r="N8" s="79"/>
      <c r="O8" s="79"/>
      <c r="P8" s="79"/>
    </row>
    <row r="9" spans="1:16" s="9" customFormat="1" ht="39" thickBot="1">
      <c r="A9" s="114">
        <v>2</v>
      </c>
      <c r="B9" s="114" t="s">
        <v>2</v>
      </c>
      <c r="C9" s="14" t="s">
        <v>15</v>
      </c>
      <c r="D9" s="113" t="s">
        <v>13</v>
      </c>
      <c r="E9" s="22">
        <v>499992860</v>
      </c>
      <c r="F9" s="110">
        <v>400000000</v>
      </c>
      <c r="G9" s="13">
        <f>E9-F9</f>
        <v>99992860</v>
      </c>
      <c r="H9" s="118">
        <v>0.8</v>
      </c>
      <c r="I9" s="80">
        <f>(9973+4932+514+251690+2461+1272+345+307438+1678+171+46+48719+4547+1349+364+15691)*1000</f>
        <v>651190000</v>
      </c>
      <c r="J9" s="80">
        <f>64347+2478+862+3072-48719-4547-1349-364-89-15691</f>
        <v>0</v>
      </c>
      <c r="K9" s="80">
        <f>(3505+203774+137669+6260+48719+15764)*1000</f>
        <v>415691000</v>
      </c>
      <c r="L9" s="80">
        <f>136+15628-15764</f>
        <v>0</v>
      </c>
      <c r="M9" s="79">
        <v>39948</v>
      </c>
      <c r="N9" s="79">
        <v>40847</v>
      </c>
      <c r="O9" s="79">
        <v>41292</v>
      </c>
      <c r="P9" s="79">
        <v>43124</v>
      </c>
    </row>
    <row r="10" spans="1:16" s="9" customFormat="1" ht="30" customHeight="1" thickBot="1">
      <c r="A10" s="114"/>
      <c r="B10" s="114"/>
      <c r="C10" s="14" t="s">
        <v>22</v>
      </c>
      <c r="D10" s="113"/>
      <c r="E10" s="22">
        <f>-90000+652684000+156000-444000+2500000-2250000-250000+984000+251000+184000-527000-2008000+89000-89000</f>
        <v>651190000</v>
      </c>
      <c r="F10" s="110"/>
      <c r="G10" s="13">
        <f>E10-F9</f>
        <v>251190000</v>
      </c>
      <c r="H10" s="118"/>
      <c r="I10" s="80"/>
      <c r="J10" s="80"/>
      <c r="K10" s="80"/>
      <c r="L10" s="80"/>
      <c r="M10" s="79"/>
      <c r="N10" s="79"/>
      <c r="O10" s="79"/>
      <c r="P10" s="79"/>
    </row>
    <row r="11" spans="1:16" s="3" customFormat="1" ht="86.45" customHeight="1" thickBot="1">
      <c r="A11" s="20">
        <v>3</v>
      </c>
      <c r="B11" s="20" t="s">
        <v>3</v>
      </c>
      <c r="C11" s="14" t="s">
        <v>4</v>
      </c>
      <c r="D11" s="17" t="s">
        <v>13</v>
      </c>
      <c r="E11" s="23">
        <v>133938050</v>
      </c>
      <c r="F11" s="10">
        <v>94717701</v>
      </c>
      <c r="G11" s="13">
        <f>E11-F11</f>
        <v>39220349</v>
      </c>
      <c r="H11" s="11">
        <v>0.70709999999999995</v>
      </c>
      <c r="I11" s="36">
        <f>(864+770+1415+297+992+15630+1904+4351+25579+1897+10808+63041)*1000</f>
        <v>127548000</v>
      </c>
      <c r="J11" s="36">
        <v>0</v>
      </c>
      <c r="K11" s="36">
        <f>(33151+56196)*1000</f>
        <v>89347000</v>
      </c>
      <c r="L11" s="36">
        <v>0</v>
      </c>
      <c r="M11" s="56">
        <v>39863</v>
      </c>
      <c r="N11" s="56">
        <v>40224</v>
      </c>
      <c r="O11" s="56">
        <v>40430</v>
      </c>
      <c r="P11" s="56">
        <v>42267</v>
      </c>
    </row>
    <row r="12" spans="1:16" s="2" customFormat="1" ht="89.25" customHeight="1" thickBot="1">
      <c r="A12" s="112">
        <v>4</v>
      </c>
      <c r="B12" s="112" t="s">
        <v>5</v>
      </c>
      <c r="C12" s="16" t="s">
        <v>23</v>
      </c>
      <c r="D12" s="92" t="s">
        <v>13</v>
      </c>
      <c r="E12" s="22">
        <v>189968767</v>
      </c>
      <c r="F12" s="110">
        <v>75800000</v>
      </c>
      <c r="G12" s="10">
        <f>E12-F12</f>
        <v>114168767</v>
      </c>
      <c r="H12" s="117">
        <v>0.39900000000000002</v>
      </c>
      <c r="I12" s="120">
        <f>(660+7587+429+155650+74349+3459+406+102+10027+8581+1359+62+17)*1000</f>
        <v>262688000</v>
      </c>
      <c r="J12" s="120">
        <f>10027+8581+1359+62+17-20046</f>
        <v>0</v>
      </c>
      <c r="K12" s="120">
        <f>(486+55124+16010)*1000</f>
        <v>71620000</v>
      </c>
      <c r="L12" s="121">
        <f>1438+16408-1697-139-1438-14572</f>
        <v>0</v>
      </c>
      <c r="M12" s="79">
        <v>39995</v>
      </c>
      <c r="N12" s="79">
        <v>40420</v>
      </c>
      <c r="O12" s="79">
        <v>40606</v>
      </c>
      <c r="P12" s="79">
        <v>42447</v>
      </c>
    </row>
    <row r="13" spans="1:16" s="2" customFormat="1" ht="28.15" customHeight="1" thickBot="1">
      <c r="A13" s="112"/>
      <c r="B13" s="112"/>
      <c r="C13" s="16" t="s">
        <v>22</v>
      </c>
      <c r="D13" s="93"/>
      <c r="E13" s="22">
        <v>210665239</v>
      </c>
      <c r="F13" s="110"/>
      <c r="G13" s="10">
        <f>E13-F12</f>
        <v>134865239</v>
      </c>
      <c r="H13" s="117"/>
      <c r="I13" s="120"/>
      <c r="J13" s="120"/>
      <c r="K13" s="120"/>
      <c r="L13" s="121"/>
      <c r="M13" s="79"/>
      <c r="N13" s="79"/>
      <c r="O13" s="79"/>
      <c r="P13" s="79"/>
    </row>
    <row r="14" spans="1:16" s="2" customFormat="1" ht="82.5" customHeight="1" thickBot="1">
      <c r="A14" s="112">
        <v>5</v>
      </c>
      <c r="B14" s="113" t="s">
        <v>8</v>
      </c>
      <c r="C14" s="15" t="s">
        <v>9</v>
      </c>
      <c r="D14" s="113" t="s">
        <v>13</v>
      </c>
      <c r="E14" s="10">
        <v>21644000</v>
      </c>
      <c r="F14" s="110">
        <v>19912480</v>
      </c>
      <c r="G14" s="10">
        <f>E14-F14</f>
        <v>1731520</v>
      </c>
      <c r="H14" s="118">
        <v>0.92</v>
      </c>
      <c r="I14" s="120">
        <f>(5318+4040+410+1123+5+11532)*1000</f>
        <v>22428000</v>
      </c>
      <c r="J14" s="120">
        <f>11532-11532</f>
        <v>0</v>
      </c>
      <c r="K14" s="120">
        <f>(4978+3356+410+3665+7493)*1000</f>
        <v>19902000</v>
      </c>
      <c r="L14" s="121">
        <f>7503-10-7493</f>
        <v>0</v>
      </c>
      <c r="M14" s="79">
        <v>39802</v>
      </c>
      <c r="N14" s="79">
        <v>40354</v>
      </c>
      <c r="O14" s="79">
        <v>40590</v>
      </c>
      <c r="P14" s="79">
        <v>42180</v>
      </c>
    </row>
    <row r="15" spans="1:16" s="2" customFormat="1" ht="30" customHeight="1" thickBot="1">
      <c r="A15" s="112"/>
      <c r="B15" s="113"/>
      <c r="C15" s="15" t="s">
        <v>22</v>
      </c>
      <c r="D15" s="113"/>
      <c r="E15" s="22">
        <v>22428000</v>
      </c>
      <c r="F15" s="110"/>
      <c r="G15" s="10">
        <f>E15-F14</f>
        <v>2515520</v>
      </c>
      <c r="H15" s="118"/>
      <c r="I15" s="120"/>
      <c r="J15" s="120"/>
      <c r="K15" s="120"/>
      <c r="L15" s="121"/>
      <c r="M15" s="79"/>
      <c r="N15" s="79"/>
      <c r="O15" s="79"/>
      <c r="P15" s="79"/>
    </row>
    <row r="16" spans="1:16" s="2" customFormat="1" ht="82.5" customHeight="1" thickBot="1">
      <c r="A16" s="18">
        <v>6</v>
      </c>
      <c r="B16" s="19" t="s">
        <v>24</v>
      </c>
      <c r="C16" s="17" t="s">
        <v>25</v>
      </c>
      <c r="D16" s="17" t="s">
        <v>13</v>
      </c>
      <c r="E16" s="13">
        <v>2109792</v>
      </c>
      <c r="F16" s="10">
        <v>2109792</v>
      </c>
      <c r="G16" s="10">
        <f>E16-F16</f>
        <v>0</v>
      </c>
      <c r="H16" s="11">
        <v>1</v>
      </c>
      <c r="I16" s="12">
        <f>2027*1000</f>
        <v>2027000</v>
      </c>
      <c r="J16" s="12">
        <v>0</v>
      </c>
      <c r="K16" s="12">
        <f>2027*1000</f>
        <v>2027000</v>
      </c>
      <c r="L16" s="12">
        <v>0</v>
      </c>
      <c r="M16" s="57">
        <v>40238</v>
      </c>
      <c r="N16" s="57">
        <v>40543</v>
      </c>
      <c r="O16" s="57">
        <v>40686</v>
      </c>
      <c r="P16" s="57">
        <v>42369</v>
      </c>
    </row>
    <row r="17" spans="1:16" s="2" customFormat="1" ht="52.9" customHeight="1" thickBot="1">
      <c r="A17" s="90">
        <v>7</v>
      </c>
      <c r="B17" s="92" t="s">
        <v>29</v>
      </c>
      <c r="C17" s="17" t="s">
        <v>30</v>
      </c>
      <c r="D17" s="92" t="s">
        <v>13</v>
      </c>
      <c r="E17" s="13">
        <v>15163964</v>
      </c>
      <c r="F17" s="10">
        <v>15163964</v>
      </c>
      <c r="G17" s="10">
        <v>0</v>
      </c>
      <c r="H17" s="122">
        <v>1</v>
      </c>
      <c r="I17" s="66">
        <f>(13465+300+862+294+79)*1000</f>
        <v>15000000</v>
      </c>
      <c r="J17" s="66">
        <f>1535-300-862-294-79</f>
        <v>0</v>
      </c>
      <c r="K17" s="66">
        <f>(13439+1235+300)*1000</f>
        <v>14974000</v>
      </c>
      <c r="L17" s="66">
        <f>1535-1235-300</f>
        <v>0</v>
      </c>
      <c r="M17" s="79">
        <v>40513</v>
      </c>
      <c r="N17" s="79">
        <v>40755</v>
      </c>
      <c r="O17" s="79">
        <v>40939</v>
      </c>
      <c r="P17" s="79">
        <v>42582</v>
      </c>
    </row>
    <row r="18" spans="1:16" s="29" customFormat="1" ht="40.9" customHeight="1" thickBot="1">
      <c r="A18" s="91"/>
      <c r="B18" s="93"/>
      <c r="C18" s="27" t="s">
        <v>35</v>
      </c>
      <c r="D18" s="93"/>
      <c r="E18" s="35">
        <f>15006000-6000</f>
        <v>15000000</v>
      </c>
      <c r="F18" s="28">
        <v>14974000</v>
      </c>
      <c r="G18" s="22">
        <f>E18-F18</f>
        <v>26000</v>
      </c>
      <c r="H18" s="123"/>
      <c r="I18" s="67"/>
      <c r="J18" s="67"/>
      <c r="K18" s="67"/>
      <c r="L18" s="67"/>
      <c r="M18" s="79"/>
      <c r="N18" s="79"/>
      <c r="O18" s="79"/>
      <c r="P18" s="79"/>
    </row>
    <row r="19" spans="1:16" s="29" customFormat="1" ht="67.900000000000006" customHeight="1" thickBot="1">
      <c r="A19" s="95">
        <v>8</v>
      </c>
      <c r="B19" s="70" t="s">
        <v>31</v>
      </c>
      <c r="C19" s="30" t="s">
        <v>28</v>
      </c>
      <c r="D19" s="97" t="s">
        <v>13</v>
      </c>
      <c r="E19" s="23">
        <v>152054595</v>
      </c>
      <c r="F19" s="105">
        <f>136195300+1833021-50</f>
        <v>138028271</v>
      </c>
      <c r="G19" s="22">
        <f>E19-F19</f>
        <v>14026324</v>
      </c>
      <c r="H19" s="99">
        <v>0.89570000000000005</v>
      </c>
      <c r="I19" s="66">
        <f>(3298+340+673+322+351+30457+20086+47329+226+20571+7716+8199+5789+14206)*1000</f>
        <v>159563000</v>
      </c>
      <c r="J19" s="66">
        <f>40352+843+221+60+8032+149+307+84+22193+457+120+32+717+28621+607+159+42+48058+2143+210-62-46-24-28-1210+144+144+188+224+61+64+3429-226-47329-20086-30457-351-322-673-340-20571-79-1+79+1-1-1-1-23-7716-8199-5789-14206</f>
        <v>0</v>
      </c>
      <c r="K19" s="66">
        <f>(30901+39870+18113+15062+3680+10953+5593+13858)*1000</f>
        <v>138030000</v>
      </c>
      <c r="L19" s="66">
        <f>1288+1787+699+927+36286+49106+19721+26380-26-10-13-18-30901-39870-18113-15062+9+12+5+6+454+642+316+389+68-1-9+12-3680-10953-5593-13858</f>
        <v>0</v>
      </c>
      <c r="M19" s="79">
        <v>40669</v>
      </c>
      <c r="N19" s="79">
        <v>41121</v>
      </c>
      <c r="O19" s="79">
        <v>41355</v>
      </c>
      <c r="P19" s="79">
        <v>43186</v>
      </c>
    </row>
    <row r="20" spans="1:16" s="29" customFormat="1" ht="34.9" customHeight="1" thickBot="1">
      <c r="A20" s="96"/>
      <c r="B20" s="94"/>
      <c r="C20" s="26" t="s">
        <v>22</v>
      </c>
      <c r="D20" s="94"/>
      <c r="E20" s="23">
        <f>155335000+144000+144000+188000+224000+61000+64000+3429000-2000-1000-23000</f>
        <v>159563000</v>
      </c>
      <c r="F20" s="106"/>
      <c r="G20" s="22">
        <f>E20-F19</f>
        <v>21534729</v>
      </c>
      <c r="H20" s="100"/>
      <c r="I20" s="67"/>
      <c r="J20" s="67"/>
      <c r="K20" s="67"/>
      <c r="L20" s="67"/>
      <c r="M20" s="79"/>
      <c r="N20" s="79"/>
      <c r="O20" s="79"/>
      <c r="P20" s="79"/>
    </row>
    <row r="21" spans="1:16" s="29" customFormat="1" ht="34.9" customHeight="1" thickBot="1">
      <c r="A21" s="95">
        <v>9</v>
      </c>
      <c r="B21" s="70" t="s">
        <v>34</v>
      </c>
      <c r="C21" s="30" t="s">
        <v>33</v>
      </c>
      <c r="D21" s="97" t="s">
        <v>13</v>
      </c>
      <c r="E21" s="44">
        <f>35643172+8656179</f>
        <v>44299351</v>
      </c>
      <c r="F21" s="105">
        <v>35643172</v>
      </c>
      <c r="G21" s="28">
        <v>8656179</v>
      </c>
      <c r="H21" s="99">
        <v>0.75</v>
      </c>
      <c r="I21" s="66">
        <f>(1094+291+9839+13+2158+2344+27321)*1000</f>
        <v>43060000</v>
      </c>
      <c r="J21" s="66">
        <f>1107+1355+170+30297+15951-291-9839-13-1883+32-2158-2345-2953+235-2344-27321</f>
        <v>0</v>
      </c>
      <c r="K21" s="66">
        <f>(2052+27487+1291)*1000</f>
        <v>30830000</v>
      </c>
      <c r="L21" s="66">
        <f>35643+1-2052-1851-1018-2345-1+401-27487-1291</f>
        <v>0</v>
      </c>
      <c r="M21" s="76">
        <v>40641</v>
      </c>
      <c r="N21" s="76">
        <v>41371</v>
      </c>
      <c r="O21" s="76">
        <v>41830</v>
      </c>
      <c r="P21" s="76">
        <v>43656</v>
      </c>
    </row>
    <row r="22" spans="1:16" s="29" customFormat="1" ht="34.9" customHeight="1" thickBot="1">
      <c r="A22" s="96"/>
      <c r="B22" s="94"/>
      <c r="C22" s="26" t="s">
        <v>22</v>
      </c>
      <c r="D22" s="94"/>
      <c r="E22" s="23">
        <f>49974000-1883000+32000-2345000-2953000+235000</f>
        <v>43060000</v>
      </c>
      <c r="F22" s="106"/>
      <c r="G22" s="22">
        <f>E22-F21</f>
        <v>7416828</v>
      </c>
      <c r="H22" s="100"/>
      <c r="I22" s="67"/>
      <c r="J22" s="67"/>
      <c r="K22" s="67"/>
      <c r="L22" s="67"/>
      <c r="M22" s="76"/>
      <c r="N22" s="76"/>
      <c r="O22" s="76"/>
      <c r="P22" s="76"/>
    </row>
    <row r="23" spans="1:16" s="29" customFormat="1" ht="51" customHeight="1" thickBot="1">
      <c r="A23" s="103">
        <v>10</v>
      </c>
      <c r="B23" s="103" t="s">
        <v>26</v>
      </c>
      <c r="C23" s="104" t="s">
        <v>27</v>
      </c>
      <c r="D23" s="97" t="s">
        <v>13</v>
      </c>
      <c r="E23" s="102">
        <v>5649000</v>
      </c>
      <c r="F23" s="102">
        <v>5649000</v>
      </c>
      <c r="G23" s="124">
        <v>0</v>
      </c>
      <c r="H23" s="98">
        <v>1</v>
      </c>
      <c r="I23" s="80">
        <f>(1900+3389+360)*1000</f>
        <v>5649000</v>
      </c>
      <c r="J23" s="80">
        <f>359+1-360</f>
        <v>0</v>
      </c>
      <c r="K23" s="80">
        <f>(1900+3389+360)*1000</f>
        <v>5649000</v>
      </c>
      <c r="L23" s="80">
        <f>3749-3389-360</f>
        <v>0</v>
      </c>
      <c r="M23" s="76">
        <v>40329</v>
      </c>
      <c r="N23" s="76">
        <v>40877</v>
      </c>
      <c r="O23" s="76">
        <v>40967</v>
      </c>
      <c r="P23" s="76">
        <v>42704</v>
      </c>
    </row>
    <row r="24" spans="1:16" s="29" customFormat="1" ht="40.5" customHeight="1" thickBot="1">
      <c r="A24" s="103"/>
      <c r="B24" s="103"/>
      <c r="C24" s="104"/>
      <c r="D24" s="94"/>
      <c r="E24" s="102"/>
      <c r="F24" s="102"/>
      <c r="G24" s="124"/>
      <c r="H24" s="98"/>
      <c r="I24" s="80"/>
      <c r="J24" s="80"/>
      <c r="K24" s="80"/>
      <c r="L24" s="80"/>
      <c r="M24" s="76"/>
      <c r="N24" s="76"/>
      <c r="O24" s="76"/>
      <c r="P24" s="76"/>
    </row>
    <row r="25" spans="1:16" s="29" customFormat="1" ht="40.5" customHeight="1" thickBot="1">
      <c r="A25" s="68">
        <v>11</v>
      </c>
      <c r="B25" s="68" t="s">
        <v>36</v>
      </c>
      <c r="C25" s="24"/>
      <c r="D25" s="97" t="s">
        <v>13</v>
      </c>
      <c r="E25" s="22">
        <v>2747700</v>
      </c>
      <c r="F25" s="105">
        <v>2747700</v>
      </c>
      <c r="G25" s="23">
        <v>0</v>
      </c>
      <c r="H25" s="81">
        <v>1</v>
      </c>
      <c r="I25" s="66">
        <f>4248*1000</f>
        <v>4248000</v>
      </c>
      <c r="J25" s="66">
        <f>2748+1210+290-4248</f>
        <v>0</v>
      </c>
      <c r="K25" s="66">
        <f>1940*1000</f>
        <v>1940000</v>
      </c>
      <c r="L25" s="66">
        <f>2748-808-1940</f>
        <v>0</v>
      </c>
      <c r="M25" s="76">
        <v>41038</v>
      </c>
      <c r="N25" s="76">
        <v>41041</v>
      </c>
      <c r="O25" s="76">
        <v>41134</v>
      </c>
      <c r="P25" s="76">
        <v>42960</v>
      </c>
    </row>
    <row r="26" spans="1:16" s="29" customFormat="1" ht="40.5" customHeight="1" thickBot="1">
      <c r="A26" s="69"/>
      <c r="B26" s="69"/>
      <c r="C26" s="26" t="s">
        <v>22</v>
      </c>
      <c r="D26" s="94"/>
      <c r="E26" s="22">
        <f>3958000+290000</f>
        <v>4248000</v>
      </c>
      <c r="F26" s="106"/>
      <c r="G26" s="25">
        <f>E26-F25</f>
        <v>1500300</v>
      </c>
      <c r="H26" s="82"/>
      <c r="I26" s="67"/>
      <c r="J26" s="67"/>
      <c r="K26" s="67"/>
      <c r="L26" s="67"/>
      <c r="M26" s="76"/>
      <c r="N26" s="76"/>
      <c r="O26" s="76"/>
      <c r="P26" s="76"/>
    </row>
    <row r="27" spans="1:16" s="29" customFormat="1" ht="40.5" customHeight="1" thickBot="1">
      <c r="A27" s="68">
        <v>12</v>
      </c>
      <c r="B27" s="70" t="s">
        <v>37</v>
      </c>
      <c r="C27" s="26" t="s">
        <v>38</v>
      </c>
      <c r="D27" s="70" t="s">
        <v>13</v>
      </c>
      <c r="E27" s="22">
        <v>82259855</v>
      </c>
      <c r="F27" s="105">
        <v>74033870</v>
      </c>
      <c r="G27" s="23">
        <v>8225986</v>
      </c>
      <c r="H27" s="81">
        <v>0.9</v>
      </c>
      <c r="I27" s="66">
        <f>(2250+583+15+4+79278+366)*1000</f>
        <v>82496000</v>
      </c>
      <c r="J27" s="66">
        <f>45448+624+34069+1676+6+698+545+20-583-15-4+1-715-1229-1-895-79278-1-366</f>
        <v>0</v>
      </c>
      <c r="K27" s="66">
        <f>(73580+366)*1000</f>
        <v>73946000</v>
      </c>
      <c r="L27" s="66">
        <f>394+37894+35746+3+574+545+20-1229-73580-1-366</f>
        <v>0</v>
      </c>
      <c r="M27" s="76">
        <v>41123</v>
      </c>
      <c r="N27" s="76">
        <v>41517</v>
      </c>
      <c r="O27" s="76">
        <v>41732</v>
      </c>
      <c r="P27" s="76">
        <v>43558</v>
      </c>
    </row>
    <row r="28" spans="1:16" s="29" customFormat="1" ht="40.5" customHeight="1" thickBot="1">
      <c r="A28" s="69"/>
      <c r="B28" s="94"/>
      <c r="C28" s="26" t="s">
        <v>22</v>
      </c>
      <c r="D28" s="94"/>
      <c r="E28" s="22">
        <f>84067000+6000+698000+545000+20000+1000-715000-1229000-1000-895000-1000</f>
        <v>82496000</v>
      </c>
      <c r="F28" s="106"/>
      <c r="G28" s="23">
        <f>E28-F27</f>
        <v>8462130</v>
      </c>
      <c r="H28" s="82"/>
      <c r="I28" s="67"/>
      <c r="J28" s="67"/>
      <c r="K28" s="67"/>
      <c r="L28" s="67"/>
      <c r="M28" s="76"/>
      <c r="N28" s="76"/>
      <c r="O28" s="76"/>
      <c r="P28" s="76"/>
    </row>
    <row r="29" spans="1:16" s="29" customFormat="1" ht="40.5" customHeight="1" thickBot="1">
      <c r="A29" s="68">
        <v>13</v>
      </c>
      <c r="B29" s="77" t="s">
        <v>39</v>
      </c>
      <c r="C29" s="97" t="s">
        <v>40</v>
      </c>
      <c r="D29" s="97" t="s">
        <v>13</v>
      </c>
      <c r="E29" s="105">
        <v>9649187</v>
      </c>
      <c r="F29" s="105">
        <v>9649187</v>
      </c>
      <c r="G29" s="125">
        <f>E29-F29</f>
        <v>0</v>
      </c>
      <c r="H29" s="81">
        <v>1</v>
      </c>
      <c r="I29" s="66">
        <f>(5945+3704-189)*1000</f>
        <v>9460000</v>
      </c>
      <c r="J29" s="66">
        <f>9649-5945-3704</f>
        <v>0</v>
      </c>
      <c r="K29" s="66">
        <f>(5945+3704-189)*1000</f>
        <v>9460000</v>
      </c>
      <c r="L29" s="66">
        <f>9649-5945-3704</f>
        <v>0</v>
      </c>
      <c r="M29" s="76">
        <v>41275</v>
      </c>
      <c r="N29" s="76">
        <v>41759</v>
      </c>
      <c r="O29" s="76">
        <v>41786</v>
      </c>
      <c r="P29" s="76">
        <v>43585</v>
      </c>
    </row>
    <row r="30" spans="1:16" s="29" customFormat="1" ht="40.5" customHeight="1" thickBot="1">
      <c r="A30" s="69"/>
      <c r="B30" s="94"/>
      <c r="C30" s="94"/>
      <c r="D30" s="94"/>
      <c r="E30" s="106"/>
      <c r="F30" s="106"/>
      <c r="G30" s="126"/>
      <c r="H30" s="82"/>
      <c r="I30" s="67"/>
      <c r="J30" s="67"/>
      <c r="K30" s="67"/>
      <c r="L30" s="67"/>
      <c r="M30" s="76"/>
      <c r="N30" s="76"/>
      <c r="O30" s="76"/>
      <c r="P30" s="76"/>
    </row>
    <row r="31" spans="1:16" s="29" customFormat="1" ht="40.5" customHeight="1" thickBot="1">
      <c r="A31" s="41">
        <v>14</v>
      </c>
      <c r="B31" s="45" t="s">
        <v>42</v>
      </c>
      <c r="C31" s="45" t="s">
        <v>41</v>
      </c>
      <c r="D31" s="45" t="s">
        <v>13</v>
      </c>
      <c r="E31" s="42">
        <v>3669910</v>
      </c>
      <c r="F31" s="42">
        <v>3669910</v>
      </c>
      <c r="G31" s="25">
        <v>0</v>
      </c>
      <c r="H31" s="43">
        <v>1</v>
      </c>
      <c r="I31" s="40">
        <f>(1474+2196-1125)*1000</f>
        <v>2545000</v>
      </c>
      <c r="J31" s="40">
        <f>3670-1474-2196</f>
        <v>0</v>
      </c>
      <c r="K31" s="40">
        <f>(1474+2196-17-1125+21-4)*1000</f>
        <v>2545000</v>
      </c>
      <c r="L31" s="40">
        <f>3670-1474-2196+17+4-21</f>
        <v>0</v>
      </c>
      <c r="M31" s="58">
        <v>41330</v>
      </c>
      <c r="N31" s="58">
        <v>41973</v>
      </c>
      <c r="O31" s="58">
        <v>42095</v>
      </c>
      <c r="P31" s="58">
        <v>43707</v>
      </c>
    </row>
    <row r="32" spans="1:16" s="29" customFormat="1" ht="54.75" customHeight="1" thickBot="1">
      <c r="A32" s="46">
        <v>15</v>
      </c>
      <c r="B32" s="47" t="s">
        <v>45</v>
      </c>
      <c r="C32" s="45" t="s">
        <v>46</v>
      </c>
      <c r="D32" s="47" t="s">
        <v>13</v>
      </c>
      <c r="E32" s="42">
        <v>9073683</v>
      </c>
      <c r="F32" s="48">
        <v>9073683</v>
      </c>
      <c r="G32" s="25">
        <v>0</v>
      </c>
      <c r="H32" s="49">
        <v>1</v>
      </c>
      <c r="I32" s="50">
        <f>(2268+6806-1632)*1000</f>
        <v>7442000</v>
      </c>
      <c r="J32" s="50">
        <f>5935+3139-2268-6806</f>
        <v>0</v>
      </c>
      <c r="K32" s="50">
        <f>(2268+3064-1632+3613)*1000</f>
        <v>7313000</v>
      </c>
      <c r="L32" s="50">
        <f>5935+3139-2268-3064-129-3613</f>
        <v>0</v>
      </c>
      <c r="M32" s="58">
        <v>41548</v>
      </c>
      <c r="N32" s="58">
        <v>41943</v>
      </c>
      <c r="O32" s="58">
        <v>42081</v>
      </c>
      <c r="P32" s="58">
        <v>43799</v>
      </c>
    </row>
    <row r="33" spans="1:16" s="29" customFormat="1" ht="59.25" customHeight="1" thickBot="1">
      <c r="A33" s="68">
        <v>16</v>
      </c>
      <c r="B33" s="77" t="s">
        <v>43</v>
      </c>
      <c r="C33" s="45" t="s">
        <v>44</v>
      </c>
      <c r="D33" s="77" t="s">
        <v>13</v>
      </c>
      <c r="E33" s="42">
        <f>47086723-6545473</f>
        <v>40541250</v>
      </c>
      <c r="F33" s="105">
        <f>47086723-6545473</f>
        <v>40541250</v>
      </c>
      <c r="G33" s="25">
        <v>0</v>
      </c>
      <c r="H33" s="81">
        <v>1</v>
      </c>
      <c r="I33" s="66">
        <f>(1962+2649+6344+1040+2462+40605)*1000</f>
        <v>55062000</v>
      </c>
      <c r="J33" s="66">
        <f>3157+25855+572+25171+485+33-2649+6545-6545+278-6344-1040-2462-40605-17-141-2293</f>
        <v>0</v>
      </c>
      <c r="K33" s="66">
        <f>(39417+731+203)*1000</f>
        <v>40351000</v>
      </c>
      <c r="L33" s="66">
        <f>21431+25656-1-6545+449-639-39417-731-203</f>
        <v>0</v>
      </c>
      <c r="M33" s="76">
        <v>41404</v>
      </c>
      <c r="N33" s="76">
        <v>41861</v>
      </c>
      <c r="O33" s="78">
        <v>42075</v>
      </c>
      <c r="P33" s="76">
        <v>43902</v>
      </c>
    </row>
    <row r="34" spans="1:16" s="29" customFormat="1" ht="40.5" customHeight="1" thickBot="1">
      <c r="A34" s="69"/>
      <c r="B34" s="71"/>
      <c r="C34" s="26" t="s">
        <v>22</v>
      </c>
      <c r="D34" s="71"/>
      <c r="E34" s="42">
        <f>55239597+775020+1187100+33000+6545000-6545000+278000-141000-2293000-16000</f>
        <v>55062717</v>
      </c>
      <c r="F34" s="106"/>
      <c r="G34" s="25">
        <f>E34-E33</f>
        <v>14521467</v>
      </c>
      <c r="H34" s="82"/>
      <c r="I34" s="67"/>
      <c r="J34" s="67"/>
      <c r="K34" s="67"/>
      <c r="L34" s="67"/>
      <c r="M34" s="76"/>
      <c r="N34" s="76"/>
      <c r="O34" s="76"/>
      <c r="P34" s="76"/>
    </row>
    <row r="35" spans="1:16" s="29" customFormat="1" ht="57" customHeight="1" thickBot="1">
      <c r="A35" s="41">
        <v>17</v>
      </c>
      <c r="B35" s="45" t="s">
        <v>47</v>
      </c>
      <c r="C35" s="51" t="s">
        <v>48</v>
      </c>
      <c r="D35" s="45" t="s">
        <v>13</v>
      </c>
      <c r="E35" s="42">
        <v>54768006</v>
      </c>
      <c r="F35" s="42">
        <v>46552805</v>
      </c>
      <c r="G35" s="25">
        <f>E35-F35</f>
        <v>8215201</v>
      </c>
      <c r="H35" s="43">
        <v>0.85</v>
      </c>
      <c r="I35" s="40">
        <f>(370+53850+548)*1000</f>
        <v>54768000</v>
      </c>
      <c r="J35" s="40">
        <f>8215+46005+466+82-370-53850-548</f>
        <v>0</v>
      </c>
      <c r="K35" s="40">
        <f>(46087+8133+466+81)*1000</f>
        <v>54767000</v>
      </c>
      <c r="L35" s="40">
        <f>466+46087+7497+81+636-54767</f>
        <v>0</v>
      </c>
      <c r="M35" s="58">
        <v>41577</v>
      </c>
      <c r="N35" s="58">
        <v>41759</v>
      </c>
      <c r="O35" s="59">
        <v>41906</v>
      </c>
      <c r="P35" s="59">
        <v>43585</v>
      </c>
    </row>
    <row r="36" spans="1:16" s="29" customFormat="1" ht="72.75" customHeight="1" thickBot="1">
      <c r="A36" s="68">
        <v>18</v>
      </c>
      <c r="B36" s="77" t="s">
        <v>49</v>
      </c>
      <c r="C36" s="52" t="s">
        <v>50</v>
      </c>
      <c r="D36" s="77" t="s">
        <v>13</v>
      </c>
      <c r="E36" s="53">
        <v>36945539</v>
      </c>
      <c r="F36" s="72">
        <v>29197275</v>
      </c>
      <c r="G36" s="54">
        <v>7748267</v>
      </c>
      <c r="H36" s="74">
        <v>0.76900000000000002</v>
      </c>
      <c r="I36" s="66">
        <f>(431+6694+2764+27314+1129)*1000</f>
        <v>38332000</v>
      </c>
      <c r="J36" s="66">
        <f>9131+477+26606+2266+431-431+2397+163+153+75+40-6694-2200-2764-27314-335-872-1129</f>
        <v>0</v>
      </c>
      <c r="K36" s="66">
        <f>(3281+19971)*1000</f>
        <v>23252000</v>
      </c>
      <c r="L36" s="66">
        <f>2266+26931-62-3280-5884-19971</f>
        <v>0</v>
      </c>
      <c r="M36" s="76">
        <v>41611</v>
      </c>
      <c r="N36" s="76">
        <v>42004</v>
      </c>
      <c r="O36" s="76">
        <v>42192</v>
      </c>
      <c r="P36" s="76">
        <v>44019</v>
      </c>
    </row>
    <row r="37" spans="1:16" s="29" customFormat="1" ht="39" customHeight="1" thickBot="1">
      <c r="A37" s="69"/>
      <c r="B37" s="71"/>
      <c r="C37" s="26" t="s">
        <v>22</v>
      </c>
      <c r="D37" s="71"/>
      <c r="E37" s="53">
        <f>38911000+2397000+163000+153000+75000+40000-2200000-872000</f>
        <v>38667000</v>
      </c>
      <c r="F37" s="73"/>
      <c r="G37" s="54">
        <f>E37-F36</f>
        <v>9469725</v>
      </c>
      <c r="H37" s="75"/>
      <c r="I37" s="67"/>
      <c r="J37" s="67"/>
      <c r="K37" s="67"/>
      <c r="L37" s="67"/>
      <c r="M37" s="76"/>
      <c r="N37" s="76"/>
      <c r="O37" s="76"/>
      <c r="P37" s="76"/>
    </row>
    <row r="38" spans="1:16" s="29" customFormat="1" ht="62.25" customHeight="1" thickBot="1">
      <c r="A38" s="68">
        <v>19</v>
      </c>
      <c r="B38" s="77" t="s">
        <v>57</v>
      </c>
      <c r="C38" s="55" t="s">
        <v>58</v>
      </c>
      <c r="D38" s="77" t="s">
        <v>13</v>
      </c>
      <c r="E38" s="53">
        <v>149080607</v>
      </c>
      <c r="F38" s="72">
        <v>149080607</v>
      </c>
      <c r="G38" s="54">
        <v>0</v>
      </c>
      <c r="H38" s="74">
        <v>1</v>
      </c>
      <c r="I38" s="95">
        <f>(2350+187311)*1000</f>
        <v>189661000</v>
      </c>
      <c r="J38" s="66">
        <f>7480+179831-187311</f>
        <v>0</v>
      </c>
      <c r="K38" s="66">
        <f>149080*1000</f>
        <v>149080000</v>
      </c>
      <c r="L38" s="66">
        <f>141600+7480-149080</f>
        <v>0</v>
      </c>
      <c r="M38" s="127">
        <v>42142</v>
      </c>
      <c r="N38" s="127">
        <v>42247</v>
      </c>
      <c r="O38" s="127">
        <v>42354</v>
      </c>
      <c r="P38" s="127">
        <v>44181</v>
      </c>
    </row>
    <row r="39" spans="1:16" s="29" customFormat="1" ht="39" customHeight="1" thickBot="1">
      <c r="A39" s="69"/>
      <c r="B39" s="71"/>
      <c r="C39" s="26" t="s">
        <v>22</v>
      </c>
      <c r="D39" s="71"/>
      <c r="E39" s="53">
        <v>189661800</v>
      </c>
      <c r="F39" s="73"/>
      <c r="G39" s="54">
        <f>E39-F38</f>
        <v>40581193</v>
      </c>
      <c r="H39" s="75"/>
      <c r="I39" s="67"/>
      <c r="J39" s="67"/>
      <c r="K39" s="67"/>
      <c r="L39" s="67"/>
      <c r="M39" s="128"/>
      <c r="N39" s="128"/>
      <c r="O39" s="128"/>
      <c r="P39" s="128"/>
    </row>
    <row r="40" spans="1:16" s="29" customFormat="1" ht="39.75" customHeight="1" thickBot="1">
      <c r="A40" s="68">
        <v>20</v>
      </c>
      <c r="B40" s="77" t="s">
        <v>60</v>
      </c>
      <c r="C40" s="77" t="s">
        <v>59</v>
      </c>
      <c r="D40" s="77" t="s">
        <v>61</v>
      </c>
      <c r="E40" s="54">
        <v>119799408</v>
      </c>
      <c r="F40" s="72">
        <v>59999999</v>
      </c>
      <c r="G40" s="54">
        <v>0</v>
      </c>
      <c r="H40" s="74">
        <v>1</v>
      </c>
      <c r="I40" s="66">
        <v>0</v>
      </c>
      <c r="J40" s="66">
        <f>29500000+30299409+59999999</f>
        <v>119799408</v>
      </c>
      <c r="K40" s="66">
        <v>0</v>
      </c>
      <c r="L40" s="66">
        <v>59999999</v>
      </c>
      <c r="M40" s="127">
        <v>42551</v>
      </c>
      <c r="N40" s="127">
        <v>42978</v>
      </c>
      <c r="O40" s="127"/>
      <c r="P40" s="127"/>
    </row>
    <row r="41" spans="1:16" s="29" customFormat="1" ht="30.75" customHeight="1" thickBot="1">
      <c r="A41" s="69"/>
      <c r="B41" s="71"/>
      <c r="C41" s="71"/>
      <c r="D41" s="71"/>
      <c r="E41" s="54"/>
      <c r="F41" s="73"/>
      <c r="G41" s="54">
        <v>59799409</v>
      </c>
      <c r="H41" s="75"/>
      <c r="I41" s="67"/>
      <c r="J41" s="67"/>
      <c r="K41" s="67"/>
      <c r="L41" s="67"/>
      <c r="M41" s="128"/>
      <c r="N41" s="128"/>
      <c r="O41" s="128"/>
      <c r="P41" s="128"/>
    </row>
    <row r="42" spans="1:16" s="29" customFormat="1" ht="39.75" customHeight="1" thickBot="1">
      <c r="A42" s="68">
        <v>21</v>
      </c>
      <c r="B42" s="70" t="s">
        <v>65</v>
      </c>
      <c r="C42" s="70" t="s">
        <v>66</v>
      </c>
      <c r="D42" s="70" t="s">
        <v>61</v>
      </c>
      <c r="E42" s="54">
        <v>118090489</v>
      </c>
      <c r="F42" s="72">
        <v>116253053</v>
      </c>
      <c r="G42" s="54">
        <v>0</v>
      </c>
      <c r="H42" s="74">
        <v>1</v>
      </c>
      <c r="I42" s="66">
        <v>0</v>
      </c>
      <c r="J42" s="66">
        <f>116253053+1837436</f>
        <v>118090489</v>
      </c>
      <c r="K42" s="66">
        <v>0</v>
      </c>
      <c r="L42" s="66">
        <v>116253053</v>
      </c>
      <c r="M42" s="127">
        <v>42583</v>
      </c>
      <c r="N42" s="127">
        <v>43677</v>
      </c>
      <c r="O42" s="127"/>
      <c r="P42" s="127"/>
    </row>
    <row r="43" spans="1:16" s="29" customFormat="1" ht="30.75" customHeight="1" thickBot="1">
      <c r="A43" s="69"/>
      <c r="B43" s="71"/>
      <c r="C43" s="71"/>
      <c r="D43" s="71"/>
      <c r="E43" s="54"/>
      <c r="F43" s="73"/>
      <c r="G43" s="54">
        <v>1837436</v>
      </c>
      <c r="H43" s="75"/>
      <c r="I43" s="67"/>
      <c r="J43" s="67"/>
      <c r="K43" s="67"/>
      <c r="L43" s="67"/>
      <c r="M43" s="128"/>
      <c r="N43" s="128"/>
      <c r="O43" s="128"/>
      <c r="P43" s="128"/>
    </row>
    <row r="44" spans="1:16" s="29" customFormat="1" ht="39.75" customHeight="1" thickBot="1">
      <c r="A44" s="68">
        <v>22</v>
      </c>
      <c r="B44" s="70" t="s">
        <v>74</v>
      </c>
      <c r="C44" s="70" t="s">
        <v>75</v>
      </c>
      <c r="D44" s="70" t="s">
        <v>61</v>
      </c>
      <c r="E44" s="54">
        <v>265412237</v>
      </c>
      <c r="F44" s="72">
        <v>265412237</v>
      </c>
      <c r="G44" s="54">
        <v>0</v>
      </c>
      <c r="H44" s="74">
        <v>1</v>
      </c>
      <c r="I44" s="66">
        <v>0</v>
      </c>
      <c r="J44" s="66">
        <v>265412237</v>
      </c>
      <c r="K44" s="66">
        <v>0</v>
      </c>
      <c r="L44" s="66">
        <v>265412337</v>
      </c>
      <c r="M44" s="127">
        <v>42583</v>
      </c>
      <c r="N44" s="127">
        <v>43312</v>
      </c>
      <c r="O44" s="127"/>
      <c r="P44" s="127"/>
    </row>
    <row r="45" spans="1:16" s="29" customFormat="1" ht="30.75" customHeight="1" thickBot="1">
      <c r="A45" s="69"/>
      <c r="B45" s="71"/>
      <c r="C45" s="71"/>
      <c r="D45" s="71"/>
      <c r="E45" s="54"/>
      <c r="F45" s="73"/>
      <c r="G45" s="54">
        <v>0</v>
      </c>
      <c r="H45" s="75"/>
      <c r="I45" s="67"/>
      <c r="J45" s="67"/>
      <c r="K45" s="67"/>
      <c r="L45" s="67"/>
      <c r="M45" s="128"/>
      <c r="N45" s="128"/>
      <c r="O45" s="128"/>
      <c r="P45" s="128"/>
    </row>
    <row r="46" spans="1:16" s="29" customFormat="1" ht="39.75" customHeight="1" thickBot="1">
      <c r="A46" s="68">
        <v>23</v>
      </c>
      <c r="B46" s="70" t="s">
        <v>67</v>
      </c>
      <c r="C46" s="70" t="s">
        <v>68</v>
      </c>
      <c r="D46" s="70" t="s">
        <v>61</v>
      </c>
      <c r="E46" s="54">
        <v>182938273</v>
      </c>
      <c r="F46" s="72">
        <v>150138778</v>
      </c>
      <c r="G46" s="54">
        <v>32799495</v>
      </c>
      <c r="H46" s="74">
        <v>0.82070730999999997</v>
      </c>
      <c r="I46" s="66">
        <v>0</v>
      </c>
      <c r="J46" s="66">
        <f>150138778+32799495</f>
        <v>182938273</v>
      </c>
      <c r="K46" s="66">
        <v>0</v>
      </c>
      <c r="L46" s="66">
        <v>150138778</v>
      </c>
      <c r="M46" s="64">
        <v>42614</v>
      </c>
      <c r="N46" s="64">
        <v>43008</v>
      </c>
      <c r="O46" s="64"/>
      <c r="P46" s="64"/>
    </row>
    <row r="47" spans="1:16" s="29" customFormat="1" ht="30.75" customHeight="1" thickBot="1">
      <c r="A47" s="69"/>
      <c r="B47" s="71"/>
      <c r="C47" s="71"/>
      <c r="D47" s="71"/>
      <c r="E47" s="54"/>
      <c r="F47" s="73"/>
      <c r="G47" s="54">
        <v>0</v>
      </c>
      <c r="H47" s="75"/>
      <c r="I47" s="67"/>
      <c r="J47" s="67"/>
      <c r="K47" s="67"/>
      <c r="L47" s="67"/>
      <c r="M47" s="65"/>
      <c r="N47" s="65"/>
      <c r="O47" s="65"/>
      <c r="P47" s="65"/>
    </row>
    <row r="48" spans="1:16" s="29" customFormat="1" ht="41.25" customHeight="1" thickBot="1">
      <c r="A48" s="68">
        <v>24</v>
      </c>
      <c r="B48" s="70" t="s">
        <v>80</v>
      </c>
      <c r="C48" s="70" t="s">
        <v>69</v>
      </c>
      <c r="D48" s="70" t="s">
        <v>61</v>
      </c>
      <c r="E48" s="54">
        <v>593057922</v>
      </c>
      <c r="F48" s="72">
        <v>593057922</v>
      </c>
      <c r="G48" s="54">
        <v>0</v>
      </c>
      <c r="H48" s="74">
        <v>1</v>
      </c>
      <c r="I48" s="66">
        <v>0</v>
      </c>
      <c r="J48" s="66">
        <v>593057922</v>
      </c>
      <c r="K48" s="66">
        <v>0</v>
      </c>
      <c r="L48" s="66">
        <v>593057922</v>
      </c>
      <c r="M48" s="64">
        <v>42644</v>
      </c>
      <c r="N48" s="64">
        <v>43373</v>
      </c>
      <c r="O48" s="64"/>
      <c r="P48" s="64"/>
    </row>
    <row r="49" spans="1:16" s="29" customFormat="1" ht="37.5" customHeight="1" thickBot="1">
      <c r="A49" s="69"/>
      <c r="B49" s="71"/>
      <c r="C49" s="71"/>
      <c r="D49" s="71"/>
      <c r="E49" s="54"/>
      <c r="F49" s="73"/>
      <c r="G49" s="54">
        <v>0</v>
      </c>
      <c r="H49" s="75"/>
      <c r="I49" s="67"/>
      <c r="J49" s="67"/>
      <c r="K49" s="67"/>
      <c r="L49" s="67"/>
      <c r="M49" s="65"/>
      <c r="N49" s="65"/>
      <c r="O49" s="65"/>
      <c r="P49" s="65"/>
    </row>
    <row r="50" spans="1:16" s="29" customFormat="1" ht="39.75" customHeight="1" thickBot="1">
      <c r="A50" s="68">
        <v>25</v>
      </c>
      <c r="B50" s="70" t="s">
        <v>70</v>
      </c>
      <c r="C50" s="70" t="s">
        <v>71</v>
      </c>
      <c r="D50" s="70" t="s">
        <v>61</v>
      </c>
      <c r="E50" s="54">
        <v>142284825</v>
      </c>
      <c r="F50" s="72">
        <v>142274825</v>
      </c>
      <c r="G50" s="54">
        <v>0</v>
      </c>
      <c r="H50" s="74">
        <v>1</v>
      </c>
      <c r="I50" s="66">
        <v>0</v>
      </c>
      <c r="J50" s="66">
        <v>142274825</v>
      </c>
      <c r="K50" s="66">
        <v>0</v>
      </c>
      <c r="L50" s="66">
        <v>142274825</v>
      </c>
      <c r="M50" s="64">
        <v>42646</v>
      </c>
      <c r="N50" s="64">
        <v>43100</v>
      </c>
      <c r="O50" s="64"/>
      <c r="P50" s="64"/>
    </row>
    <row r="51" spans="1:16" s="29" customFormat="1" ht="51" customHeight="1" thickBot="1">
      <c r="A51" s="69"/>
      <c r="B51" s="71"/>
      <c r="C51" s="71"/>
      <c r="D51" s="71"/>
      <c r="E51" s="54"/>
      <c r="F51" s="73"/>
      <c r="G51" s="54">
        <v>0</v>
      </c>
      <c r="H51" s="75"/>
      <c r="I51" s="67"/>
      <c r="J51" s="67"/>
      <c r="K51" s="67"/>
      <c r="L51" s="67"/>
      <c r="M51" s="65"/>
      <c r="N51" s="65"/>
      <c r="O51" s="65"/>
      <c r="P51" s="65"/>
    </row>
    <row r="52" spans="1:16" s="29" customFormat="1" ht="39.75" customHeight="1" thickBot="1">
      <c r="A52" s="68">
        <v>26</v>
      </c>
      <c r="B52" s="70" t="s">
        <v>72</v>
      </c>
      <c r="C52" s="70" t="s">
        <v>73</v>
      </c>
      <c r="D52" s="70" t="s">
        <v>61</v>
      </c>
      <c r="E52" s="54">
        <v>66666000</v>
      </c>
      <c r="F52" s="72">
        <v>49103812</v>
      </c>
      <c r="G52" s="61">
        <v>16367938</v>
      </c>
      <c r="H52" s="74">
        <v>0.75</v>
      </c>
      <c r="I52" s="66">
        <v>0</v>
      </c>
      <c r="J52" s="66">
        <f>49103812+16367938+1194250</f>
        <v>66666000</v>
      </c>
      <c r="K52" s="66">
        <v>0</v>
      </c>
      <c r="L52" s="66">
        <v>49103812</v>
      </c>
      <c r="M52" s="64">
        <v>42614</v>
      </c>
      <c r="N52" s="64">
        <v>43151</v>
      </c>
      <c r="O52" s="64"/>
      <c r="P52" s="64"/>
    </row>
    <row r="53" spans="1:16" s="29" customFormat="1" ht="51" customHeight="1" thickBot="1">
      <c r="A53" s="69"/>
      <c r="B53" s="71"/>
      <c r="C53" s="71"/>
      <c r="D53" s="71"/>
      <c r="E53" s="54"/>
      <c r="F53" s="129"/>
      <c r="G53" s="62">
        <f>16367938+1194250</f>
        <v>17562188</v>
      </c>
      <c r="H53" s="130"/>
      <c r="I53" s="67"/>
      <c r="J53" s="67"/>
      <c r="K53" s="67"/>
      <c r="L53" s="67"/>
      <c r="M53" s="65"/>
      <c r="N53" s="65"/>
      <c r="O53" s="65"/>
      <c r="P53" s="65"/>
    </row>
    <row r="54" spans="1:16" s="29" customFormat="1" ht="39.75" customHeight="1" thickBot="1">
      <c r="A54" s="68">
        <v>27</v>
      </c>
      <c r="B54" s="70" t="s">
        <v>78</v>
      </c>
      <c r="C54" s="70" t="s">
        <v>79</v>
      </c>
      <c r="D54" s="70" t="s">
        <v>61</v>
      </c>
      <c r="E54" s="54">
        <v>7725000</v>
      </c>
      <c r="F54" s="72">
        <v>7725000</v>
      </c>
      <c r="G54" s="54">
        <v>0</v>
      </c>
      <c r="H54" s="74">
        <v>1</v>
      </c>
      <c r="I54" s="66">
        <v>0</v>
      </c>
      <c r="J54" s="66">
        <v>7725000</v>
      </c>
      <c r="K54" s="66">
        <v>0</v>
      </c>
      <c r="L54" s="66">
        <v>7725000</v>
      </c>
      <c r="M54" s="64">
        <v>42736</v>
      </c>
      <c r="N54" s="64">
        <v>43982</v>
      </c>
      <c r="O54" s="64"/>
      <c r="P54" s="64"/>
    </row>
    <row r="55" spans="1:16" s="29" customFormat="1" ht="51" customHeight="1" thickBot="1">
      <c r="A55" s="69"/>
      <c r="B55" s="71"/>
      <c r="C55" s="71"/>
      <c r="D55" s="71"/>
      <c r="E55" s="54"/>
      <c r="F55" s="73"/>
      <c r="G55" s="54">
        <v>0</v>
      </c>
      <c r="H55" s="75"/>
      <c r="I55" s="67"/>
      <c r="J55" s="67"/>
      <c r="K55" s="67"/>
      <c r="L55" s="67"/>
      <c r="M55" s="65"/>
      <c r="N55" s="65"/>
      <c r="O55" s="65"/>
      <c r="P55" s="65"/>
    </row>
    <row r="56" spans="1:16" s="33" customFormat="1" ht="19.5" customHeight="1" thickBot="1">
      <c r="A56" s="101" t="s">
        <v>11</v>
      </c>
      <c r="B56" s="101"/>
      <c r="C56" s="101"/>
      <c r="D56" s="31"/>
      <c r="E56" s="32">
        <f>SUM(E8,E10,E11,E13,E15,E16,E18,E20,E22,E23,E26,E28,E29,E31,E32,E34,E35,E37,E39,E41,E43,E45,E47,E49,E51,E53)</f>
        <v>2039424384</v>
      </c>
      <c r="F56" s="32">
        <f>SUM(F7:F16,F18,F19:F30,F31:F34,F35,F36,F38,,F40,F42,F44,F46,F48,F50,F52)</f>
        <v>2776923453</v>
      </c>
      <c r="G56" s="32">
        <f>SUM(G8,G10,G11,G13,G15,G16,G18,G20,G22,G23,G26,G28,G29,G31,G32,G34,35,G37,G39,G41,G43,G45,G47,G49,G51,G53)</f>
        <v>709725424</v>
      </c>
      <c r="H56" s="32"/>
      <c r="I56" s="32">
        <f>SUM(I9:I53)</f>
        <v>1733167000</v>
      </c>
      <c r="J56" s="32">
        <f>SUM(J9:J53)</f>
        <v>1488239154</v>
      </c>
      <c r="K56" s="32">
        <f>SUM(K9:K53)</f>
        <v>1150724000</v>
      </c>
      <c r="L56" s="32">
        <f>SUM(L9:L53)</f>
        <v>1376240726</v>
      </c>
      <c r="M56" s="37"/>
      <c r="N56" s="60"/>
      <c r="O56" s="60"/>
      <c r="P56" s="60"/>
    </row>
    <row r="57" spans="1:16" s="33" customFormat="1">
      <c r="H57" s="39"/>
      <c r="I57" s="39"/>
      <c r="J57" s="39"/>
      <c r="K57" s="39"/>
      <c r="L57" s="39"/>
    </row>
    <row r="58" spans="1:16" s="33" customFormat="1" ht="16.149999999999999" customHeight="1">
      <c r="B58" s="38" t="s">
        <v>56</v>
      </c>
      <c r="E58" s="34"/>
      <c r="F58" s="34"/>
      <c r="G58" s="34"/>
      <c r="H58" s="39"/>
      <c r="I58" s="39"/>
      <c r="J58" s="39"/>
      <c r="K58" s="39"/>
      <c r="L58" s="39"/>
    </row>
    <row r="59" spans="1:16" s="33" customFormat="1">
      <c r="H59" s="39"/>
      <c r="I59" s="39"/>
      <c r="J59" s="39"/>
      <c r="K59" s="39"/>
      <c r="L59" s="39"/>
    </row>
    <row r="60" spans="1:16" s="33" customFormat="1">
      <c r="B60" s="63" t="s">
        <v>81</v>
      </c>
      <c r="H60" s="39"/>
      <c r="I60" s="39"/>
      <c r="J60" s="39"/>
      <c r="K60" s="39"/>
      <c r="L60" s="39"/>
    </row>
    <row r="61" spans="1:16" s="33" customFormat="1">
      <c r="F61" s="34"/>
    </row>
    <row r="62" spans="1:16" s="33" customFormat="1"/>
    <row r="63" spans="1:16" s="33" customFormat="1"/>
    <row r="64" spans="1:16" s="33" customFormat="1"/>
    <row r="65" s="33" customFormat="1"/>
    <row r="66" s="33" customFormat="1"/>
    <row r="67" s="33" customFormat="1"/>
    <row r="68" s="33" customFormat="1"/>
  </sheetData>
  <mergeCells count="318">
    <mergeCell ref="O44:O45"/>
    <mergeCell ref="P44:P45"/>
    <mergeCell ref="I44:I45"/>
    <mergeCell ref="J44:J45"/>
    <mergeCell ref="K44:K45"/>
    <mergeCell ref="L44:L45"/>
    <mergeCell ref="M44:M45"/>
    <mergeCell ref="N44:N45"/>
    <mergeCell ref="A44:A45"/>
    <mergeCell ref="B44:B45"/>
    <mergeCell ref="C44:C45"/>
    <mergeCell ref="D44:D45"/>
    <mergeCell ref="F44:F45"/>
    <mergeCell ref="H44:H45"/>
    <mergeCell ref="K52:K53"/>
    <mergeCell ref="L52:L53"/>
    <mergeCell ref="M52:M53"/>
    <mergeCell ref="N52:N53"/>
    <mergeCell ref="O52:O53"/>
    <mergeCell ref="P52:P53"/>
    <mergeCell ref="O50:O51"/>
    <mergeCell ref="P50:P51"/>
    <mergeCell ref="A52:A53"/>
    <mergeCell ref="B52:B53"/>
    <mergeCell ref="C52:C53"/>
    <mergeCell ref="D52:D53"/>
    <mergeCell ref="F52:F53"/>
    <mergeCell ref="H52:H53"/>
    <mergeCell ref="I52:I53"/>
    <mergeCell ref="J52:J53"/>
    <mergeCell ref="O46:O47"/>
    <mergeCell ref="P46:P47"/>
    <mergeCell ref="M48:M49"/>
    <mergeCell ref="N48:N49"/>
    <mergeCell ref="O48:O49"/>
    <mergeCell ref="P48:P49"/>
    <mergeCell ref="M46:M47"/>
    <mergeCell ref="N46:N47"/>
    <mergeCell ref="O40:O41"/>
    <mergeCell ref="P40:P41"/>
    <mergeCell ref="M42:M43"/>
    <mergeCell ref="N42:N43"/>
    <mergeCell ref="O42:O43"/>
    <mergeCell ref="P42:P43"/>
    <mergeCell ref="M40:M41"/>
    <mergeCell ref="N40:N41"/>
    <mergeCell ref="M50:M51"/>
    <mergeCell ref="N50:N51"/>
    <mergeCell ref="I50:I51"/>
    <mergeCell ref="J50:J51"/>
    <mergeCell ref="K50:K51"/>
    <mergeCell ref="L50:L51"/>
    <mergeCell ref="I48:I49"/>
    <mergeCell ref="J48:J49"/>
    <mergeCell ref="K48:K49"/>
    <mergeCell ref="L48:L49"/>
    <mergeCell ref="A50:A51"/>
    <mergeCell ref="B50:B51"/>
    <mergeCell ref="C50:C51"/>
    <mergeCell ref="D50:D51"/>
    <mergeCell ref="F50:F51"/>
    <mergeCell ref="H50:H51"/>
    <mergeCell ref="I46:I47"/>
    <mergeCell ref="J46:J47"/>
    <mergeCell ref="K46:K47"/>
    <mergeCell ref="L46:L47"/>
    <mergeCell ref="A48:A49"/>
    <mergeCell ref="B48:B49"/>
    <mergeCell ref="C48:C49"/>
    <mergeCell ref="D48:D49"/>
    <mergeCell ref="F48:F49"/>
    <mergeCell ref="H48:H49"/>
    <mergeCell ref="I42:I43"/>
    <mergeCell ref="J42:J43"/>
    <mergeCell ref="K42:K43"/>
    <mergeCell ref="L42:L43"/>
    <mergeCell ref="A46:A47"/>
    <mergeCell ref="B46:B47"/>
    <mergeCell ref="C46:C47"/>
    <mergeCell ref="D46:D47"/>
    <mergeCell ref="F46:F47"/>
    <mergeCell ref="H46:H47"/>
    <mergeCell ref="A42:A43"/>
    <mergeCell ref="B42:B43"/>
    <mergeCell ref="C42:C43"/>
    <mergeCell ref="D42:D43"/>
    <mergeCell ref="F42:F43"/>
    <mergeCell ref="H42:H43"/>
    <mergeCell ref="A40:A41"/>
    <mergeCell ref="I40:I41"/>
    <mergeCell ref="J40:J41"/>
    <mergeCell ref="K40:K41"/>
    <mergeCell ref="L40:L41"/>
    <mergeCell ref="B40:B41"/>
    <mergeCell ref="C40:C41"/>
    <mergeCell ref="D40:D41"/>
    <mergeCell ref="F40:F41"/>
    <mergeCell ref="H40:H41"/>
    <mergeCell ref="J36:J37"/>
    <mergeCell ref="I36:I37"/>
    <mergeCell ref="M36:M37"/>
    <mergeCell ref="N36:N37"/>
    <mergeCell ref="O36:O37"/>
    <mergeCell ref="P36:P37"/>
    <mergeCell ref="O38:O39"/>
    <mergeCell ref="P38:P39"/>
    <mergeCell ref="I38:I39"/>
    <mergeCell ref="J38:J39"/>
    <mergeCell ref="K38:K39"/>
    <mergeCell ref="L38:L39"/>
    <mergeCell ref="M38:M39"/>
    <mergeCell ref="N38:N39"/>
    <mergeCell ref="D29:D30"/>
    <mergeCell ref="E29:E30"/>
    <mergeCell ref="F29:F30"/>
    <mergeCell ref="G29:G30"/>
    <mergeCell ref="H29:H30"/>
    <mergeCell ref="I29:I30"/>
    <mergeCell ref="F33:F34"/>
    <mergeCell ref="H33:H34"/>
    <mergeCell ref="I33:I34"/>
    <mergeCell ref="J29:J30"/>
    <mergeCell ref="K29:K30"/>
    <mergeCell ref="L29:L30"/>
    <mergeCell ref="J33:J34"/>
    <mergeCell ref="K33:K34"/>
    <mergeCell ref="L33:L34"/>
    <mergeCell ref="K21:K22"/>
    <mergeCell ref="J25:J26"/>
    <mergeCell ref="K25:K26"/>
    <mergeCell ref="L25:L26"/>
    <mergeCell ref="F25:F26"/>
    <mergeCell ref="H25:H26"/>
    <mergeCell ref="I25:I26"/>
    <mergeCell ref="G23:G24"/>
    <mergeCell ref="F21:F22"/>
    <mergeCell ref="K23:K24"/>
    <mergeCell ref="L17:L18"/>
    <mergeCell ref="K17:K18"/>
    <mergeCell ref="K19:K20"/>
    <mergeCell ref="L14:L15"/>
    <mergeCell ref="J14:J15"/>
    <mergeCell ref="H17:H18"/>
    <mergeCell ref="I17:I18"/>
    <mergeCell ref="J17:J18"/>
    <mergeCell ref="K7:K8"/>
    <mergeCell ref="I9:I10"/>
    <mergeCell ref="K14:K15"/>
    <mergeCell ref="F19:F20"/>
    <mergeCell ref="I12:I13"/>
    <mergeCell ref="H14:H15"/>
    <mergeCell ref="I14:I15"/>
    <mergeCell ref="F7:F8"/>
    <mergeCell ref="J12:J13"/>
    <mergeCell ref="D7:D8"/>
    <mergeCell ref="D12:D13"/>
    <mergeCell ref="K12:K13"/>
    <mergeCell ref="L12:L13"/>
    <mergeCell ref="I7:I8"/>
    <mergeCell ref="L7:L8"/>
    <mergeCell ref="K9:K10"/>
    <mergeCell ref="L9:L10"/>
    <mergeCell ref="J9:J10"/>
    <mergeCell ref="J7:J8"/>
    <mergeCell ref="B9:B10"/>
    <mergeCell ref="H12:H13"/>
    <mergeCell ref="B12:B13"/>
    <mergeCell ref="F12:F13"/>
    <mergeCell ref="A12:A13"/>
    <mergeCell ref="H7:H8"/>
    <mergeCell ref="H9:H10"/>
    <mergeCell ref="A7:A8"/>
    <mergeCell ref="D9:D10"/>
    <mergeCell ref="F9:F10"/>
    <mergeCell ref="B1:L1"/>
    <mergeCell ref="I4:L4"/>
    <mergeCell ref="E5:E6"/>
    <mergeCell ref="F5:F6"/>
    <mergeCell ref="G5:G6"/>
    <mergeCell ref="H5:H6"/>
    <mergeCell ref="K5:L5"/>
    <mergeCell ref="C4:H4"/>
    <mergeCell ref="I5:J5"/>
    <mergeCell ref="A5:A6"/>
    <mergeCell ref="B5:B6"/>
    <mergeCell ref="C5:C6"/>
    <mergeCell ref="D5:D6"/>
    <mergeCell ref="F14:F15"/>
    <mergeCell ref="B7:B8"/>
    <mergeCell ref="A14:A15"/>
    <mergeCell ref="B14:B15"/>
    <mergeCell ref="D14:D15"/>
    <mergeCell ref="A9:A10"/>
    <mergeCell ref="A27:A28"/>
    <mergeCell ref="B27:B28"/>
    <mergeCell ref="D27:D28"/>
    <mergeCell ref="F27:F28"/>
    <mergeCell ref="A38:A39"/>
    <mergeCell ref="B38:B39"/>
    <mergeCell ref="D38:D39"/>
    <mergeCell ref="A33:A34"/>
    <mergeCell ref="B33:B34"/>
    <mergeCell ref="D33:D34"/>
    <mergeCell ref="A23:A24"/>
    <mergeCell ref="B23:B24"/>
    <mergeCell ref="C23:C24"/>
    <mergeCell ref="D23:D24"/>
    <mergeCell ref="B21:B22"/>
    <mergeCell ref="D21:D22"/>
    <mergeCell ref="A56:C56"/>
    <mergeCell ref="E23:E24"/>
    <mergeCell ref="F23:F24"/>
    <mergeCell ref="A21:A22"/>
    <mergeCell ref="B25:B26"/>
    <mergeCell ref="A25:A26"/>
    <mergeCell ref="D25:D26"/>
    <mergeCell ref="A29:A30"/>
    <mergeCell ref="B29:B30"/>
    <mergeCell ref="C29:C30"/>
    <mergeCell ref="I23:I24"/>
    <mergeCell ref="H23:H24"/>
    <mergeCell ref="J23:J24"/>
    <mergeCell ref="H21:H22"/>
    <mergeCell ref="I21:I22"/>
    <mergeCell ref="H19:H20"/>
    <mergeCell ref="I19:I20"/>
    <mergeCell ref="J19:J20"/>
    <mergeCell ref="J21:J22"/>
    <mergeCell ref="A17:A18"/>
    <mergeCell ref="B17:B18"/>
    <mergeCell ref="D17:D18"/>
    <mergeCell ref="B19:B20"/>
    <mergeCell ref="A19:A20"/>
    <mergeCell ref="D19:D20"/>
    <mergeCell ref="M12:M13"/>
    <mergeCell ref="N12:N13"/>
    <mergeCell ref="O12:O13"/>
    <mergeCell ref="P12:P13"/>
    <mergeCell ref="M14:M15"/>
    <mergeCell ref="N14:N15"/>
    <mergeCell ref="O14:O15"/>
    <mergeCell ref="P14:P15"/>
    <mergeCell ref="N7:N8"/>
    <mergeCell ref="O7:O8"/>
    <mergeCell ref="P7:P8"/>
    <mergeCell ref="M9:M10"/>
    <mergeCell ref="N9:N10"/>
    <mergeCell ref="O9:O10"/>
    <mergeCell ref="P9:P10"/>
    <mergeCell ref="H27:H28"/>
    <mergeCell ref="I27:I28"/>
    <mergeCell ref="J27:J28"/>
    <mergeCell ref="K27:K28"/>
    <mergeCell ref="M4:P4"/>
    <mergeCell ref="M5:M6"/>
    <mergeCell ref="N5:N6"/>
    <mergeCell ref="O5:O6"/>
    <mergeCell ref="P5:P6"/>
    <mergeCell ref="M7:M8"/>
    <mergeCell ref="L27:L28"/>
    <mergeCell ref="L21:L22"/>
    <mergeCell ref="L19:L20"/>
    <mergeCell ref="L23:L24"/>
    <mergeCell ref="P23:P24"/>
    <mergeCell ref="M25:M26"/>
    <mergeCell ref="N25:N26"/>
    <mergeCell ref="O25:O26"/>
    <mergeCell ref="P25:P26"/>
    <mergeCell ref="M27:M28"/>
    <mergeCell ref="M17:M18"/>
    <mergeCell ref="N17:N18"/>
    <mergeCell ref="O17:O18"/>
    <mergeCell ref="P17:P18"/>
    <mergeCell ref="M19:M20"/>
    <mergeCell ref="N19:N20"/>
    <mergeCell ref="O19:O20"/>
    <mergeCell ref="P19:P20"/>
    <mergeCell ref="N33:N34"/>
    <mergeCell ref="O33:O34"/>
    <mergeCell ref="P33:P34"/>
    <mergeCell ref="M21:M22"/>
    <mergeCell ref="N21:N22"/>
    <mergeCell ref="O21:O22"/>
    <mergeCell ref="P21:P22"/>
    <mergeCell ref="M23:M24"/>
    <mergeCell ref="N23:N24"/>
    <mergeCell ref="O23:O24"/>
    <mergeCell ref="N27:N28"/>
    <mergeCell ref="O27:O28"/>
    <mergeCell ref="P27:P28"/>
    <mergeCell ref="M29:M30"/>
    <mergeCell ref="N29:N30"/>
    <mergeCell ref="O29:O30"/>
    <mergeCell ref="P29:P30"/>
    <mergeCell ref="H38:H39"/>
    <mergeCell ref="F38:F39"/>
    <mergeCell ref="M33:M34"/>
    <mergeCell ref="K36:K37"/>
    <mergeCell ref="L36:L37"/>
    <mergeCell ref="A36:A37"/>
    <mergeCell ref="B36:B37"/>
    <mergeCell ref="D36:D37"/>
    <mergeCell ref="F36:F37"/>
    <mergeCell ref="H36:H37"/>
    <mergeCell ref="A54:A55"/>
    <mergeCell ref="B54:B55"/>
    <mergeCell ref="C54:C55"/>
    <mergeCell ref="D54:D55"/>
    <mergeCell ref="F54:F55"/>
    <mergeCell ref="H54:H55"/>
    <mergeCell ref="O54:O55"/>
    <mergeCell ref="P54:P55"/>
    <mergeCell ref="I54:I55"/>
    <mergeCell ref="J54:J55"/>
    <mergeCell ref="K54:K55"/>
    <mergeCell ref="L54:L55"/>
    <mergeCell ref="M54:M55"/>
    <mergeCell ref="N54:N55"/>
  </mergeCells>
  <phoneticPr fontId="2" type="noConversion"/>
  <printOptions horizontalCentered="1" verticalCentered="1"/>
  <pageMargins left="0.78740157480314965" right="0.6692913385826772" top="0.55118110236220474" bottom="0.23622047244094491" header="0.27559055118110237" footer="0.15748031496062992"/>
  <pageSetup paperSize="9" scale="51" fitToHeight="2" orientation="landscape" r:id="rId1"/>
  <headerFooter alignWithMargins="0">
    <oddHeader>&amp;C&amp;"Arial,Félkövér"&amp;14"23. melléklet a 8/2016. (II.25.) önkormányzati rendelethez" 
2016. évi költségvetés&amp;R&amp;"Arial,Félkövér"20. melléklet a 23/2016. (XII.16.)
önkormányzati rendlethez</oddHeader>
    <oddFooter>&amp;P. oldal</oddFooter>
  </headerFooter>
  <rowBreaks count="1" manualBreakCount="1">
    <brk id="20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Eu-s projektek</vt:lpstr>
      <vt:lpstr>'Eu-s projektek'!Nyomtatási_cím</vt:lpstr>
      <vt:lpstr>'Eu-s projektek'!Nyomtatási_terület</vt:lpstr>
    </vt:vector>
  </TitlesOfParts>
  <Company>Balmadi Polghiv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Gittáné Székely Magdolna</dc:creator>
  <cp:lastModifiedBy>ildi</cp:lastModifiedBy>
  <cp:lastPrinted>2016-12-19T09:35:37Z</cp:lastPrinted>
  <dcterms:created xsi:type="dcterms:W3CDTF">2009-11-26T13:02:23Z</dcterms:created>
  <dcterms:modified xsi:type="dcterms:W3CDTF">2016-12-21T14:35:13Z</dcterms:modified>
</cp:coreProperties>
</file>