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bevételi összesen" sheetId="1" r:id="rId1"/>
    <sheet name="állami támogatások2015" sheetId="2" r:id="rId2"/>
    <sheet name="hatósági j és egyéb2015" sheetId="3" r:id="rId3"/>
    <sheet name="átvett eszköz" sheetId="4" r:id="rId4"/>
    <sheet name="egyéb sajátos bevétel" sheetId="5" r:id="rId5"/>
    <sheet name="létszámok" sheetId="6" r:id="rId6"/>
  </sheets>
  <externalReferences>
    <externalReference r:id="rId9"/>
  </externalReferences>
  <definedNames>
    <definedName name="_xlnm.Print_Titles" localSheetId="1">'állami támogatások2015'!$1:$5</definedName>
    <definedName name="_xlnm.Print_Titles" localSheetId="0">'bevételi összesen'!$A:$A,'bevételi összesen'!$1:$5</definedName>
    <definedName name="_xlnm.Print_Titles" localSheetId="2">'hatósági j és egyéb2015'!$1:$5</definedName>
  </definedNames>
  <calcPr fullCalcOnLoad="1"/>
</workbook>
</file>

<file path=xl/comments1.xml><?xml version="1.0" encoding="utf-8"?>
<comments xmlns="http://schemas.openxmlformats.org/spreadsheetml/2006/main">
  <authors>
    <author>User</author>
    <author>penzugy1</author>
    <author>P?tern? Kov?cs</author>
  </authors>
  <commentList>
    <comment ref="M1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javítani kell
</t>
        </r>
      </text>
    </comment>
    <comment ref="P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kiegészítve azzal, hogy a fenntartói kiegészítés csa 976
</t>
        </r>
      </text>
    </comment>
    <comment ref="B39" authorId="1">
      <text>
        <r>
          <rPr>
            <b/>
            <sz val="8"/>
            <rFont val="Tahoma"/>
            <family val="2"/>
          </rPr>
          <t>penzugy1:</t>
        </r>
        <r>
          <rPr>
            <sz val="8"/>
            <rFont val="Tahoma"/>
            <family val="2"/>
          </rPr>
          <t xml:space="preserve">
Áfa korrekció ipari park
</t>
        </r>
      </text>
    </comment>
    <comment ref="B34" authorId="2">
      <text>
        <r>
          <rPr>
            <b/>
            <sz val="8"/>
            <rFont val="Tahoma"/>
            <family val="2"/>
          </rPr>
          <t>Péterné Kovács:</t>
        </r>
        <r>
          <rPr>
            <sz val="8"/>
            <rFont val="Tahoma"/>
            <family val="2"/>
          </rPr>
          <t xml:space="preserve">
idekell szakorvosi komp, ágazati pótlék
</t>
        </r>
      </text>
    </comment>
  </commentList>
</comments>
</file>

<file path=xl/sharedStrings.xml><?xml version="1.0" encoding="utf-8"?>
<sst xmlns="http://schemas.openxmlformats.org/spreadsheetml/2006/main" count="302" uniqueCount="278">
  <si>
    <t>RÁCKEVE VÁROS</t>
  </si>
  <si>
    <t>adatok ezer Ft-ban</t>
  </si>
  <si>
    <t xml:space="preserve">                  MEGNEVEZÉS</t>
  </si>
  <si>
    <t>1. Tárgyi eszköz értékesítés</t>
  </si>
  <si>
    <t>BEVÉTELEK ÖSSZESEN</t>
  </si>
  <si>
    <t>Bölcsőde</t>
  </si>
  <si>
    <t>Iskola</t>
  </si>
  <si>
    <t>tár</t>
  </si>
  <si>
    <t>Központ</t>
  </si>
  <si>
    <t>ÖSSZ.</t>
  </si>
  <si>
    <t>Rendelő</t>
  </si>
  <si>
    <t>VÁROS</t>
  </si>
  <si>
    <t>ÖSSZESEN</t>
  </si>
  <si>
    <t>Polgm.Hiv.</t>
  </si>
  <si>
    <t>össz.</t>
  </si>
  <si>
    <t>1. cím</t>
  </si>
  <si>
    <t>3.1 alcím</t>
  </si>
  <si>
    <t>Címek</t>
  </si>
  <si>
    <t>1.cím össz</t>
  </si>
  <si>
    <t>2.cím össz</t>
  </si>
  <si>
    <t>3.cím</t>
  </si>
  <si>
    <t>1-3 cím össz</t>
  </si>
  <si>
    <t>eredeti ei.</t>
  </si>
  <si>
    <t>1.1Hatósági jogkörhöz köthető műk.bev.</t>
  </si>
  <si>
    <t>1.2 Egyéb saját bevétel</t>
  </si>
  <si>
    <t>1.3 ÁFA bevétel és visszatérülés</t>
  </si>
  <si>
    <t>1.4 Hozam- és kamatbevételek</t>
  </si>
  <si>
    <t>1.5 Műk.célú pe. átvétel államh.kívülről</t>
  </si>
  <si>
    <t>3. Felhalm.célú átvét.álh.tart.kívülről</t>
  </si>
  <si>
    <t>2. Pénzforg.nélküli bevétel-előző évi pénzm.</t>
  </si>
  <si>
    <t>4. Értékpapír bevételek</t>
  </si>
  <si>
    <t>5. Továbbadási célú bev.ÁHT.belülről össz.</t>
  </si>
  <si>
    <t>6. Továbbadási célú bev.ÁHT kívülről össz.</t>
  </si>
  <si>
    <t>1. Tám.kölcsön visszatér. össz.</t>
  </si>
  <si>
    <t>3.3 Likviditási célú hitel</t>
  </si>
  <si>
    <t>3. Hitelfelvétel összesen</t>
  </si>
  <si>
    <t>VISSATÉR.PÉNZFORG.NÉLKÜLI BEV</t>
  </si>
  <si>
    <t>2. Pü.-i befektet. bevételei</t>
  </si>
  <si>
    <t>I.INTÉZM.MŰKÖDÉSI BEV. ÖSSZESEN</t>
  </si>
  <si>
    <t>IV. FELHALM.ÉS TŐKE JELL. BEVÉT.</t>
  </si>
  <si>
    <t>V. HITEL.ÉRTÉKPAP,TÁM.KÖLCSÖN</t>
  </si>
  <si>
    <t>III. TÁMOGAT.TÁM.ÉRTÉKŰ BEV.,KIEG.</t>
  </si>
  <si>
    <t>1. Önkorm. Sajátos működési bev. Össz.</t>
  </si>
  <si>
    <t>1.1 Helyi adó</t>
  </si>
  <si>
    <t>1.1.1 építményadó</t>
  </si>
  <si>
    <t>1.1.2 iparűzési adó</t>
  </si>
  <si>
    <t>1.1.3 idegenforgalmi adó</t>
  </si>
  <si>
    <t>1.2 Átengedett központi adók</t>
  </si>
  <si>
    <t>1.2.1 Személyi jövedelemadó</t>
  </si>
  <si>
    <t>1.2.2 Gépjárműadó</t>
  </si>
  <si>
    <t>1.2.3 Termőföld bérbead.szárm.szemjöv.a.</t>
  </si>
  <si>
    <t>1.3 Pótlékok, bírságok (helyi adó után)</t>
  </si>
  <si>
    <t>1.4 Egyéb önkorm. sajátos műk.bev.</t>
  </si>
  <si>
    <t>II. Önkorm.sajátos bevételei mindössz.</t>
  </si>
  <si>
    <t>2. Önkor. Sajátos felhalmozási célú bev.</t>
  </si>
  <si>
    <t>1.1 Önkorm. költségv. tám. össz.</t>
  </si>
  <si>
    <t>1.1.1 normatív állami hozzájárulás</t>
  </si>
  <si>
    <t>1.1.2 Normatív kötött felhaszn.tám.</t>
  </si>
  <si>
    <t>1.1.3 központosított előirányzat</t>
  </si>
  <si>
    <t>1.1.4 fejl.célú támogatás</t>
  </si>
  <si>
    <t>1.2. Támogatásértékű működési bevétel</t>
  </si>
  <si>
    <t>1.3 Támogatásértékű felhalmozási bev.</t>
  </si>
  <si>
    <t>1.4. Kiegészítések, visszatérülések</t>
  </si>
  <si>
    <t>Vált.%</t>
  </si>
  <si>
    <t xml:space="preserve">3.2 Hosszúlejáratú hitel  (fejlesztési célú) </t>
  </si>
  <si>
    <t>Szakorv.</t>
  </si>
  <si>
    <t xml:space="preserve">1.2.4. Luxusadó </t>
  </si>
  <si>
    <t>1.1.4 telekadó</t>
  </si>
  <si>
    <t xml:space="preserve">3.1 Rövidlejáratú hitel </t>
  </si>
  <si>
    <r>
      <t xml:space="preserve">1.2.1 </t>
    </r>
    <r>
      <rPr>
        <sz val="12"/>
        <rFont val="Arial"/>
        <family val="2"/>
      </rPr>
      <t>ebből: társadalombiztosítási alaptól</t>
    </r>
  </si>
  <si>
    <t xml:space="preserve">                                                                                                    adatok ezer Ft-ban</t>
  </si>
  <si>
    <t>Átadó, feladat megnevezése</t>
  </si>
  <si>
    <t xml:space="preserve">1. MŰKÖDÉSI CÉLÚ (Támogatásértékű  bevétel) </t>
  </si>
  <si>
    <t>1. MŰKÖDÉSI CÉLÚ ÖSSZESEN</t>
  </si>
  <si>
    <t>2. FEJLESZTÉSI CÉLÚ</t>
  </si>
  <si>
    <t>2. FEJLESZTÉSI CÉLÚ ÖSSZESEN</t>
  </si>
  <si>
    <t>3. ÁTVETT PÉNZESZKÖZÖK MINDÖSSZESEN</t>
  </si>
  <si>
    <t xml:space="preserve">                     Megnevezés</t>
  </si>
  <si>
    <t>Polgármesteri Hivatal</t>
  </si>
  <si>
    <t xml:space="preserve">1. Hatósági  jogkörhöz köthető  működési bevételek  </t>
  </si>
  <si>
    <t xml:space="preserve">                                működési bevétel </t>
  </si>
  <si>
    <t xml:space="preserve">1.                                   Összesen </t>
  </si>
  <si>
    <t xml:space="preserve">2  .Egyéb saját bevételek </t>
  </si>
  <si>
    <t>Ráckevei Újság – értékesítés</t>
  </si>
  <si>
    <t xml:space="preserve">Önkorm.Igazgatás kiadványok, térképek ért. </t>
  </si>
  <si>
    <t xml:space="preserve">            fénymásolás, nyomdai bev.</t>
  </si>
  <si>
    <t xml:space="preserve">            Pm. Mü. Közp.(karbantart.-hoz)</t>
  </si>
  <si>
    <t xml:space="preserve">            Illetékbélyeg értékesítés jutaléka</t>
  </si>
  <si>
    <t xml:space="preserve">            közterület  használat </t>
  </si>
  <si>
    <t xml:space="preserve">Ráckevei Újság – hirdetés </t>
  </si>
  <si>
    <t xml:space="preserve">                                - hirdetési díj</t>
  </si>
  <si>
    <r>
      <t>Német Kisebbség</t>
    </r>
    <r>
      <rPr>
        <sz val="11"/>
        <color indexed="8"/>
        <rFont val="Times New Roman"/>
        <family val="1"/>
      </rPr>
      <t xml:space="preserve">- rendezvény díj </t>
    </r>
  </si>
  <si>
    <t>2.1. Továbbszámlázott belf.szolgáltatás</t>
  </si>
  <si>
    <t>Szell. és anyagi infrastr.magáncélú ig.</t>
  </si>
  <si>
    <t>Szoc.segély,köztemetés visszafiz.</t>
  </si>
  <si>
    <t xml:space="preserve">2.                                Összesen </t>
  </si>
  <si>
    <t xml:space="preserve">                                     EGYÜTT </t>
  </si>
  <si>
    <r>
      <t xml:space="preserve">           </t>
    </r>
    <r>
      <rPr>
        <b/>
        <sz val="11"/>
        <rFont val="Arial"/>
        <family val="2"/>
      </rPr>
      <t>Megnevezés</t>
    </r>
  </si>
  <si>
    <t xml:space="preserve">            Megjegyzés</t>
  </si>
  <si>
    <t xml:space="preserve">javaslat </t>
  </si>
  <si>
    <t>I. MŰKÖDÉSI CÉLÚ BEVÉTEL</t>
  </si>
  <si>
    <t xml:space="preserve">   Talajterhelési díj</t>
  </si>
  <si>
    <t xml:space="preserve">   Parkolódíj megváltás</t>
  </si>
  <si>
    <t>I. MŰKÖDÉSI CÉLÚ BEV. ÖSSZ.</t>
  </si>
  <si>
    <t>II. FEJLESZTÉSI CÉLÚ BEVÉTEL</t>
  </si>
  <si>
    <t xml:space="preserve">   Önkormányzati lakásértékesítés</t>
  </si>
  <si>
    <t>Önkorm.ingatlanok és eszközök bérbe-</t>
  </si>
  <si>
    <t xml:space="preserve">                      adásából származó bevétel</t>
  </si>
  <si>
    <t xml:space="preserve">   Mezőgazdasági földterületek bérl.díja</t>
  </si>
  <si>
    <t xml:space="preserve">   Különféle terület bérleti díjak</t>
  </si>
  <si>
    <t xml:space="preserve">  Üzemeltetésre átadott vagyontárgyak</t>
  </si>
  <si>
    <t xml:space="preserve">     bérleti díja - Ráckeve  önkormányzat </t>
  </si>
  <si>
    <t xml:space="preserve">  Üzemeltetésre átadott vagyont.együtt</t>
  </si>
  <si>
    <t>II. FEJL. CÉLÚ BEVÉTEL ÖSSZ.</t>
  </si>
  <si>
    <t>III. BEVÉTEL MINDÖSSZESEN (I+II)</t>
  </si>
  <si>
    <t xml:space="preserve"> </t>
  </si>
  <si>
    <t>*</t>
  </si>
  <si>
    <r>
      <t xml:space="preserve">                            </t>
    </r>
    <r>
      <rPr>
        <b/>
        <sz val="11"/>
        <color indexed="8"/>
        <rFont val="Arial"/>
        <family val="2"/>
      </rPr>
      <t xml:space="preserve"> NORMATÍV HOZZÁJÁRULÁSOK ÉS  NORMATÍV KÖTÖTT   </t>
    </r>
  </si>
  <si>
    <t>Polgármesteri Hivatal összesen</t>
  </si>
  <si>
    <t>megnézni</t>
  </si>
  <si>
    <t>Mórus kft van-e</t>
  </si>
  <si>
    <t>Ipari Parkkal egyzetetni</t>
  </si>
  <si>
    <t>2. melléklet</t>
  </si>
  <si>
    <t>áfa</t>
  </si>
  <si>
    <t xml:space="preserve">     2/e.sz. melléklet</t>
  </si>
  <si>
    <t xml:space="preserve">        adatok ezer Ft-ban</t>
  </si>
  <si>
    <t>víztornyok bérlete bevétele</t>
  </si>
  <si>
    <t>Testvérvárosi pályázat</t>
  </si>
  <si>
    <t>polgármesteri hivatal</t>
  </si>
  <si>
    <t>önkormányzat</t>
  </si>
  <si>
    <t>Tűzoltóság</t>
  </si>
  <si>
    <t>Önkormányzat összesen</t>
  </si>
  <si>
    <t>önkormányzati bevételek</t>
  </si>
  <si>
    <t>eljárási bírság</t>
  </si>
  <si>
    <t>orvosi ügyelet</t>
  </si>
  <si>
    <t>megjegyzés</t>
  </si>
  <si>
    <t>besorolás szerintit finanszíroznak, nem pontos adat ! Ennél kevesebblesz!</t>
  </si>
  <si>
    <t>Vízminőség javítás pályázat</t>
  </si>
  <si>
    <t xml:space="preserve"> VIGI /Általános</t>
  </si>
  <si>
    <t>VIGI/Művész.</t>
  </si>
  <si>
    <t>VIGI Ped Szakszolgálat</t>
  </si>
  <si>
    <t>LÉTSZÁM KERETEK CÍMREND SZERINT</t>
  </si>
  <si>
    <t>3/a/1. sz. melléklet</t>
  </si>
  <si>
    <t>Cím</t>
  </si>
  <si>
    <t>Alcím</t>
  </si>
  <si>
    <t xml:space="preserve">          Intézmény megnevezése</t>
  </si>
  <si>
    <t xml:space="preserve"> javaslat</t>
  </si>
  <si>
    <t>(fő)</t>
  </si>
  <si>
    <t>Területi igazgatás</t>
  </si>
  <si>
    <t>Önkormányzati igazgatás</t>
  </si>
  <si>
    <t>ebből: Térmesteri feladatok</t>
  </si>
  <si>
    <t xml:space="preserve">             Közterületfelügyelő</t>
  </si>
  <si>
    <t xml:space="preserve">              </t>
  </si>
  <si>
    <t>támogatott</t>
  </si>
  <si>
    <t>Városi Intézményi Gazdasági Iroda</t>
  </si>
  <si>
    <t>ebből önkéntes tűzoltóság önkormányzati feladatként</t>
  </si>
  <si>
    <t>Skarica Máté Városi Könyvtár</t>
  </si>
  <si>
    <t>Ács Károly Művelődési Központ**</t>
  </si>
  <si>
    <t>Szakorvosi Rendelőintézet</t>
  </si>
  <si>
    <t>1-3</t>
  </si>
  <si>
    <t>VÁROS ÖSSZESEN</t>
  </si>
  <si>
    <t>Önkormányzat</t>
  </si>
  <si>
    <t>ebből Ránki Gy működtetés</t>
  </si>
  <si>
    <t>ebből ADY gimnázium működtetés</t>
  </si>
  <si>
    <t>ebből tourinform iroda</t>
  </si>
  <si>
    <t>ebből múzeum</t>
  </si>
  <si>
    <t>VIGI</t>
  </si>
  <si>
    <t>ebből vigi</t>
  </si>
  <si>
    <t>2</t>
  </si>
  <si>
    <t>2,5</t>
  </si>
  <si>
    <t>2,6</t>
  </si>
  <si>
    <t>2,7</t>
  </si>
  <si>
    <t>konyha</t>
  </si>
  <si>
    <r>
      <t xml:space="preserve">RÁCKEVE VÁROS                                                                              </t>
    </r>
    <r>
      <rPr>
        <b/>
        <sz val="10.9"/>
        <color indexed="8"/>
        <rFont val="Albany"/>
        <family val="0"/>
      </rPr>
      <t xml:space="preserve"> 2/c. sz. melléklet</t>
    </r>
  </si>
  <si>
    <t>Támogatásértékü bevételek</t>
  </si>
  <si>
    <t>Családi ünnepek esketés</t>
  </si>
  <si>
    <t>Államháztartáson belüli továbbszámlázás</t>
  </si>
  <si>
    <t>Államháztartáson kívüli továbbszámlázás</t>
  </si>
  <si>
    <t>Kötbér, bírság, egyéb kártérítés,visszatérülés , közbeszerzési bevételek</t>
  </si>
  <si>
    <t>ÁKMK</t>
  </si>
  <si>
    <t>Könyvtár</t>
  </si>
  <si>
    <t xml:space="preserve">VIGI </t>
  </si>
  <si>
    <t>csatorna utáni bevétel</t>
  </si>
  <si>
    <t xml:space="preserve">           M E G N E V E Z É S </t>
  </si>
  <si>
    <t>mennyi-</t>
  </si>
  <si>
    <t>fajlagos</t>
  </si>
  <si>
    <t>2013 év</t>
  </si>
  <si>
    <t>eltérés</t>
  </si>
  <si>
    <t>sége</t>
  </si>
  <si>
    <t>összeg Ft</t>
  </si>
  <si>
    <t>NORMATÍV  HOZZÁJÁRULÁSOK</t>
  </si>
  <si>
    <t>I. Egyéb ágazat</t>
  </si>
  <si>
    <t>1/ Települési önkormányzatok feladatai</t>
  </si>
  <si>
    <t>önkormányzati hivatal működése</t>
  </si>
  <si>
    <t>település üzemeltetés zöldterület</t>
  </si>
  <si>
    <t>közvilágítás</t>
  </si>
  <si>
    <t>köztemető</t>
  </si>
  <si>
    <t>Közutak üzemeltetése</t>
  </si>
  <si>
    <t>összesen</t>
  </si>
  <si>
    <t>beszámítás</t>
  </si>
  <si>
    <t>finanszírozás</t>
  </si>
  <si>
    <t>egyéb önkormányzati feladatok</t>
  </si>
  <si>
    <t>üdülőhelyi feladatok</t>
  </si>
  <si>
    <t>lakott külterület</t>
  </si>
  <si>
    <t>Települési önkorm. feladatai össz.</t>
  </si>
  <si>
    <t>6/  Közműv.,és közgyüjt.fa.</t>
  </si>
  <si>
    <t>II.Szociális normatívák</t>
  </si>
  <si>
    <t>1. Pénzbeli  szociális juttatások</t>
  </si>
  <si>
    <t>2. Szociális és gyermekjóléti alapszolg.fela.</t>
  </si>
  <si>
    <t>2.1.1 családsegítés</t>
  </si>
  <si>
    <t>családsegítés társulási kiegészítés</t>
  </si>
  <si>
    <t>gyermekjóléti ellátások</t>
  </si>
  <si>
    <t>gyermekjóléti társulási kiegészítés</t>
  </si>
  <si>
    <t>Szociális étkeztetés</t>
  </si>
  <si>
    <t>Házi segítségnyújtás</t>
  </si>
  <si>
    <t>Nappali ellátás</t>
  </si>
  <si>
    <t>falugondnoki szolgáltatás</t>
  </si>
  <si>
    <t>családi napközi</t>
  </si>
  <si>
    <t>családi gyermekfelügyelet</t>
  </si>
  <si>
    <t>2. Szoc. és gyermekjóléti alapszolg.fela.együtt</t>
  </si>
  <si>
    <t>3. Gyermekek napközbeni ellátása</t>
  </si>
  <si>
    <t>3.1 Bölcsődei ellátás</t>
  </si>
  <si>
    <t>pedagógus bérezés 8 hónapa</t>
  </si>
  <si>
    <t>pedagógusokat segítők bére 8 hónap</t>
  </si>
  <si>
    <t>pedagógus bérezés 4 hónapa</t>
  </si>
  <si>
    <t>pedagógusokat segítők bére 4 hónap</t>
  </si>
  <si>
    <t>működtetés 8 hó</t>
  </si>
  <si>
    <t>működtetés 4 hó</t>
  </si>
  <si>
    <t>1. Óvoda összesen</t>
  </si>
  <si>
    <t>Étkeztetési feladatok</t>
  </si>
  <si>
    <t xml:space="preserve"> NORMATÍV HOZZÁJÁR. ÉS KÖTÖTT  </t>
  </si>
  <si>
    <t>TÁMOGATÁS ÖSSZESEN</t>
  </si>
  <si>
    <t>gimnázium működtetés</t>
  </si>
  <si>
    <t>múzeum támogatása</t>
  </si>
  <si>
    <t>további egyenlőre nempontosan ismert támogatás</t>
  </si>
  <si>
    <t xml:space="preserve">VIGI Gimnázium </t>
  </si>
  <si>
    <t>VIGI konyha</t>
  </si>
  <si>
    <t>hátrányos gyermekek</t>
  </si>
  <si>
    <t>üzemeltetési feladatok</t>
  </si>
  <si>
    <t xml:space="preserve">                    EGYES BEVÉTELI ELŐIRÁNYZATOK      2015.év</t>
  </si>
  <si>
    <t>2015 évi tény</t>
  </si>
  <si>
    <t>közigazgatási bírság</t>
  </si>
  <si>
    <t>BEVÉTELI ELŐIRÁNYZAT  2015</t>
  </si>
  <si>
    <t xml:space="preserve">                                                              2 0 15. É V </t>
  </si>
  <si>
    <t>Fővárosi vízművek támogatása</t>
  </si>
  <si>
    <t>csatorna beruházás megtérülő</t>
  </si>
  <si>
    <t xml:space="preserve">      2015. ÉV </t>
  </si>
  <si>
    <t>ebből konyha</t>
  </si>
  <si>
    <t xml:space="preserve">Igazgatási szolgáltaltási díjbevétel                   </t>
  </si>
  <si>
    <r>
      <t xml:space="preserve"> </t>
    </r>
    <r>
      <rPr>
        <b/>
        <sz val="12"/>
        <rFont val="Arial"/>
        <family val="2"/>
      </rPr>
      <t>BEVÉTELI ELŐIRÁNYZAT CÍMREND SZERINT 2015</t>
    </r>
  </si>
  <si>
    <t>szennyvíz elszállítás</t>
  </si>
  <si>
    <t>ebből ÁFÁI működtetés</t>
  </si>
  <si>
    <t>ezen adatok nem ismertek még</t>
  </si>
  <si>
    <t>terv</t>
  </si>
  <si>
    <t>már ismert</t>
  </si>
  <si>
    <t>Étkeztetés megosztása</t>
  </si>
  <si>
    <t>Lórév</t>
  </si>
  <si>
    <t>Ráckeve Iskola</t>
  </si>
  <si>
    <t>Ráckeve Ovi</t>
  </si>
  <si>
    <t>Gimi</t>
  </si>
  <si>
    <t>bölcsi</t>
  </si>
  <si>
    <t>kiadás</t>
  </si>
  <si>
    <t>%</t>
  </si>
  <si>
    <t>tény</t>
  </si>
  <si>
    <t>kivenni</t>
  </si>
  <si>
    <t>tény ph</t>
  </si>
  <si>
    <t>tény önkormányzat</t>
  </si>
  <si>
    <t>kamat</t>
  </si>
  <si>
    <t>biztosító</t>
  </si>
  <si>
    <t>stégekkel együtt</t>
  </si>
  <si>
    <t>érdekeltségi hozzájárulás</t>
  </si>
  <si>
    <t>újhegy</t>
  </si>
  <si>
    <t>egyéb</t>
  </si>
  <si>
    <t>logós termékek és patay album</t>
  </si>
  <si>
    <t>önkormányzatoktól Családsegítő</t>
  </si>
  <si>
    <t>múzeum</t>
  </si>
  <si>
    <t>DAKÖV 7350, Hiteles Kft 400</t>
  </si>
  <si>
    <t>ÁROP pályázat áthúzódó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</si>
</sst>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"/>
    <numFmt numFmtId="167" formatCode="#,##0.000"/>
    <numFmt numFmtId="168" formatCode="0.0000"/>
    <numFmt numFmtId="169" formatCode="0.000"/>
    <numFmt numFmtId="170" formatCode="mmm\ dd"/>
    <numFmt numFmtId="171" formatCode="#,##0.00000"/>
    <numFmt numFmtId="172" formatCode="0.00000"/>
    <numFmt numFmtId="173" formatCode="#,##0.00_ ;[Red]\-#,##0.00\ 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9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color indexed="8"/>
      <name val="Albany"/>
      <family val="0"/>
    </font>
    <font>
      <b/>
      <sz val="10.9"/>
      <color indexed="8"/>
      <name val="Albany"/>
      <family val="0"/>
    </font>
    <font>
      <sz val="10"/>
      <color indexed="8"/>
      <name val="Arial"/>
      <family val="2"/>
    </font>
    <font>
      <b/>
      <sz val="12"/>
      <color indexed="8"/>
      <name val="Albany"/>
      <family val="2"/>
    </font>
    <font>
      <b/>
      <sz val="10"/>
      <color indexed="8"/>
      <name val="Albany"/>
      <family val="2"/>
    </font>
    <font>
      <sz val="12"/>
      <color indexed="8"/>
      <name val="Albany"/>
      <family val="2"/>
    </font>
    <font>
      <sz val="11"/>
      <color indexed="8"/>
      <name val="Albany"/>
      <family val="2"/>
    </font>
    <font>
      <b/>
      <sz val="13"/>
      <color indexed="8"/>
      <name val="Times New Roman"/>
      <family val="1"/>
    </font>
    <font>
      <b/>
      <sz val="8"/>
      <name val="Arial"/>
      <family val="2"/>
    </font>
    <font>
      <b/>
      <sz val="11"/>
      <color indexed="8"/>
      <name val="Thorndale"/>
      <family val="0"/>
    </font>
    <font>
      <sz val="12"/>
      <color indexed="8"/>
      <name val="Thorndale"/>
      <family val="0"/>
    </font>
    <font>
      <sz val="11"/>
      <color indexed="8"/>
      <name val="Thorndale"/>
      <family val="0"/>
    </font>
    <font>
      <b/>
      <i/>
      <sz val="11"/>
      <color indexed="8"/>
      <name val="Thorndale"/>
      <family val="0"/>
    </font>
    <font>
      <sz val="10"/>
      <color indexed="8"/>
      <name val="Thorndale"/>
      <family val="0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0"/>
      <color indexed="8"/>
      <name val="Thorndale"/>
      <family val="0"/>
    </font>
    <font>
      <b/>
      <sz val="12"/>
      <color indexed="8"/>
      <name val="Thorndale"/>
      <family val="0"/>
    </font>
    <font>
      <b/>
      <i/>
      <sz val="12"/>
      <color indexed="8"/>
      <name val="Thorndale"/>
      <family val="0"/>
    </font>
    <font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0"/>
      <name val="Arial"/>
      <family val="2"/>
    </font>
    <font>
      <sz val="11"/>
      <color indexed="12"/>
      <name val="Thorndale"/>
      <family val="0"/>
    </font>
    <font>
      <b/>
      <sz val="10"/>
      <name val="MS Sans Serif"/>
      <family val="2"/>
    </font>
    <font>
      <b/>
      <u val="single"/>
      <sz val="10"/>
      <name val="Arial"/>
      <family val="2"/>
    </font>
    <font>
      <b/>
      <sz val="12"/>
      <name val="Albany"/>
      <family val="2"/>
    </font>
    <font>
      <b/>
      <sz val="13"/>
      <name val="Albany"/>
      <family val="2"/>
    </font>
    <font>
      <b/>
      <sz val="10"/>
      <color indexed="12"/>
      <name val="Arial"/>
      <family val="2"/>
    </font>
    <font>
      <sz val="10.95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8"/>
      <name val="Arial"/>
      <family val="2"/>
    </font>
    <font>
      <b/>
      <i/>
      <sz val="12"/>
      <color indexed="10"/>
      <name val="Arial"/>
      <family val="2"/>
    </font>
    <font>
      <sz val="12"/>
      <name val="Albany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thick"/>
      <right style="thick"/>
      <top style="thick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8" applyNumberFormat="0" applyAlignment="0" applyProtection="0"/>
    <xf numFmtId="0" fontId="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9" fillId="0" borderId="12" xfId="0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165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165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165" fontId="9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65" fontId="9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165" fontId="9" fillId="0" borderId="24" xfId="0" applyNumberFormat="1" applyFont="1" applyBorder="1" applyAlignment="1">
      <alignment/>
    </xf>
    <xf numFmtId="165" fontId="9" fillId="0" borderId="25" xfId="0" applyNumberFormat="1" applyFont="1" applyBorder="1" applyAlignment="1">
      <alignment/>
    </xf>
    <xf numFmtId="0" fontId="2" fillId="0" borderId="18" xfId="0" applyFont="1" applyBorder="1" applyAlignment="1">
      <alignment/>
    </xf>
    <xf numFmtId="165" fontId="9" fillId="0" borderId="26" xfId="0" applyNumberFormat="1" applyFont="1" applyBorder="1" applyAlignment="1">
      <alignment/>
    </xf>
    <xf numFmtId="165" fontId="9" fillId="0" borderId="2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31" xfId="0" applyNumberFormat="1" applyFont="1" applyBorder="1" applyAlignment="1">
      <alignment/>
    </xf>
    <xf numFmtId="165" fontId="9" fillId="0" borderId="32" xfId="0" applyNumberFormat="1" applyFont="1" applyBorder="1" applyAlignment="1">
      <alignment/>
    </xf>
    <xf numFmtId="165" fontId="9" fillId="0" borderId="33" xfId="0" applyNumberFormat="1" applyFont="1" applyBorder="1" applyAlignment="1">
      <alignment/>
    </xf>
    <xf numFmtId="165" fontId="9" fillId="0" borderId="34" xfId="0" applyNumberFormat="1" applyFont="1" applyBorder="1" applyAlignment="1">
      <alignment/>
    </xf>
    <xf numFmtId="165" fontId="9" fillId="0" borderId="35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21" xfId="0" applyNumberForma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20" fillId="0" borderId="38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20" fillId="0" borderId="40" xfId="0" applyFont="1" applyBorder="1" applyAlignment="1">
      <alignment/>
    </xf>
    <xf numFmtId="0" fontId="18" fillId="0" borderId="41" xfId="0" applyFont="1" applyBorder="1" applyAlignment="1">
      <alignment/>
    </xf>
    <xf numFmtId="3" fontId="0" fillId="0" borderId="0" xfId="0" applyNumberFormat="1" applyAlignment="1">
      <alignment/>
    </xf>
    <xf numFmtId="0" fontId="18" fillId="0" borderId="40" xfId="0" applyFont="1" applyBorder="1" applyAlignment="1">
      <alignment/>
    </xf>
    <xf numFmtId="0" fontId="18" fillId="0" borderId="42" xfId="0" applyFont="1" applyBorder="1" applyAlignment="1">
      <alignment/>
    </xf>
    <xf numFmtId="0" fontId="2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23" fillId="0" borderId="23" xfId="0" applyFont="1" applyBorder="1" applyAlignment="1">
      <alignment/>
    </xf>
    <xf numFmtId="0" fontId="25" fillId="0" borderId="47" xfId="0" applyFont="1" applyBorder="1" applyAlignment="1">
      <alignment vertical="top" wrapText="1"/>
    </xf>
    <xf numFmtId="0" fontId="25" fillId="0" borderId="48" xfId="0" applyFont="1" applyBorder="1" applyAlignment="1">
      <alignment vertical="top" wrapText="1"/>
    </xf>
    <xf numFmtId="0" fontId="25" fillId="0" borderId="49" xfId="0" applyFont="1" applyBorder="1" applyAlignment="1">
      <alignment vertical="top" wrapText="1"/>
    </xf>
    <xf numFmtId="0" fontId="25" fillId="0" borderId="50" xfId="0" applyFont="1" applyBorder="1" applyAlignment="1">
      <alignment vertical="top" wrapText="1"/>
    </xf>
    <xf numFmtId="0" fontId="26" fillId="0" borderId="18" xfId="0" applyFont="1" applyBorder="1" applyAlignment="1">
      <alignment horizontal="right" vertical="top" wrapText="1"/>
    </xf>
    <xf numFmtId="0" fontId="26" fillId="0" borderId="47" xfId="0" applyFont="1" applyBorder="1" applyAlignment="1">
      <alignment horizontal="right" vertical="top" wrapText="1"/>
    </xf>
    <xf numFmtId="0" fontId="14" fillId="0" borderId="51" xfId="0" applyFont="1" applyBorder="1" applyAlignment="1">
      <alignment/>
    </xf>
    <xf numFmtId="0" fontId="26" fillId="0" borderId="51" xfId="0" applyFont="1" applyBorder="1" applyAlignment="1">
      <alignment horizontal="right" vertical="top" wrapText="1"/>
    </xf>
    <xf numFmtId="0" fontId="4" fillId="0" borderId="52" xfId="0" applyFont="1" applyBorder="1" applyAlignment="1">
      <alignment/>
    </xf>
    <xf numFmtId="0" fontId="27" fillId="0" borderId="53" xfId="0" applyFont="1" applyBorder="1" applyAlignment="1">
      <alignment horizontal="right" vertical="top" wrapText="1"/>
    </xf>
    <xf numFmtId="0" fontId="24" fillId="0" borderId="51" xfId="0" applyFont="1" applyBorder="1" applyAlignment="1">
      <alignment horizontal="right" vertical="top" wrapText="1"/>
    </xf>
    <xf numFmtId="0" fontId="26" fillId="0" borderId="0" xfId="0" applyFont="1" applyBorder="1" applyAlignment="1">
      <alignment horizontal="right" vertical="top" wrapText="1"/>
    </xf>
    <xf numFmtId="0" fontId="26" fillId="0" borderId="54" xfId="0" applyFont="1" applyBorder="1" applyAlignment="1">
      <alignment vertical="top" wrapText="1"/>
    </xf>
    <xf numFmtId="0" fontId="28" fillId="0" borderId="55" xfId="0" applyFont="1" applyBorder="1" applyAlignment="1">
      <alignment vertical="top" wrapText="1"/>
    </xf>
    <xf numFmtId="0" fontId="25" fillId="0" borderId="55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29" fillId="0" borderId="19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0" fillId="0" borderId="56" xfId="0" applyBorder="1" applyAlignment="1">
      <alignment/>
    </xf>
    <xf numFmtId="0" fontId="30" fillId="0" borderId="31" xfId="0" applyFont="1" applyBorder="1" applyAlignment="1">
      <alignment horizontal="left"/>
    </xf>
    <xf numFmtId="0" fontId="14" fillId="0" borderId="57" xfId="0" applyFont="1" applyBorder="1" applyAlignment="1">
      <alignment/>
    </xf>
    <xf numFmtId="0" fontId="14" fillId="0" borderId="0" xfId="0" applyFont="1" applyBorder="1" applyAlignment="1">
      <alignment/>
    </xf>
    <xf numFmtId="0" fontId="33" fillId="0" borderId="55" xfId="0" applyFont="1" applyBorder="1" applyAlignment="1">
      <alignment vertical="top" wrapText="1"/>
    </xf>
    <xf numFmtId="0" fontId="24" fillId="0" borderId="58" xfId="0" applyFont="1" applyBorder="1" applyAlignment="1">
      <alignment horizontal="right" vertical="top" wrapText="1"/>
    </xf>
    <xf numFmtId="0" fontId="26" fillId="0" borderId="54" xfId="0" applyFont="1" applyBorder="1" applyAlignment="1">
      <alignment vertical="top" wrapText="1"/>
    </xf>
    <xf numFmtId="0" fontId="26" fillId="0" borderId="59" xfId="0" applyFont="1" applyBorder="1" applyAlignment="1">
      <alignment horizontal="right" vertical="top" wrapText="1"/>
    </xf>
    <xf numFmtId="0" fontId="26" fillId="0" borderId="19" xfId="0" applyFont="1" applyBorder="1" applyAlignment="1">
      <alignment vertical="top" wrapText="1"/>
    </xf>
    <xf numFmtId="0" fontId="28" fillId="0" borderId="21" xfId="0" applyFont="1" applyBorder="1" applyAlignment="1">
      <alignment vertical="top" wrapText="1"/>
    </xf>
    <xf numFmtId="0" fontId="26" fillId="0" borderId="50" xfId="0" applyFont="1" applyBorder="1" applyAlignment="1">
      <alignment horizontal="right" vertical="top" wrapText="1"/>
    </xf>
    <xf numFmtId="0" fontId="28" fillId="0" borderId="19" xfId="0" applyFont="1" applyBorder="1" applyAlignment="1">
      <alignment vertical="top" wrapText="1"/>
    </xf>
    <xf numFmtId="0" fontId="35" fillId="0" borderId="19" xfId="0" applyFont="1" applyBorder="1" applyAlignment="1">
      <alignment vertical="top" wrapText="1"/>
    </xf>
    <xf numFmtId="0" fontId="27" fillId="0" borderId="59" xfId="0" applyFont="1" applyBorder="1" applyAlignment="1">
      <alignment horizontal="right" vertical="top" wrapText="1"/>
    </xf>
    <xf numFmtId="0" fontId="25" fillId="0" borderId="19" xfId="0" applyFont="1" applyBorder="1" applyAlignment="1">
      <alignment vertical="top" wrapText="1"/>
    </xf>
    <xf numFmtId="0" fontId="24" fillId="0" borderId="46" xfId="0" applyFont="1" applyBorder="1" applyAlignment="1">
      <alignment vertical="top" wrapText="1"/>
    </xf>
    <xf numFmtId="0" fontId="24" fillId="0" borderId="46" xfId="0" applyFont="1" applyBorder="1" applyAlignment="1">
      <alignment horizontal="right" vertical="top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right" vertical="top" wrapText="1"/>
    </xf>
    <xf numFmtId="0" fontId="34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0" fillId="0" borderId="60" xfId="0" applyBorder="1" applyAlignment="1">
      <alignment/>
    </xf>
    <xf numFmtId="0" fontId="5" fillId="0" borderId="61" xfId="0" applyFont="1" applyBorder="1" applyAlignment="1">
      <alignment/>
    </xf>
    <xf numFmtId="0" fontId="0" fillId="0" borderId="62" xfId="0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0" borderId="64" xfId="0" applyBorder="1" applyAlignment="1">
      <alignment/>
    </xf>
    <xf numFmtId="0" fontId="0" fillId="0" borderId="66" xfId="0" applyBorder="1" applyAlignment="1">
      <alignment/>
    </xf>
    <xf numFmtId="0" fontId="5" fillId="0" borderId="67" xfId="0" applyFont="1" applyBorder="1" applyAlignment="1">
      <alignment/>
    </xf>
    <xf numFmtId="0" fontId="0" fillId="0" borderId="68" xfId="0" applyBorder="1" applyAlignment="1">
      <alignment/>
    </xf>
    <xf numFmtId="0" fontId="36" fillId="0" borderId="65" xfId="0" applyFont="1" applyBorder="1" applyAlignment="1">
      <alignment/>
    </xf>
    <xf numFmtId="3" fontId="36" fillId="0" borderId="19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 horizontal="right"/>
    </xf>
    <xf numFmtId="0" fontId="2" fillId="0" borderId="69" xfId="0" applyFont="1" applyBorder="1" applyAlignment="1">
      <alignment/>
    </xf>
    <xf numFmtId="0" fontId="39" fillId="0" borderId="0" xfId="0" applyFont="1" applyAlignment="1">
      <alignment/>
    </xf>
    <xf numFmtId="3" fontId="26" fillId="0" borderId="59" xfId="0" applyNumberFormat="1" applyFont="1" applyBorder="1" applyAlignment="1">
      <alignment horizontal="right" vertical="top" wrapText="1"/>
    </xf>
    <xf numFmtId="3" fontId="26" fillId="0" borderId="70" xfId="0" applyNumberFormat="1" applyFont="1" applyBorder="1" applyAlignment="1">
      <alignment horizontal="right" vertical="top" wrapText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39" fillId="0" borderId="0" xfId="0" applyFont="1" applyAlignment="1">
      <alignment/>
    </xf>
    <xf numFmtId="3" fontId="2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/>
    </xf>
    <xf numFmtId="0" fontId="44" fillId="0" borderId="18" xfId="0" applyFont="1" applyBorder="1" applyAlignment="1">
      <alignment horizontal="right" vertical="top" wrapText="1"/>
    </xf>
    <xf numFmtId="0" fontId="44" fillId="0" borderId="47" xfId="0" applyFont="1" applyBorder="1" applyAlignment="1">
      <alignment horizontal="right" vertical="top" wrapText="1"/>
    </xf>
    <xf numFmtId="0" fontId="15" fillId="0" borderId="40" xfId="0" applyFont="1" applyBorder="1" applyAlignment="1">
      <alignment/>
    </xf>
    <xf numFmtId="0" fontId="18" fillId="0" borderId="40" xfId="0" applyFont="1" applyBorder="1" applyAlignment="1">
      <alignment/>
    </xf>
    <xf numFmtId="0" fontId="45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74" xfId="0" applyBorder="1" applyAlignment="1">
      <alignment wrapText="1"/>
    </xf>
    <xf numFmtId="0" fontId="38" fillId="0" borderId="21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4" fontId="46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1" fillId="0" borderId="75" xfId="0" applyFont="1" applyBorder="1" applyAlignment="1">
      <alignment/>
    </xf>
    <xf numFmtId="0" fontId="1" fillId="0" borderId="76" xfId="0" applyFont="1" applyBorder="1" applyAlignment="1">
      <alignment/>
    </xf>
    <xf numFmtId="0" fontId="1" fillId="0" borderId="77" xfId="0" applyFont="1" applyBorder="1" applyAlignment="1">
      <alignment horizontal="left"/>
    </xf>
    <xf numFmtId="0" fontId="1" fillId="0" borderId="77" xfId="0" applyFont="1" applyBorder="1" applyAlignment="1">
      <alignment/>
    </xf>
    <xf numFmtId="2" fontId="1" fillId="0" borderId="78" xfId="0" applyNumberFormat="1" applyFont="1" applyBorder="1" applyAlignment="1">
      <alignment/>
    </xf>
    <xf numFmtId="0" fontId="1" fillId="0" borderId="79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29" xfId="0" applyNumberFormat="1" applyFont="1" applyBorder="1" applyAlignment="1">
      <alignment/>
    </xf>
    <xf numFmtId="0" fontId="1" fillId="0" borderId="81" xfId="0" applyFont="1" applyBorder="1" applyAlignment="1">
      <alignment/>
    </xf>
    <xf numFmtId="0" fontId="1" fillId="0" borderId="82" xfId="0" applyFont="1" applyBorder="1" applyAlignment="1">
      <alignment/>
    </xf>
    <xf numFmtId="0" fontId="1" fillId="0" borderId="83" xfId="0" applyFont="1" applyBorder="1" applyAlignment="1">
      <alignment/>
    </xf>
    <xf numFmtId="2" fontId="1" fillId="0" borderId="84" xfId="0" applyNumberFormat="1" applyFont="1" applyBorder="1" applyAlignment="1">
      <alignment horizontal="center"/>
    </xf>
    <xf numFmtId="0" fontId="0" fillId="0" borderId="85" xfId="0" applyBorder="1" applyAlignment="1">
      <alignment/>
    </xf>
    <xf numFmtId="0" fontId="5" fillId="0" borderId="86" xfId="0" applyFont="1" applyBorder="1" applyAlignment="1">
      <alignment/>
    </xf>
    <xf numFmtId="0" fontId="14" fillId="0" borderId="86" xfId="0" applyFont="1" applyBorder="1" applyAlignment="1">
      <alignment/>
    </xf>
    <xf numFmtId="2" fontId="1" fillId="0" borderId="71" xfId="0" applyNumberFormat="1" applyFont="1" applyBorder="1" applyAlignment="1">
      <alignment/>
    </xf>
    <xf numFmtId="0" fontId="0" fillId="0" borderId="73" xfId="0" applyBorder="1" applyAlignment="1">
      <alignment horizontal="right"/>
    </xf>
    <xf numFmtId="0" fontId="9" fillId="0" borderId="87" xfId="0" applyFont="1" applyBorder="1" applyAlignment="1">
      <alignment/>
    </xf>
    <xf numFmtId="2" fontId="9" fillId="0" borderId="73" xfId="0" applyNumberFormat="1" applyFont="1" applyBorder="1" applyAlignment="1">
      <alignment/>
    </xf>
    <xf numFmtId="0" fontId="9" fillId="0" borderId="87" xfId="0" applyFont="1" applyFill="1" applyBorder="1" applyAlignment="1">
      <alignment/>
    </xf>
    <xf numFmtId="49" fontId="0" fillId="0" borderId="73" xfId="0" applyNumberFormat="1" applyBorder="1" applyAlignment="1">
      <alignment horizontal="right"/>
    </xf>
    <xf numFmtId="0" fontId="0" fillId="0" borderId="79" xfId="0" applyBorder="1" applyAlignment="1">
      <alignment/>
    </xf>
    <xf numFmtId="49" fontId="0" fillId="0" borderId="80" xfId="0" applyNumberForma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80" xfId="0" applyNumberFormat="1" applyFont="1" applyBorder="1" applyAlignment="1">
      <alignment/>
    </xf>
    <xf numFmtId="0" fontId="2" fillId="0" borderId="87" xfId="0" applyFont="1" applyBorder="1" applyAlignment="1">
      <alignment/>
    </xf>
    <xf numFmtId="0" fontId="5" fillId="0" borderId="52" xfId="0" applyFont="1" applyBorder="1" applyAlignment="1">
      <alignment/>
    </xf>
    <xf numFmtId="49" fontId="5" fillId="0" borderId="88" xfId="0" applyNumberFormat="1" applyFont="1" applyBorder="1" applyAlignment="1">
      <alignment horizontal="right"/>
    </xf>
    <xf numFmtId="0" fontId="2" fillId="0" borderId="45" xfId="0" applyFont="1" applyBorder="1" applyAlignment="1">
      <alignment/>
    </xf>
    <xf numFmtId="2" fontId="9" fillId="0" borderId="88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9" fillId="0" borderId="89" xfId="0" applyNumberFormat="1" applyFont="1" applyBorder="1" applyAlignment="1">
      <alignment/>
    </xf>
    <xf numFmtId="2" fontId="9" fillId="0" borderId="82" xfId="0" applyNumberFormat="1" applyFont="1" applyBorder="1" applyAlignment="1">
      <alignment/>
    </xf>
    <xf numFmtId="49" fontId="5" fillId="0" borderId="88" xfId="0" applyNumberFormat="1" applyFont="1" applyBorder="1" applyAlignment="1">
      <alignment/>
    </xf>
    <xf numFmtId="0" fontId="1" fillId="0" borderId="85" xfId="0" applyFont="1" applyBorder="1" applyAlignment="1">
      <alignment/>
    </xf>
    <xf numFmtId="0" fontId="1" fillId="0" borderId="71" xfId="0" applyFont="1" applyBorder="1" applyAlignment="1">
      <alignment/>
    </xf>
    <xf numFmtId="0" fontId="2" fillId="0" borderId="86" xfId="0" applyFont="1" applyBorder="1" applyAlignment="1">
      <alignment/>
    </xf>
    <xf numFmtId="2" fontId="9" fillId="0" borderId="90" xfId="0" applyNumberFormat="1" applyFont="1" applyBorder="1" applyAlignment="1">
      <alignment/>
    </xf>
    <xf numFmtId="49" fontId="5" fillId="0" borderId="52" xfId="0" applyNumberFormat="1" applyFont="1" applyBorder="1" applyAlignment="1">
      <alignment/>
    </xf>
    <xf numFmtId="0" fontId="5" fillId="0" borderId="88" xfId="0" applyFont="1" applyBorder="1" applyAlignment="1">
      <alignment/>
    </xf>
    <xf numFmtId="0" fontId="8" fillId="0" borderId="0" xfId="0" applyFont="1" applyAlignment="1">
      <alignment/>
    </xf>
    <xf numFmtId="3" fontId="47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3" fontId="47" fillId="0" borderId="91" xfId="0" applyNumberFormat="1" applyFont="1" applyBorder="1" applyAlignment="1">
      <alignment/>
    </xf>
    <xf numFmtId="3" fontId="47" fillId="0" borderId="92" xfId="0" applyNumberFormat="1" applyFont="1" applyBorder="1" applyAlignment="1">
      <alignment/>
    </xf>
    <xf numFmtId="3" fontId="47" fillId="0" borderId="9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47" fillId="0" borderId="93" xfId="0" applyNumberFormat="1" applyFont="1" applyFill="1" applyBorder="1" applyAlignment="1">
      <alignment/>
    </xf>
    <xf numFmtId="3" fontId="2" fillId="0" borderId="94" xfId="0" applyNumberFormat="1" applyFont="1" applyBorder="1" applyAlignment="1">
      <alignment/>
    </xf>
    <xf numFmtId="3" fontId="47" fillId="0" borderId="9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7" fillId="0" borderId="94" xfId="0" applyFont="1" applyBorder="1" applyAlignment="1">
      <alignment/>
    </xf>
    <xf numFmtId="3" fontId="47" fillId="0" borderId="96" xfId="0" applyNumberFormat="1" applyFont="1" applyFill="1" applyBorder="1" applyAlignment="1">
      <alignment/>
    </xf>
    <xf numFmtId="3" fontId="47" fillId="0" borderId="9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8" fillId="0" borderId="97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98" xfId="0" applyFont="1" applyBorder="1" applyAlignment="1">
      <alignment wrapText="1"/>
    </xf>
    <xf numFmtId="0" fontId="0" fillId="0" borderId="99" xfId="0" applyBorder="1" applyAlignment="1">
      <alignment wrapText="1"/>
    </xf>
    <xf numFmtId="0" fontId="0" fillId="0" borderId="100" xfId="0" applyBorder="1" applyAlignment="1">
      <alignment wrapText="1"/>
    </xf>
    <xf numFmtId="0" fontId="0" fillId="0" borderId="101" xfId="0" applyBorder="1" applyAlignment="1">
      <alignment wrapText="1"/>
    </xf>
    <xf numFmtId="0" fontId="8" fillId="0" borderId="101" xfId="0" applyFont="1" applyBorder="1" applyAlignment="1">
      <alignment wrapText="1"/>
    </xf>
    <xf numFmtId="0" fontId="0" fillId="0" borderId="102" xfId="0" applyBorder="1" applyAlignment="1">
      <alignment wrapText="1"/>
    </xf>
    <xf numFmtId="0" fontId="5" fillId="0" borderId="103" xfId="0" applyFont="1" applyBorder="1" applyAlignment="1">
      <alignment wrapText="1"/>
    </xf>
    <xf numFmtId="0" fontId="5" fillId="0" borderId="100" xfId="0" applyFont="1" applyBorder="1" applyAlignment="1">
      <alignment wrapText="1"/>
    </xf>
    <xf numFmtId="0" fontId="0" fillId="0" borderId="104" xfId="0" applyBorder="1" applyAlignment="1">
      <alignment wrapText="1"/>
    </xf>
    <xf numFmtId="0" fontId="8" fillId="0" borderId="100" xfId="0" applyFont="1" applyBorder="1" applyAlignment="1">
      <alignment wrapText="1"/>
    </xf>
    <xf numFmtId="0" fontId="8" fillId="0" borderId="104" xfId="0" applyFont="1" applyBorder="1" applyAlignment="1">
      <alignment wrapText="1"/>
    </xf>
    <xf numFmtId="3" fontId="8" fillId="0" borderId="104" xfId="0" applyNumberFormat="1" applyFont="1" applyBorder="1" applyAlignment="1">
      <alignment wrapText="1"/>
    </xf>
    <xf numFmtId="0" fontId="36" fillId="0" borderId="101" xfId="0" applyFont="1" applyBorder="1" applyAlignment="1">
      <alignment wrapText="1"/>
    </xf>
    <xf numFmtId="3" fontId="5" fillId="0" borderId="103" xfId="0" applyNumberFormat="1" applyFont="1" applyBorder="1" applyAlignment="1">
      <alignment wrapText="1"/>
    </xf>
    <xf numFmtId="0" fontId="2" fillId="0" borderId="105" xfId="0" applyFont="1" applyBorder="1" applyAlignment="1">
      <alignment wrapText="1"/>
    </xf>
    <xf numFmtId="0" fontId="9" fillId="0" borderId="106" xfId="0" applyFont="1" applyBorder="1" applyAlignment="1">
      <alignment/>
    </xf>
    <xf numFmtId="3" fontId="2" fillId="0" borderId="107" xfId="0" applyNumberFormat="1" applyFont="1" applyBorder="1" applyAlignment="1">
      <alignment/>
    </xf>
    <xf numFmtId="3" fontId="2" fillId="0" borderId="108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09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33" borderId="18" xfId="0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12" fillId="0" borderId="18" xfId="0" applyNumberFormat="1" applyFont="1" applyBorder="1" applyAlignment="1">
      <alignment/>
    </xf>
    <xf numFmtId="0" fontId="9" fillId="0" borderId="18" xfId="0" applyFont="1" applyFill="1" applyBorder="1" applyAlignment="1">
      <alignment/>
    </xf>
    <xf numFmtId="3" fontId="40" fillId="0" borderId="18" xfId="0" applyNumberFormat="1" applyFont="1" applyBorder="1" applyAlignment="1">
      <alignment/>
    </xf>
    <xf numFmtId="0" fontId="13" fillId="0" borderId="18" xfId="0" applyFont="1" applyBorder="1" applyAlignment="1">
      <alignment/>
    </xf>
    <xf numFmtId="3" fontId="43" fillId="0" borderId="18" xfId="0" applyNumberFormat="1" applyFont="1" applyBorder="1" applyAlignment="1">
      <alignment/>
    </xf>
    <xf numFmtId="0" fontId="2" fillId="0" borderId="85" xfId="0" applyFont="1" applyBorder="1" applyAlignment="1">
      <alignment horizontal="center"/>
    </xf>
    <xf numFmtId="0" fontId="9" fillId="33" borderId="15" xfId="0" applyFont="1" applyFill="1" applyBorder="1" applyAlignment="1">
      <alignment/>
    </xf>
    <xf numFmtId="14" fontId="9" fillId="0" borderId="15" xfId="0" applyNumberFormat="1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4" borderId="71" xfId="0" applyFont="1" applyFill="1" applyBorder="1" applyAlignment="1">
      <alignment/>
    </xf>
    <xf numFmtId="0" fontId="2" fillId="0" borderId="72" xfId="0" applyFont="1" applyBorder="1" applyAlignment="1">
      <alignment/>
    </xf>
    <xf numFmtId="0" fontId="2" fillId="34" borderId="73" xfId="0" applyFont="1" applyFill="1" applyBorder="1" applyAlignment="1">
      <alignment/>
    </xf>
    <xf numFmtId="3" fontId="2" fillId="34" borderId="73" xfId="0" applyNumberFormat="1" applyFont="1" applyFill="1" applyBorder="1" applyAlignment="1">
      <alignment/>
    </xf>
    <xf numFmtId="0" fontId="9" fillId="0" borderId="72" xfId="0" applyFont="1" applyBorder="1" applyAlignment="1">
      <alignment/>
    </xf>
    <xf numFmtId="0" fontId="9" fillId="0" borderId="72" xfId="0" applyFont="1" applyFill="1" applyBorder="1" applyAlignment="1">
      <alignment/>
    </xf>
    <xf numFmtId="0" fontId="13" fillId="0" borderId="72" xfId="0" applyFont="1" applyFill="1" applyBorder="1" applyAlignment="1">
      <alignment/>
    </xf>
    <xf numFmtId="0" fontId="13" fillId="0" borderId="72" xfId="0" applyFont="1" applyBorder="1" applyAlignment="1">
      <alignment/>
    </xf>
    <xf numFmtId="0" fontId="2" fillId="0" borderId="72" xfId="0" applyFont="1" applyFill="1" applyBorder="1" applyAlignment="1">
      <alignment/>
    </xf>
    <xf numFmtId="0" fontId="2" fillId="0" borderId="112" xfId="0" applyFont="1" applyBorder="1" applyAlignment="1">
      <alignment/>
    </xf>
    <xf numFmtId="3" fontId="2" fillId="0" borderId="57" xfId="0" applyNumberFormat="1" applyFont="1" applyBorder="1" applyAlignment="1">
      <alignment/>
    </xf>
    <xf numFmtId="3" fontId="2" fillId="34" borderId="89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1" fontId="2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1" fontId="9" fillId="0" borderId="15" xfId="0" applyNumberFormat="1" applyFont="1" applyBorder="1" applyAlignment="1">
      <alignment wrapText="1"/>
    </xf>
    <xf numFmtId="1" fontId="2" fillId="0" borderId="18" xfId="0" applyNumberFormat="1" applyFont="1" applyBorder="1" applyAlignment="1">
      <alignment wrapText="1"/>
    </xf>
    <xf numFmtId="1" fontId="2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 wrapText="1"/>
    </xf>
    <xf numFmtId="1" fontId="9" fillId="0" borderId="18" xfId="0" applyNumberFormat="1" applyFont="1" applyBorder="1" applyAlignment="1">
      <alignment/>
    </xf>
    <xf numFmtId="1" fontId="12" fillId="0" borderId="18" xfId="0" applyNumberFormat="1" applyFont="1" applyBorder="1" applyAlignment="1">
      <alignment wrapText="1"/>
    </xf>
    <xf numFmtId="1" fontId="2" fillId="0" borderId="57" xfId="0" applyNumberFormat="1" applyFont="1" applyBorder="1" applyAlignment="1">
      <alignment/>
    </xf>
    <xf numFmtId="2" fontId="2" fillId="0" borderId="72" xfId="0" applyNumberFormat="1" applyFont="1" applyBorder="1" applyAlignment="1">
      <alignment wrapText="1"/>
    </xf>
    <xf numFmtId="2" fontId="2" fillId="0" borderId="18" xfId="0" applyNumberFormat="1" applyFont="1" applyBorder="1" applyAlignment="1">
      <alignment wrapText="1"/>
    </xf>
    <xf numFmtId="2" fontId="2" fillId="33" borderId="18" xfId="0" applyNumberFormat="1" applyFont="1" applyFill="1" applyBorder="1" applyAlignment="1">
      <alignment wrapText="1"/>
    </xf>
    <xf numFmtId="2" fontId="2" fillId="34" borderId="73" xfId="0" applyNumberFormat="1" applyFont="1" applyFill="1" applyBorder="1" applyAlignment="1">
      <alignment wrapText="1"/>
    </xf>
    <xf numFmtId="2" fontId="9" fillId="0" borderId="113" xfId="0" applyNumberFormat="1" applyFont="1" applyBorder="1" applyAlignment="1">
      <alignment wrapText="1"/>
    </xf>
    <xf numFmtId="2" fontId="9" fillId="0" borderId="113" xfId="0" applyNumberFormat="1" applyFont="1" applyFill="1" applyBorder="1" applyAlignment="1">
      <alignment wrapText="1"/>
    </xf>
    <xf numFmtId="2" fontId="9" fillId="0" borderId="0" xfId="0" applyNumberFormat="1" applyFont="1" applyAlignment="1">
      <alignment wrapText="1"/>
    </xf>
    <xf numFmtId="0" fontId="22" fillId="0" borderId="0" xfId="0" applyFont="1" applyAlignment="1">
      <alignment horizontal="left"/>
    </xf>
    <xf numFmtId="0" fontId="38" fillId="0" borderId="85" xfId="0" applyFont="1" applyBorder="1" applyAlignment="1">
      <alignment/>
    </xf>
    <xf numFmtId="0" fontId="0" fillId="0" borderId="15" xfId="0" applyBorder="1" applyAlignment="1">
      <alignment/>
    </xf>
    <xf numFmtId="3" fontId="1" fillId="0" borderId="71" xfId="0" applyNumberFormat="1" applyFont="1" applyBorder="1" applyAlignment="1">
      <alignment/>
    </xf>
    <xf numFmtId="0" fontId="0" fillId="0" borderId="77" xfId="0" applyBorder="1" applyAlignment="1">
      <alignment/>
    </xf>
    <xf numFmtId="3" fontId="1" fillId="0" borderId="114" xfId="0" applyNumberFormat="1" applyFont="1" applyBorder="1" applyAlignment="1">
      <alignment/>
    </xf>
    <xf numFmtId="0" fontId="38" fillId="0" borderId="72" xfId="0" applyFont="1" applyBorder="1" applyAlignment="1">
      <alignment/>
    </xf>
    <xf numFmtId="0" fontId="38" fillId="0" borderId="18" xfId="0" applyFont="1" applyBorder="1" applyAlignment="1">
      <alignment horizontal="center"/>
    </xf>
    <xf numFmtId="3" fontId="38" fillId="0" borderId="73" xfId="0" applyNumberFormat="1" applyFont="1" applyFill="1" applyBorder="1" applyAlignment="1">
      <alignment horizontal="center"/>
    </xf>
    <xf numFmtId="3" fontId="38" fillId="0" borderId="59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0" fontId="37" fillId="0" borderId="72" xfId="0" applyFont="1" applyBorder="1" applyAlignment="1">
      <alignment/>
    </xf>
    <xf numFmtId="0" fontId="37" fillId="35" borderId="72" xfId="0" applyFont="1" applyFill="1" applyBorder="1" applyAlignment="1">
      <alignment/>
    </xf>
    <xf numFmtId="0" fontId="0" fillId="36" borderId="18" xfId="0" applyFill="1" applyBorder="1" applyAlignment="1">
      <alignment/>
    </xf>
    <xf numFmtId="3" fontId="1" fillId="36" borderId="73" xfId="0" applyNumberFormat="1" applyFont="1" applyFill="1" applyBorder="1" applyAlignment="1">
      <alignment/>
    </xf>
    <xf numFmtId="0" fontId="0" fillId="36" borderId="21" xfId="0" applyFill="1" applyBorder="1" applyAlignment="1">
      <alignment wrapText="1"/>
    </xf>
    <xf numFmtId="0" fontId="0" fillId="36" borderId="0" xfId="0" applyFill="1" applyBorder="1" applyAlignment="1">
      <alignment/>
    </xf>
    <xf numFmtId="3" fontId="1" fillId="36" borderId="59" xfId="0" applyNumberFormat="1" applyFont="1" applyFill="1" applyBorder="1" applyAlignment="1">
      <alignment/>
    </xf>
    <xf numFmtId="0" fontId="0" fillId="36" borderId="73" xfId="0" applyFill="1" applyBorder="1" applyAlignment="1">
      <alignment/>
    </xf>
    <xf numFmtId="0" fontId="38" fillId="35" borderId="72" xfId="0" applyFont="1" applyFill="1" applyBorder="1" applyAlignment="1">
      <alignment/>
    </xf>
    <xf numFmtId="0" fontId="0" fillId="36" borderId="72" xfId="0" applyFill="1" applyBorder="1" applyAlignment="1">
      <alignment/>
    </xf>
    <xf numFmtId="3" fontId="49" fillId="36" borderId="73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49" fillId="36" borderId="59" xfId="0" applyNumberFormat="1" applyFont="1" applyFill="1" applyBorder="1" applyAlignment="1">
      <alignment/>
    </xf>
    <xf numFmtId="3" fontId="0" fillId="36" borderId="18" xfId="0" applyNumberFormat="1" applyFill="1" applyBorder="1" applyAlignment="1">
      <alignment/>
    </xf>
    <xf numFmtId="0" fontId="50" fillId="35" borderId="72" xfId="0" applyFont="1" applyFill="1" applyBorder="1" applyAlignment="1">
      <alignment/>
    </xf>
    <xf numFmtId="3" fontId="51" fillId="35" borderId="18" xfId="0" applyNumberFormat="1" applyFont="1" applyFill="1" applyBorder="1" applyAlignment="1">
      <alignment/>
    </xf>
    <xf numFmtId="0" fontId="39" fillId="36" borderId="18" xfId="0" applyFont="1" applyFill="1" applyBorder="1" applyAlignment="1">
      <alignment/>
    </xf>
    <xf numFmtId="3" fontId="52" fillId="36" borderId="73" xfId="0" applyNumberFormat="1" applyFont="1" applyFill="1" applyBorder="1" applyAlignment="1">
      <alignment/>
    </xf>
    <xf numFmtId="0" fontId="39" fillId="36" borderId="21" xfId="0" applyFont="1" applyFill="1" applyBorder="1" applyAlignment="1">
      <alignment wrapText="1"/>
    </xf>
    <xf numFmtId="0" fontId="39" fillId="36" borderId="0" xfId="0" applyFont="1" applyFill="1" applyBorder="1" applyAlignment="1">
      <alignment/>
    </xf>
    <xf numFmtId="3" fontId="52" fillId="36" borderId="59" xfId="0" applyNumberFormat="1" applyFont="1" applyFill="1" applyBorder="1" applyAlignment="1">
      <alignment/>
    </xf>
    <xf numFmtId="0" fontId="39" fillId="36" borderId="73" xfId="0" applyFont="1" applyFill="1" applyBorder="1" applyAlignment="1">
      <alignment/>
    </xf>
    <xf numFmtId="0" fontId="53" fillId="35" borderId="72" xfId="0" applyFont="1" applyFill="1" applyBorder="1" applyAlignment="1">
      <alignment/>
    </xf>
    <xf numFmtId="0" fontId="51" fillId="35" borderId="72" xfId="0" applyFont="1" applyFill="1" applyBorder="1" applyAlignment="1">
      <alignment/>
    </xf>
    <xf numFmtId="0" fontId="37" fillId="37" borderId="72" xfId="0" applyFont="1" applyFill="1" applyBorder="1" applyAlignment="1">
      <alignment/>
    </xf>
    <xf numFmtId="0" fontId="0" fillId="34" borderId="18" xfId="0" applyFill="1" applyBorder="1" applyAlignment="1">
      <alignment/>
    </xf>
    <xf numFmtId="3" fontId="1" fillId="34" borderId="73" xfId="0" applyNumberFormat="1" applyFont="1" applyFill="1" applyBorder="1" applyAlignment="1">
      <alignment/>
    </xf>
    <xf numFmtId="0" fontId="0" fillId="34" borderId="21" xfId="0" applyFill="1" applyBorder="1" applyAlignment="1">
      <alignment wrapText="1"/>
    </xf>
    <xf numFmtId="0" fontId="0" fillId="34" borderId="0" xfId="0" applyFill="1" applyBorder="1" applyAlignment="1">
      <alignment/>
    </xf>
    <xf numFmtId="3" fontId="1" fillId="34" borderId="59" xfId="0" applyNumberFormat="1" applyFont="1" applyFill="1" applyBorder="1" applyAlignment="1">
      <alignment/>
    </xf>
    <xf numFmtId="3" fontId="0" fillId="34" borderId="18" xfId="0" applyNumberFormat="1" applyFill="1" applyBorder="1" applyAlignment="1">
      <alignment/>
    </xf>
    <xf numFmtId="0" fontId="0" fillId="34" borderId="73" xfId="0" applyFill="1" applyBorder="1" applyAlignment="1">
      <alignment/>
    </xf>
    <xf numFmtId="0" fontId="51" fillId="37" borderId="72" xfId="0" applyFont="1" applyFill="1" applyBorder="1" applyAlignment="1">
      <alignment/>
    </xf>
    <xf numFmtId="3" fontId="49" fillId="34" borderId="73" xfId="0" applyNumberFormat="1" applyFont="1" applyFill="1" applyBorder="1" applyAlignment="1">
      <alignment/>
    </xf>
    <xf numFmtId="3" fontId="49" fillId="34" borderId="59" xfId="0" applyNumberFormat="1" applyFont="1" applyFill="1" applyBorder="1" applyAlignment="1">
      <alignment/>
    </xf>
    <xf numFmtId="0" fontId="38" fillId="37" borderId="72" xfId="0" applyFont="1" applyFill="1" applyBorder="1" applyAlignment="1">
      <alignment/>
    </xf>
    <xf numFmtId="165" fontId="51" fillId="37" borderId="18" xfId="0" applyNumberFormat="1" applyFont="1" applyFill="1" applyBorder="1" applyAlignment="1">
      <alignment/>
    </xf>
    <xf numFmtId="3" fontId="51" fillId="37" borderId="18" xfId="0" applyNumberFormat="1" applyFont="1" applyFill="1" applyBorder="1" applyAlignment="1">
      <alignment/>
    </xf>
    <xf numFmtId="3" fontId="54" fillId="37" borderId="73" xfId="0" applyNumberFormat="1" applyFont="1" applyFill="1" applyBorder="1" applyAlignment="1">
      <alignment/>
    </xf>
    <xf numFmtId="3" fontId="54" fillId="37" borderId="59" xfId="0" applyNumberFormat="1" applyFont="1" applyFill="1" applyBorder="1" applyAlignment="1">
      <alignment/>
    </xf>
    <xf numFmtId="0" fontId="53" fillId="37" borderId="72" xfId="0" applyFont="1" applyFill="1" applyBorder="1" applyAlignment="1">
      <alignment/>
    </xf>
    <xf numFmtId="3" fontId="55" fillId="37" borderId="73" xfId="0" applyNumberFormat="1" applyFont="1" applyFill="1" applyBorder="1" applyAlignment="1">
      <alignment/>
    </xf>
    <xf numFmtId="3" fontId="55" fillId="37" borderId="59" xfId="0" applyNumberFormat="1" applyFont="1" applyFill="1" applyBorder="1" applyAlignment="1">
      <alignment/>
    </xf>
    <xf numFmtId="3" fontId="56" fillId="37" borderId="18" xfId="0" applyNumberFormat="1" applyFont="1" applyFill="1" applyBorder="1" applyAlignment="1">
      <alignment horizontal="center"/>
    </xf>
    <xf numFmtId="3" fontId="37" fillId="37" borderId="73" xfId="0" applyNumberFormat="1" applyFont="1" applyFill="1" applyBorder="1" applyAlignment="1">
      <alignment/>
    </xf>
    <xf numFmtId="3" fontId="37" fillId="37" borderId="59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3" fontId="49" fillId="33" borderId="73" xfId="0" applyNumberFormat="1" applyFont="1" applyFill="1" applyBorder="1" applyAlignment="1">
      <alignment/>
    </xf>
    <xf numFmtId="0" fontId="0" fillId="33" borderId="21" xfId="0" applyFill="1" applyBorder="1" applyAlignment="1">
      <alignment wrapText="1"/>
    </xf>
    <xf numFmtId="0" fontId="0" fillId="33" borderId="0" xfId="0" applyFill="1" applyBorder="1" applyAlignment="1">
      <alignment/>
    </xf>
    <xf numFmtId="3" fontId="49" fillId="33" borderId="59" xfId="0" applyNumberFormat="1" applyFont="1" applyFill="1" applyBorder="1" applyAlignment="1">
      <alignment/>
    </xf>
    <xf numFmtId="0" fontId="0" fillId="33" borderId="73" xfId="0" applyFill="1" applyBorder="1" applyAlignment="1">
      <alignment/>
    </xf>
    <xf numFmtId="0" fontId="53" fillId="38" borderId="72" xfId="0" applyFont="1" applyFill="1" applyBorder="1" applyAlignment="1">
      <alignment/>
    </xf>
    <xf numFmtId="3" fontId="1" fillId="33" borderId="73" xfId="0" applyNumberFormat="1" applyFont="1" applyFill="1" applyBorder="1" applyAlignment="1">
      <alignment/>
    </xf>
    <xf numFmtId="3" fontId="1" fillId="33" borderId="59" xfId="0" applyNumberFormat="1" applyFont="1" applyFill="1" applyBorder="1" applyAlignment="1">
      <alignment/>
    </xf>
    <xf numFmtId="0" fontId="37" fillId="38" borderId="72" xfId="0" applyFont="1" applyFill="1" applyBorder="1" applyAlignment="1">
      <alignment/>
    </xf>
    <xf numFmtId="0" fontId="37" fillId="38" borderId="115" xfId="0" applyFont="1" applyFill="1" applyBorder="1" applyAlignment="1">
      <alignment/>
    </xf>
    <xf numFmtId="0" fontId="0" fillId="33" borderId="116" xfId="0" applyFill="1" applyBorder="1" applyAlignment="1">
      <alignment/>
    </xf>
    <xf numFmtId="0" fontId="0" fillId="33" borderId="70" xfId="0" applyFill="1" applyBorder="1" applyAlignment="1">
      <alignment/>
    </xf>
    <xf numFmtId="3" fontId="1" fillId="33" borderId="116" xfId="0" applyNumberFormat="1" applyFont="1" applyFill="1" applyBorder="1" applyAlignment="1">
      <alignment/>
    </xf>
    <xf numFmtId="0" fontId="0" fillId="33" borderId="29" xfId="0" applyFill="1" applyBorder="1" applyAlignment="1">
      <alignment wrapText="1"/>
    </xf>
    <xf numFmtId="3" fontId="1" fillId="33" borderId="70" xfId="0" applyNumberFormat="1" applyFont="1" applyFill="1" applyBorder="1" applyAlignment="1">
      <alignment/>
    </xf>
    <xf numFmtId="0" fontId="0" fillId="33" borderId="117" xfId="0" applyFill="1" applyBorder="1" applyAlignment="1">
      <alignment/>
    </xf>
    <xf numFmtId="0" fontId="4" fillId="36" borderId="72" xfId="0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0" fontId="0" fillId="36" borderId="18" xfId="0" applyFill="1" applyBorder="1" applyAlignment="1">
      <alignment wrapText="1"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33" borderId="15" xfId="0" applyFont="1" applyFill="1" applyBorder="1" applyAlignment="1">
      <alignment/>
    </xf>
    <xf numFmtId="2" fontId="43" fillId="33" borderId="18" xfId="0" applyNumberFormat="1" applyFont="1" applyFill="1" applyBorder="1" applyAlignment="1">
      <alignment wrapText="1"/>
    </xf>
    <xf numFmtId="0" fontId="43" fillId="33" borderId="18" xfId="0" applyFont="1" applyFill="1" applyBorder="1" applyAlignment="1">
      <alignment/>
    </xf>
    <xf numFmtId="3" fontId="43" fillId="33" borderId="18" xfId="0" applyNumberFormat="1" applyFont="1" applyFill="1" applyBorder="1" applyAlignment="1">
      <alignment/>
    </xf>
    <xf numFmtId="0" fontId="40" fillId="33" borderId="18" xfId="0" applyFont="1" applyFill="1" applyBorder="1" applyAlignment="1">
      <alignment/>
    </xf>
    <xf numFmtId="3" fontId="57" fillId="33" borderId="18" xfId="0" applyNumberFormat="1" applyFont="1" applyFill="1" applyBorder="1" applyAlignment="1">
      <alignment/>
    </xf>
    <xf numFmtId="3" fontId="43" fillId="33" borderId="57" xfId="0" applyNumberFormat="1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5" xfId="0" applyFont="1" applyBorder="1" applyAlignment="1">
      <alignment/>
    </xf>
    <xf numFmtId="2" fontId="43" fillId="0" borderId="18" xfId="0" applyNumberFormat="1" applyFont="1" applyBorder="1" applyAlignment="1">
      <alignment wrapText="1"/>
    </xf>
    <xf numFmtId="0" fontId="43" fillId="0" borderId="18" xfId="0" applyFont="1" applyBorder="1" applyAlignment="1">
      <alignment/>
    </xf>
    <xf numFmtId="3" fontId="57" fillId="0" borderId="18" xfId="0" applyNumberFormat="1" applyFont="1" applyBorder="1" applyAlignment="1">
      <alignment/>
    </xf>
    <xf numFmtId="0" fontId="40" fillId="0" borderId="18" xfId="0" applyFont="1" applyBorder="1" applyAlignment="1">
      <alignment/>
    </xf>
    <xf numFmtId="3" fontId="43" fillId="0" borderId="57" xfId="0" applyNumberFormat="1" applyFont="1" applyBorder="1" applyAlignment="1">
      <alignment/>
    </xf>
    <xf numFmtId="0" fontId="0" fillId="36" borderId="115" xfId="0" applyFill="1" applyBorder="1" applyAlignment="1">
      <alignment/>
    </xf>
    <xf numFmtId="0" fontId="0" fillId="36" borderId="116" xfId="0" applyFill="1" applyBorder="1" applyAlignment="1">
      <alignment/>
    </xf>
    <xf numFmtId="3" fontId="1" fillId="36" borderId="116" xfId="0" applyNumberFormat="1" applyFont="1" applyFill="1" applyBorder="1" applyAlignment="1">
      <alignment/>
    </xf>
    <xf numFmtId="0" fontId="0" fillId="36" borderId="116" xfId="0" applyFill="1" applyBorder="1" applyAlignment="1">
      <alignment wrapText="1"/>
    </xf>
    <xf numFmtId="0" fontId="0" fillId="36" borderId="117" xfId="0" applyFill="1" applyBorder="1" applyAlignment="1">
      <alignment/>
    </xf>
    <xf numFmtId="0" fontId="17" fillId="37" borderId="72" xfId="0" applyFont="1" applyFill="1" applyBorder="1" applyAlignment="1">
      <alignment/>
    </xf>
    <xf numFmtId="0" fontId="9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7" fillId="0" borderId="0" xfId="0" applyFont="1" applyAlignment="1">
      <alignment wrapText="1"/>
    </xf>
    <xf numFmtId="0" fontId="0" fillId="39" borderId="72" xfId="0" applyFill="1" applyBorder="1" applyAlignment="1">
      <alignment/>
    </xf>
    <xf numFmtId="0" fontId="0" fillId="39" borderId="18" xfId="0" applyFill="1" applyBorder="1" applyAlignment="1">
      <alignment/>
    </xf>
    <xf numFmtId="3" fontId="49" fillId="39" borderId="73" xfId="0" applyNumberFormat="1" applyFont="1" applyFill="1" applyBorder="1" applyAlignment="1">
      <alignment/>
    </xf>
    <xf numFmtId="0" fontId="0" fillId="39" borderId="21" xfId="0" applyFill="1" applyBorder="1" applyAlignment="1">
      <alignment wrapText="1"/>
    </xf>
    <xf numFmtId="3" fontId="0" fillId="39" borderId="0" xfId="0" applyNumberFormat="1" applyFill="1" applyBorder="1" applyAlignment="1">
      <alignment/>
    </xf>
    <xf numFmtId="0" fontId="0" fillId="39" borderId="0" xfId="0" applyFill="1" applyBorder="1" applyAlignment="1">
      <alignment/>
    </xf>
    <xf numFmtId="3" fontId="49" fillId="39" borderId="59" xfId="0" applyNumberFormat="1" applyFont="1" applyFill="1" applyBorder="1" applyAlignment="1">
      <alignment/>
    </xf>
    <xf numFmtId="0" fontId="1" fillId="36" borderId="72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6" borderId="21" xfId="0" applyFont="1" applyFill="1" applyBorder="1" applyAlignment="1">
      <alignment wrapText="1"/>
    </xf>
    <xf numFmtId="0" fontId="1" fillId="36" borderId="0" xfId="0" applyFont="1" applyFill="1" applyBorder="1" applyAlignment="1">
      <alignment/>
    </xf>
    <xf numFmtId="0" fontId="53" fillId="40" borderId="72" xfId="0" applyFont="1" applyFill="1" applyBorder="1" applyAlignment="1">
      <alignment/>
    </xf>
    <xf numFmtId="3" fontId="1" fillId="39" borderId="73" xfId="0" applyNumberFormat="1" applyFont="1" applyFill="1" applyBorder="1" applyAlignment="1">
      <alignment/>
    </xf>
    <xf numFmtId="3" fontId="0" fillId="39" borderId="18" xfId="0" applyNumberFormat="1" applyFill="1" applyBorder="1" applyAlignment="1">
      <alignment/>
    </xf>
    <xf numFmtId="0" fontId="17" fillId="40" borderId="72" xfId="0" applyFont="1" applyFill="1" applyBorder="1" applyAlignment="1">
      <alignment/>
    </xf>
    <xf numFmtId="3" fontId="51" fillId="40" borderId="18" xfId="0" applyNumberFormat="1" applyFont="1" applyFill="1" applyBorder="1" applyAlignment="1">
      <alignment/>
    </xf>
    <xf numFmtId="3" fontId="55" fillId="40" borderId="73" xfId="0" applyNumberFormat="1" applyFont="1" applyFill="1" applyBorder="1" applyAlignment="1">
      <alignment/>
    </xf>
    <xf numFmtId="3" fontId="55" fillId="40" borderId="59" xfId="0" applyNumberFormat="1" applyFont="1" applyFill="1" applyBorder="1" applyAlignment="1">
      <alignment/>
    </xf>
    <xf numFmtId="0" fontId="1" fillId="41" borderId="72" xfId="0" applyFont="1" applyFill="1" applyBorder="1" applyAlignment="1">
      <alignment/>
    </xf>
    <xf numFmtId="0" fontId="1" fillId="41" borderId="18" xfId="0" applyFont="1" applyFill="1" applyBorder="1" applyAlignment="1">
      <alignment/>
    </xf>
    <xf numFmtId="3" fontId="1" fillId="41" borderId="18" xfId="0" applyNumberFormat="1" applyFont="1" applyFill="1" applyBorder="1" applyAlignment="1">
      <alignment/>
    </xf>
    <xf numFmtId="0" fontId="1" fillId="41" borderId="18" xfId="0" applyFont="1" applyFill="1" applyBorder="1" applyAlignment="1">
      <alignment wrapText="1"/>
    </xf>
    <xf numFmtId="0" fontId="0" fillId="41" borderId="73" xfId="0" applyFont="1" applyFill="1" applyBorder="1" applyAlignment="1">
      <alignment/>
    </xf>
    <xf numFmtId="0" fontId="1" fillId="42" borderId="72" xfId="0" applyFont="1" applyFill="1" applyBorder="1" applyAlignment="1">
      <alignment/>
    </xf>
    <xf numFmtId="3" fontId="5" fillId="42" borderId="18" xfId="0" applyNumberFormat="1" applyFont="1" applyFill="1" applyBorder="1" applyAlignment="1">
      <alignment/>
    </xf>
    <xf numFmtId="3" fontId="5" fillId="42" borderId="73" xfId="0" applyNumberFormat="1" applyFont="1" applyFill="1" applyBorder="1" applyAlignment="1">
      <alignment/>
    </xf>
    <xf numFmtId="0" fontId="1" fillId="41" borderId="21" xfId="0" applyFont="1" applyFill="1" applyBorder="1" applyAlignment="1">
      <alignment wrapText="1"/>
    </xf>
    <xf numFmtId="0" fontId="1" fillId="41" borderId="0" xfId="0" applyFont="1" applyFill="1" applyBorder="1" applyAlignment="1">
      <alignment/>
    </xf>
    <xf numFmtId="3" fontId="5" fillId="42" borderId="59" xfId="0" applyNumberFormat="1" applyFont="1" applyFill="1" applyBorder="1" applyAlignment="1">
      <alignment/>
    </xf>
    <xf numFmtId="0" fontId="17" fillId="38" borderId="72" xfId="0" applyFont="1" applyFill="1" applyBorder="1" applyAlignment="1">
      <alignment/>
    </xf>
    <xf numFmtId="0" fontId="1" fillId="39" borderId="73" xfId="0" applyFont="1" applyFill="1" applyBorder="1" applyAlignment="1">
      <alignment/>
    </xf>
    <xf numFmtId="3" fontId="1" fillId="39" borderId="59" xfId="0" applyNumberFormat="1" applyFont="1" applyFill="1" applyBorder="1" applyAlignment="1">
      <alignment/>
    </xf>
    <xf numFmtId="0" fontId="39" fillId="36" borderId="112" xfId="0" applyFont="1" applyFill="1" applyBorder="1" applyAlignment="1">
      <alignment/>
    </xf>
    <xf numFmtId="0" fontId="39" fillId="36" borderId="57" xfId="0" applyFont="1" applyFill="1" applyBorder="1" applyAlignment="1">
      <alignment/>
    </xf>
    <xf numFmtId="3" fontId="52" fillId="36" borderId="57" xfId="0" applyNumberFormat="1" applyFont="1" applyFill="1" applyBorder="1" applyAlignment="1">
      <alignment/>
    </xf>
    <xf numFmtId="0" fontId="39" fillId="36" borderId="57" xfId="0" applyFont="1" applyFill="1" applyBorder="1" applyAlignment="1">
      <alignment wrapText="1"/>
    </xf>
    <xf numFmtId="0" fontId="39" fillId="36" borderId="89" xfId="0" applyFont="1" applyFill="1" applyBorder="1" applyAlignment="1">
      <alignment/>
    </xf>
    <xf numFmtId="0" fontId="58" fillId="0" borderId="40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100" xfId="0" applyFont="1" applyBorder="1" applyAlignment="1">
      <alignment wrapText="1"/>
    </xf>
    <xf numFmtId="0" fontId="8" fillId="0" borderId="100" xfId="0" applyFont="1" applyBorder="1" applyAlignment="1">
      <alignment wrapText="1"/>
    </xf>
    <xf numFmtId="0" fontId="1" fillId="0" borderId="118" xfId="0" applyFont="1" applyBorder="1" applyAlignment="1">
      <alignment/>
    </xf>
    <xf numFmtId="0" fontId="24" fillId="0" borderId="48" xfId="0" applyFont="1" applyBorder="1" applyAlignment="1">
      <alignment vertical="top" wrapText="1"/>
    </xf>
    <xf numFmtId="0" fontId="25" fillId="0" borderId="76" xfId="0" applyFont="1" applyBorder="1" applyAlignment="1">
      <alignment vertical="top" wrapText="1"/>
    </xf>
    <xf numFmtId="0" fontId="25" fillId="0" borderId="80" xfId="0" applyFont="1" applyBorder="1" applyAlignment="1">
      <alignment vertical="top" wrapText="1"/>
    </xf>
    <xf numFmtId="0" fontId="26" fillId="0" borderId="55" xfId="0" applyFont="1" applyBorder="1" applyAlignment="1">
      <alignment vertical="top" wrapText="1"/>
    </xf>
    <xf numFmtId="0" fontId="26" fillId="0" borderId="119" xfId="0" applyFont="1" applyBorder="1" applyAlignment="1">
      <alignment horizontal="right" vertical="top" wrapText="1"/>
    </xf>
    <xf numFmtId="0" fontId="27" fillId="0" borderId="120" xfId="0" applyFont="1" applyBorder="1" applyAlignment="1">
      <alignment vertical="top" wrapText="1"/>
    </xf>
    <xf numFmtId="0" fontId="27" fillId="0" borderId="121" xfId="0" applyFont="1" applyBorder="1" applyAlignment="1">
      <alignment horizontal="right" vertical="top" wrapText="1"/>
    </xf>
    <xf numFmtId="0" fontId="24" fillId="0" borderId="55" xfId="0" applyFont="1" applyBorder="1" applyAlignment="1">
      <alignment vertical="top" wrapText="1"/>
    </xf>
    <xf numFmtId="0" fontId="26" fillId="0" borderId="73" xfId="0" applyFont="1" applyBorder="1" applyAlignment="1">
      <alignment horizontal="right" vertical="top" wrapText="1"/>
    </xf>
    <xf numFmtId="0" fontId="28" fillId="0" borderId="54" xfId="0" applyFont="1" applyBorder="1" applyAlignment="1">
      <alignment vertical="top" wrapText="1"/>
    </xf>
    <xf numFmtId="0" fontId="26" fillId="0" borderId="48" xfId="0" applyFont="1" applyBorder="1" applyAlignment="1">
      <alignment vertical="top" wrapText="1"/>
    </xf>
    <xf numFmtId="0" fontId="44" fillId="0" borderId="80" xfId="0" applyFont="1" applyBorder="1" applyAlignment="1">
      <alignment horizontal="right" vertical="top" wrapText="1"/>
    </xf>
    <xf numFmtId="0" fontId="44" fillId="0" borderId="73" xfId="0" applyFont="1" applyBorder="1" applyAlignment="1">
      <alignment horizontal="right" vertical="top" wrapText="1"/>
    </xf>
    <xf numFmtId="0" fontId="26" fillId="0" borderId="80" xfId="0" applyFont="1" applyBorder="1" applyAlignment="1">
      <alignment horizontal="right" vertical="top" wrapText="1"/>
    </xf>
    <xf numFmtId="0" fontId="14" fillId="0" borderId="73" xfId="0" applyFont="1" applyBorder="1" applyAlignment="1">
      <alignment/>
    </xf>
    <xf numFmtId="0" fontId="14" fillId="0" borderId="89" xfId="0" applyFont="1" applyBorder="1" applyAlignment="1">
      <alignment/>
    </xf>
    <xf numFmtId="0" fontId="32" fillId="0" borderId="48" xfId="0" applyFont="1" applyBorder="1" applyAlignment="1">
      <alignment horizontal="right"/>
    </xf>
    <xf numFmtId="0" fontId="0" fillId="0" borderId="29" xfId="0" applyBorder="1" applyAlignment="1">
      <alignment/>
    </xf>
    <xf numFmtId="0" fontId="22" fillId="0" borderId="48" xfId="0" applyFont="1" applyBorder="1" applyAlignment="1">
      <alignment horizontal="center"/>
    </xf>
    <xf numFmtId="0" fontId="24" fillId="0" borderId="119" xfId="0" applyFont="1" applyBorder="1" applyAlignment="1">
      <alignment horizontal="right" vertical="top" wrapText="1"/>
    </xf>
    <xf numFmtId="3" fontId="26" fillId="0" borderId="73" xfId="0" applyNumberFormat="1" applyFont="1" applyBorder="1" applyAlignment="1">
      <alignment horizontal="right" vertical="top" wrapText="1"/>
    </xf>
    <xf numFmtId="3" fontId="26" fillId="0" borderId="117" xfId="0" applyNumberFormat="1" applyFont="1" applyBorder="1" applyAlignment="1">
      <alignment horizontal="right" vertical="top" wrapText="1"/>
    </xf>
    <xf numFmtId="0" fontId="26" fillId="0" borderId="73" xfId="0" applyFont="1" applyBorder="1" applyAlignment="1">
      <alignment horizontal="right" vertical="top" wrapText="1"/>
    </xf>
    <xf numFmtId="0" fontId="26" fillId="0" borderId="80" xfId="0" applyFont="1" applyBorder="1" applyAlignment="1">
      <alignment horizontal="right" vertical="top" wrapText="1"/>
    </xf>
    <xf numFmtId="0" fontId="27" fillId="0" borderId="73" xfId="0" applyFont="1" applyBorder="1" applyAlignment="1">
      <alignment horizontal="right" vertical="top" wrapText="1"/>
    </xf>
    <xf numFmtId="0" fontId="24" fillId="0" borderId="30" xfId="0" applyFont="1" applyBorder="1" applyAlignment="1">
      <alignment horizontal="right" vertical="top" wrapText="1"/>
    </xf>
    <xf numFmtId="0" fontId="0" fillId="0" borderId="74" xfId="0" applyBorder="1" applyAlignment="1">
      <alignment/>
    </xf>
    <xf numFmtId="0" fontId="0" fillId="0" borderId="21" xfId="0" applyBorder="1" applyAlignment="1">
      <alignment/>
    </xf>
    <xf numFmtId="0" fontId="14" fillId="0" borderId="21" xfId="0" applyFont="1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4" fillId="0" borderId="44" xfId="0" applyFont="1" applyBorder="1" applyAlignment="1">
      <alignment/>
    </xf>
    <xf numFmtId="0" fontId="14" fillId="0" borderId="48" xfId="0" applyFont="1" applyBorder="1" applyAlignment="1">
      <alignment/>
    </xf>
    <xf numFmtId="3" fontId="26" fillId="0" borderId="48" xfId="0" applyNumberFormat="1" applyFont="1" applyFill="1" applyBorder="1" applyAlignment="1">
      <alignment horizontal="right" vertical="top" wrapText="1"/>
    </xf>
    <xf numFmtId="0" fontId="0" fillId="0" borderId="46" xfId="0" applyBorder="1" applyAlignment="1">
      <alignment/>
    </xf>
    <xf numFmtId="0" fontId="4" fillId="0" borderId="23" xfId="0" applyFont="1" applyBorder="1" applyAlignment="1">
      <alignment/>
    </xf>
    <xf numFmtId="0" fontId="26" fillId="0" borderId="21" xfId="0" applyFont="1" applyFill="1" applyBorder="1" applyAlignment="1">
      <alignment horizontal="right" vertical="top" wrapText="1"/>
    </xf>
    <xf numFmtId="0" fontId="27" fillId="0" borderId="19" xfId="0" applyFont="1" applyBorder="1" applyAlignment="1">
      <alignment horizontal="right" vertical="top" wrapText="1"/>
    </xf>
    <xf numFmtId="0" fontId="39" fillId="0" borderId="21" xfId="0" applyFont="1" applyBorder="1" applyAlignment="1">
      <alignment/>
    </xf>
    <xf numFmtId="3" fontId="47" fillId="0" borderId="19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1514475</xdr:colOff>
      <xdr:row>5</xdr:row>
      <xdr:rowOff>76200</xdr:rowOff>
    </xdr:from>
    <xdr:to>
      <xdr:col>0</xdr:col>
      <xdr:colOff>1971675</xdr:colOff>
      <xdr:row>5</xdr:row>
      <xdr:rowOff>76200</xdr:rowOff>
    </xdr:to>
    <xdr:sp>
      <xdr:nvSpPr>
        <xdr:cNvPr id="1" name="Line 1"/>
        <xdr:cNvSpPr>
          <a:spLocks/>
        </xdr:cNvSpPr>
      </xdr:nvSpPr>
      <xdr:spPr>
        <a:xfrm>
          <a:off x="1514475" y="885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1600200</xdr:colOff>
      <xdr:row>6</xdr:row>
      <xdr:rowOff>152400</xdr:rowOff>
    </xdr:from>
    <xdr:to>
      <xdr:col>0</xdr:col>
      <xdr:colOff>1600200</xdr:colOff>
      <xdr:row>7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600200" y="11715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496252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152400</xdr:rowOff>
    </xdr:from>
    <xdr:to>
      <xdr:col>3</xdr:col>
      <xdr:colOff>0</xdr:colOff>
      <xdr:row>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962525" y="11715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5</xdr:row>
      <xdr:rowOff>76200</xdr:rowOff>
    </xdr:to>
    <xdr:sp>
      <xdr:nvSpPr>
        <xdr:cNvPr id="5" name="Line 5"/>
        <xdr:cNvSpPr>
          <a:spLocks/>
        </xdr:cNvSpPr>
      </xdr:nvSpPr>
      <xdr:spPr>
        <a:xfrm>
          <a:off x="4962525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152400</xdr:rowOff>
    </xdr:from>
    <xdr:to>
      <xdr:col>3</xdr:col>
      <xdr:colOff>0</xdr:colOff>
      <xdr:row>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4962525" y="11715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76200</xdr:rowOff>
    </xdr:from>
    <xdr:to>
      <xdr:col>5</xdr:col>
      <xdr:colOff>0</xdr:colOff>
      <xdr:row>5</xdr:row>
      <xdr:rowOff>76200</xdr:rowOff>
    </xdr:to>
    <xdr:sp>
      <xdr:nvSpPr>
        <xdr:cNvPr id="7" name="Line 7"/>
        <xdr:cNvSpPr>
          <a:spLocks/>
        </xdr:cNvSpPr>
      </xdr:nvSpPr>
      <xdr:spPr>
        <a:xfrm>
          <a:off x="7124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152400</xdr:rowOff>
    </xdr:from>
    <xdr:to>
      <xdr:col>5</xdr:col>
      <xdr:colOff>0</xdr:colOff>
      <xdr:row>7</xdr:row>
      <xdr:rowOff>133350</xdr:rowOff>
    </xdr:to>
    <xdr:sp>
      <xdr:nvSpPr>
        <xdr:cNvPr id="8" name="Line 8"/>
        <xdr:cNvSpPr>
          <a:spLocks/>
        </xdr:cNvSpPr>
      </xdr:nvSpPr>
      <xdr:spPr>
        <a:xfrm>
          <a:off x="7124700" y="11715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9" name="Line 9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152400</xdr:rowOff>
    </xdr:from>
    <xdr:to>
      <xdr:col>13</xdr:col>
      <xdr:colOff>0</xdr:colOff>
      <xdr:row>7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12839700" y="11715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1" name="Line 17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2" name="Line 18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3" name="Line 19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4" name="Line 20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5" name="Line 21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6" name="Line 22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7" name="Line 23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8" name="Line 24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76200</xdr:rowOff>
    </xdr:from>
    <xdr:to>
      <xdr:col>13</xdr:col>
      <xdr:colOff>0</xdr:colOff>
      <xdr:row>5</xdr:row>
      <xdr:rowOff>76200</xdr:rowOff>
    </xdr:to>
    <xdr:sp>
      <xdr:nvSpPr>
        <xdr:cNvPr id="19" name="Line 25"/>
        <xdr:cNvSpPr>
          <a:spLocks/>
        </xdr:cNvSpPr>
      </xdr:nvSpPr>
      <xdr:spPr>
        <a:xfrm>
          <a:off x="12839700" y="88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85725</xdr:rowOff>
    </xdr:from>
    <xdr:to>
      <xdr:col>13</xdr:col>
      <xdr:colOff>0</xdr:colOff>
      <xdr:row>5</xdr:row>
      <xdr:rowOff>85725</xdr:rowOff>
    </xdr:to>
    <xdr:sp>
      <xdr:nvSpPr>
        <xdr:cNvPr id="20" name="Line 27"/>
        <xdr:cNvSpPr>
          <a:spLocks/>
        </xdr:cNvSpPr>
      </xdr:nvSpPr>
      <xdr:spPr>
        <a:xfrm>
          <a:off x="128397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0.10\ivpenzugy\DOCUME~1\PENZUG~1.003\LOCALS~1\Temp\K&#233;pvisel&#337;-test&#252;let%20anyagai%20nyilv&#225;nos\2010\2010.%2002.%2019\RENDELETEK\Bev&#233;teli%20&#246;ssz%202010.%20&#233;vi%20k&#246;lts&#233;gv.%202.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tvett eszköz"/>
      <sheetName val="Lórév hozzájárulása"/>
      <sheetName val="egyéb sajátos bevétel"/>
      <sheetName val="bevételi összesen"/>
      <sheetName val="állami támogatások2010"/>
      <sheetName val="hatósági j és egyéb2010"/>
      <sheetName val="szja kiegészítés2010"/>
      <sheetName val="létszá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zoomScale="85" zoomScaleNormal="85" zoomScalePageLayoutView="0" workbookViewId="0" topLeftCell="A1">
      <pane xSplit="1" ySplit="8" topLeftCell="J18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E36" sqref="E36"/>
    </sheetView>
  </sheetViews>
  <sheetFormatPr defaultColWidth="9.140625" defaultRowHeight="12.75"/>
  <cols>
    <col min="1" max="1" width="34.7109375" style="3" customWidth="1"/>
    <col min="2" max="2" width="18.140625" style="348" customWidth="1"/>
    <col min="3" max="3" width="21.57421875" style="348" customWidth="1"/>
    <col min="4" max="4" width="22.28125" style="3" customWidth="1"/>
    <col min="5" max="5" width="10.140625" style="3" customWidth="1"/>
    <col min="6" max="7" width="11.421875" style="3" customWidth="1"/>
    <col min="8" max="8" width="11.28125" style="3" customWidth="1"/>
    <col min="9" max="10" width="11.28125" style="254" customWidth="1"/>
    <col min="11" max="11" width="9.421875" style="3" customWidth="1"/>
    <col min="12" max="12" width="8.28125" style="3" customWidth="1"/>
    <col min="13" max="13" width="11.28125" style="3" customWidth="1"/>
    <col min="14" max="14" width="12.140625" style="3" customWidth="1"/>
    <col min="15" max="15" width="10.00390625" style="3" customWidth="1"/>
    <col min="16" max="16" width="9.7109375" style="348" customWidth="1"/>
    <col min="17" max="17" width="14.421875" style="3" customWidth="1"/>
    <col min="18" max="18" width="15.7109375" style="3" hidden="1" customWidth="1"/>
    <col min="19" max="19" width="12.00390625" style="3" hidden="1" customWidth="1"/>
    <col min="20" max="20" width="0" style="3" hidden="1" customWidth="1"/>
    <col min="21" max="21" width="16.57421875" style="3" customWidth="1"/>
    <col min="22" max="16384" width="9.140625" style="3" customWidth="1"/>
  </cols>
  <sheetData>
    <row r="1" spans="1:19" ht="15.75">
      <c r="A1" s="2" t="s">
        <v>0</v>
      </c>
      <c r="D1" s="2"/>
      <c r="F1" s="2"/>
      <c r="G1" s="2"/>
      <c r="H1" s="2"/>
      <c r="I1" s="253"/>
      <c r="J1" s="253"/>
      <c r="K1" s="2"/>
      <c r="L1" s="4"/>
      <c r="M1" s="2"/>
      <c r="N1" s="4"/>
      <c r="Q1" s="4"/>
      <c r="R1" s="5"/>
      <c r="S1" s="5"/>
    </row>
    <row r="2" spans="1:19" ht="15.75">
      <c r="A2" s="2" t="s">
        <v>122</v>
      </c>
      <c r="D2" s="2"/>
      <c r="F2" s="2"/>
      <c r="G2" s="2"/>
      <c r="H2" s="2"/>
      <c r="I2" s="253"/>
      <c r="J2" s="253"/>
      <c r="K2" s="2"/>
      <c r="L2" s="2"/>
      <c r="M2" s="2"/>
      <c r="N2" s="2"/>
      <c r="Q2" s="4"/>
      <c r="R2" s="5"/>
      <c r="S2" s="5"/>
    </row>
    <row r="3" spans="1:19" ht="15.75">
      <c r="A3" s="2" t="s">
        <v>242</v>
      </c>
      <c r="F3" s="2"/>
      <c r="G3" s="2"/>
      <c r="H3" s="2"/>
      <c r="I3" s="253"/>
      <c r="J3" s="253"/>
      <c r="K3" s="2"/>
      <c r="L3" s="2"/>
      <c r="M3" s="2"/>
      <c r="O3" s="2"/>
      <c r="P3" s="349"/>
      <c r="Q3" s="2"/>
      <c r="R3" s="2"/>
      <c r="S3" s="2"/>
    </row>
    <row r="4" ht="15" hidden="1">
      <c r="B4" s="358"/>
    </row>
    <row r="5" spans="16:18" ht="16.5" thickBot="1">
      <c r="P5" s="350" t="s">
        <v>1</v>
      </c>
      <c r="Q5" s="7"/>
      <c r="R5" s="7"/>
    </row>
    <row r="6" spans="1:19" ht="16.5" thickBot="1">
      <c r="A6" s="235" t="s">
        <v>17</v>
      </c>
      <c r="B6" s="359" t="s">
        <v>15</v>
      </c>
      <c r="C6" s="359" t="s">
        <v>16</v>
      </c>
      <c r="D6" s="236" t="s">
        <v>18</v>
      </c>
      <c r="E6" s="237"/>
      <c r="F6" s="13"/>
      <c r="G6" s="13"/>
      <c r="H6" s="13"/>
      <c r="I6" s="255"/>
      <c r="J6" s="255"/>
      <c r="K6" s="13"/>
      <c r="L6" s="13"/>
      <c r="M6" s="13"/>
      <c r="N6" s="13"/>
      <c r="O6" s="238" t="s">
        <v>19</v>
      </c>
      <c r="P6" s="351" t="s">
        <v>20</v>
      </c>
      <c r="Q6" s="239" t="s">
        <v>21</v>
      </c>
      <c r="R6" s="8"/>
      <c r="S6" s="9"/>
    </row>
    <row r="7" spans="1:21" s="268" customFormat="1" ht="64.5" thickBot="1" thickTop="1">
      <c r="A7" s="262" t="s">
        <v>2</v>
      </c>
      <c r="B7" s="360" t="s">
        <v>129</v>
      </c>
      <c r="C7" s="360" t="s">
        <v>128</v>
      </c>
      <c r="D7" s="264" t="s">
        <v>13</v>
      </c>
      <c r="E7" s="263" t="s">
        <v>138</v>
      </c>
      <c r="F7" s="263" t="s">
        <v>139</v>
      </c>
      <c r="G7" s="263" t="s">
        <v>140</v>
      </c>
      <c r="H7" s="263" t="s">
        <v>166</v>
      </c>
      <c r="I7" s="263" t="s">
        <v>235</v>
      </c>
      <c r="J7" s="263" t="s">
        <v>236</v>
      </c>
      <c r="K7" s="263" t="s">
        <v>5</v>
      </c>
      <c r="L7" s="263" t="s">
        <v>180</v>
      </c>
      <c r="M7" s="263" t="s">
        <v>179</v>
      </c>
      <c r="N7" s="263" t="s">
        <v>275</v>
      </c>
      <c r="O7" s="264" t="s">
        <v>181</v>
      </c>
      <c r="P7" s="352" t="s">
        <v>65</v>
      </c>
      <c r="Q7" s="265" t="s">
        <v>11</v>
      </c>
      <c r="R7" s="266">
        <v>2011</v>
      </c>
      <c r="S7" s="267" t="s">
        <v>63</v>
      </c>
      <c r="U7" s="242" t="s">
        <v>11</v>
      </c>
    </row>
    <row r="8" spans="1:21" ht="35.25" customHeight="1" hidden="1" thickBot="1">
      <c r="A8" s="240"/>
      <c r="B8" s="361"/>
      <c r="C8" s="361"/>
      <c r="D8" s="227" t="s">
        <v>14</v>
      </c>
      <c r="E8" s="26" t="s">
        <v>6</v>
      </c>
      <c r="F8" s="26" t="s">
        <v>6</v>
      </c>
      <c r="G8" s="26"/>
      <c r="H8" s="26"/>
      <c r="I8" s="256" t="s">
        <v>172</v>
      </c>
      <c r="J8" s="256"/>
      <c r="K8" s="26"/>
      <c r="L8" s="26" t="s">
        <v>7</v>
      </c>
      <c r="M8" s="26" t="s">
        <v>8</v>
      </c>
      <c r="N8" s="26" t="s">
        <v>130</v>
      </c>
      <c r="O8" s="227" t="s">
        <v>9</v>
      </c>
      <c r="P8" s="353" t="s">
        <v>10</v>
      </c>
      <c r="Q8" s="241" t="s">
        <v>12</v>
      </c>
      <c r="R8" s="217" t="s">
        <v>22</v>
      </c>
      <c r="S8" s="10">
        <v>2009</v>
      </c>
      <c r="U8" s="242" t="s">
        <v>12</v>
      </c>
    </row>
    <row r="9" spans="1:21" ht="17.25" thickBot="1" thickTop="1">
      <c r="A9" s="240" t="s">
        <v>38</v>
      </c>
      <c r="B9" s="234">
        <f>B10+B11+B12+B13+B14</f>
        <v>24593</v>
      </c>
      <c r="C9" s="234">
        <f>C10+C11+C12+C13+C14</f>
        <v>16248</v>
      </c>
      <c r="D9" s="229">
        <f>C9+B9</f>
        <v>40841</v>
      </c>
      <c r="E9" s="228">
        <f aca="true" t="shared" si="0" ref="E9:M9">E10+E11+E12+E13+E14</f>
        <v>2540</v>
      </c>
      <c r="F9" s="228">
        <f t="shared" si="0"/>
        <v>586</v>
      </c>
      <c r="G9" s="228">
        <f t="shared" si="0"/>
        <v>0</v>
      </c>
      <c r="H9" s="228">
        <f t="shared" si="0"/>
        <v>1315</v>
      </c>
      <c r="I9" s="257">
        <f t="shared" si="0"/>
        <v>1945</v>
      </c>
      <c r="J9" s="257">
        <f t="shared" si="0"/>
        <v>80188</v>
      </c>
      <c r="K9" s="228">
        <f t="shared" si="0"/>
        <v>7066</v>
      </c>
      <c r="L9" s="228">
        <f t="shared" si="0"/>
        <v>4566</v>
      </c>
      <c r="M9" s="228">
        <f t="shared" si="0"/>
        <v>16900</v>
      </c>
      <c r="N9" s="228">
        <f>N10+N11+N12+N13+N14</f>
        <v>1300</v>
      </c>
      <c r="O9" s="229">
        <f>M9+L9+K9+F9+E9+H9+N9+I9+J9</f>
        <v>116406</v>
      </c>
      <c r="P9" s="354">
        <f>P10+P11+P12+P13+P14</f>
        <v>8057</v>
      </c>
      <c r="Q9" s="242">
        <f aca="true" t="shared" si="1" ref="Q9:Q43">P9+O9+D9</f>
        <v>165304</v>
      </c>
      <c r="R9" s="218">
        <v>174734</v>
      </c>
      <c r="S9" s="12">
        <f>Q9/R9*100</f>
        <v>94.60322547414928</v>
      </c>
      <c r="U9" s="242">
        <v>185204</v>
      </c>
    </row>
    <row r="10" spans="1:21" ht="13.5" customHeight="1" thickTop="1">
      <c r="A10" s="243" t="s">
        <v>23</v>
      </c>
      <c r="B10" s="232">
        <f>'hatósági j és egyéb2015'!E10</f>
        <v>0</v>
      </c>
      <c r="C10" s="362">
        <f>'hatósági j és egyéb2015'!C10</f>
        <v>300</v>
      </c>
      <c r="D10" s="229">
        <f aca="true" t="shared" si="2" ref="D10:D55">C10+B10</f>
        <v>300</v>
      </c>
      <c r="E10" s="16"/>
      <c r="F10" s="16"/>
      <c r="G10" s="16"/>
      <c r="H10" s="16"/>
      <c r="I10" s="258"/>
      <c r="J10" s="258"/>
      <c r="K10" s="16"/>
      <c r="L10" s="16"/>
      <c r="M10" s="16"/>
      <c r="N10" s="16"/>
      <c r="O10" s="229">
        <f aca="true" t="shared" si="3" ref="O10:O54">M10+L10+K10+F10+E10+H10+N10+I10+J10</f>
        <v>0</v>
      </c>
      <c r="P10" s="354">
        <v>0</v>
      </c>
      <c r="Q10" s="242">
        <f t="shared" si="1"/>
        <v>300</v>
      </c>
      <c r="R10" s="219">
        <v>6389</v>
      </c>
      <c r="S10" s="15">
        <f>Q10/R10*100</f>
        <v>4.695570511817185</v>
      </c>
      <c r="T10" s="3" t="s">
        <v>116</v>
      </c>
      <c r="U10" s="242">
        <v>410</v>
      </c>
    </row>
    <row r="11" spans="1:21" ht="13.5" customHeight="1">
      <c r="A11" s="243" t="s">
        <v>24</v>
      </c>
      <c r="B11" s="232">
        <f>'hatósági j és egyéb2015'!E32</f>
        <v>14404</v>
      </c>
      <c r="C11" s="232">
        <f>'hatósági j és egyéb2015'!C32</f>
        <v>13244</v>
      </c>
      <c r="D11" s="229">
        <f t="shared" si="2"/>
        <v>27648</v>
      </c>
      <c r="E11" s="29">
        <v>2540</v>
      </c>
      <c r="F11" s="29">
        <v>586</v>
      </c>
      <c r="G11" s="29"/>
      <c r="H11" s="228">
        <v>1315</v>
      </c>
      <c r="I11" s="256">
        <v>1945</v>
      </c>
      <c r="J11" s="256">
        <v>80188</v>
      </c>
      <c r="K11" s="29">
        <v>7066</v>
      </c>
      <c r="L11" s="29">
        <v>4566</v>
      </c>
      <c r="M11" s="228">
        <v>16900</v>
      </c>
      <c r="N11" s="16">
        <v>1300</v>
      </c>
      <c r="O11" s="229">
        <f>M11+L11+K11+F11+E11+H11+N11+I11+J11</f>
        <v>116406</v>
      </c>
      <c r="P11" s="354">
        <f>7892+20</f>
        <v>7912</v>
      </c>
      <c r="Q11" s="242">
        <f t="shared" si="1"/>
        <v>151966</v>
      </c>
      <c r="R11" s="220">
        <v>115592</v>
      </c>
      <c r="S11" s="18">
        <f>Q11/R11*100</f>
        <v>131.4675756107689</v>
      </c>
      <c r="T11" s="3" t="s">
        <v>116</v>
      </c>
      <c r="U11" s="242">
        <v>181240</v>
      </c>
    </row>
    <row r="12" spans="1:21" ht="13.5" customHeight="1">
      <c r="A12" s="243" t="s">
        <v>25</v>
      </c>
      <c r="B12" s="232">
        <f>6600+2376+713</f>
        <v>9689</v>
      </c>
      <c r="C12" s="232">
        <f>3000-301</f>
        <v>2699</v>
      </c>
      <c r="D12" s="229">
        <f t="shared" si="2"/>
        <v>12388</v>
      </c>
      <c r="E12" s="29"/>
      <c r="F12" s="29"/>
      <c r="G12" s="29"/>
      <c r="H12" s="29"/>
      <c r="I12" s="258"/>
      <c r="J12" s="258">
        <v>0</v>
      </c>
      <c r="K12" s="29"/>
      <c r="L12" s="29"/>
      <c r="M12" s="29"/>
      <c r="N12" s="16"/>
      <c r="O12" s="229">
        <f t="shared" si="3"/>
        <v>0</v>
      </c>
      <c r="P12" s="354">
        <v>0</v>
      </c>
      <c r="Q12" s="242">
        <f t="shared" si="1"/>
        <v>12388</v>
      </c>
      <c r="R12" s="220">
        <v>4553</v>
      </c>
      <c r="S12" s="18">
        <f aca="true" t="shared" si="4" ref="S12:S55">Q12/R12*100</f>
        <v>272.0843399956073</v>
      </c>
      <c r="U12" s="242">
        <v>2699</v>
      </c>
    </row>
    <row r="13" spans="1:21" ht="13.5" customHeight="1">
      <c r="A13" s="243" t="s">
        <v>26</v>
      </c>
      <c r="B13" s="232">
        <v>500</v>
      </c>
      <c r="C13" s="232">
        <v>5</v>
      </c>
      <c r="D13" s="229">
        <f t="shared" si="2"/>
        <v>505</v>
      </c>
      <c r="E13" s="29"/>
      <c r="F13" s="29"/>
      <c r="G13" s="29"/>
      <c r="H13" s="29"/>
      <c r="I13" s="258"/>
      <c r="J13" s="258"/>
      <c r="K13" s="29"/>
      <c r="L13" s="29"/>
      <c r="M13" s="29"/>
      <c r="N13" s="16"/>
      <c r="O13" s="229">
        <f t="shared" si="3"/>
        <v>0</v>
      </c>
      <c r="P13" s="354">
        <v>145</v>
      </c>
      <c r="Q13" s="242">
        <f t="shared" si="1"/>
        <v>650</v>
      </c>
      <c r="R13" s="220">
        <v>3735</v>
      </c>
      <c r="S13" s="18">
        <f t="shared" si="4"/>
        <v>17.402945113788487</v>
      </c>
      <c r="U13" s="242">
        <v>855</v>
      </c>
    </row>
    <row r="14" spans="1:21" ht="13.5" customHeight="1" thickBot="1">
      <c r="A14" s="244" t="s">
        <v>27</v>
      </c>
      <c r="B14" s="232"/>
      <c r="C14" s="232"/>
      <c r="D14" s="229">
        <f t="shared" si="2"/>
        <v>0</v>
      </c>
      <c r="E14" s="29"/>
      <c r="F14" s="29"/>
      <c r="G14" s="29"/>
      <c r="H14" s="29"/>
      <c r="I14" s="258"/>
      <c r="J14" s="258"/>
      <c r="K14" s="29"/>
      <c r="L14" s="29"/>
      <c r="M14" s="232"/>
      <c r="N14" s="231">
        <v>0</v>
      </c>
      <c r="O14" s="229">
        <f t="shared" si="3"/>
        <v>0</v>
      </c>
      <c r="P14" s="354">
        <v>0</v>
      </c>
      <c r="Q14" s="242">
        <f t="shared" si="1"/>
        <v>0</v>
      </c>
      <c r="R14" s="31">
        <v>44465</v>
      </c>
      <c r="S14" s="22">
        <f t="shared" si="4"/>
        <v>0</v>
      </c>
      <c r="T14" s="6"/>
      <c r="U14" s="242">
        <v>0</v>
      </c>
    </row>
    <row r="15" spans="1:21" ht="13.5" customHeight="1" thickBot="1">
      <c r="A15" s="240" t="s">
        <v>53</v>
      </c>
      <c r="B15" s="234">
        <f>B16+B29</f>
        <v>409450</v>
      </c>
      <c r="C15" s="232">
        <f>C16+C29</f>
        <v>0</v>
      </c>
      <c r="D15" s="229">
        <f t="shared" si="2"/>
        <v>409450</v>
      </c>
      <c r="E15" s="16">
        <f aca="true" t="shared" si="5" ref="E15:M15">E16+E29</f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59">
        <f t="shared" si="5"/>
        <v>0</v>
      </c>
      <c r="J15" s="259"/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>N16+N20+N26+N27</f>
        <v>0</v>
      </c>
      <c r="O15" s="229">
        <f t="shared" si="3"/>
        <v>0</v>
      </c>
      <c r="P15" s="354">
        <f>P16+P29</f>
        <v>0</v>
      </c>
      <c r="Q15" s="242">
        <f t="shared" si="1"/>
        <v>409450</v>
      </c>
      <c r="R15" s="221">
        <v>664547.37</v>
      </c>
      <c r="S15" s="24">
        <f t="shared" si="4"/>
        <v>61.61336550019</v>
      </c>
      <c r="U15" s="242">
        <v>415847</v>
      </c>
    </row>
    <row r="16" spans="1:21" ht="13.5" customHeight="1">
      <c r="A16" s="245" t="s">
        <v>42</v>
      </c>
      <c r="B16" s="232">
        <f>B17+B22+B27+B28</f>
        <v>395300</v>
      </c>
      <c r="C16" s="363">
        <f>C17+C22+C25+C27</f>
        <v>0</v>
      </c>
      <c r="D16" s="229">
        <f t="shared" si="2"/>
        <v>395300</v>
      </c>
      <c r="E16" s="29">
        <f>E17+E22+E25+E27</f>
        <v>0</v>
      </c>
      <c r="F16" s="29">
        <f>F17+F22+F25+F27</f>
        <v>0</v>
      </c>
      <c r="G16" s="29"/>
      <c r="H16" s="29"/>
      <c r="I16" s="258"/>
      <c r="J16" s="258"/>
      <c r="K16" s="29">
        <f>K17+K22+K25+K27</f>
        <v>0</v>
      </c>
      <c r="L16" s="29">
        <f>L17+L22+L25+L27</f>
        <v>0</v>
      </c>
      <c r="M16" s="29">
        <f>M17+M22+M25+M27</f>
        <v>0</v>
      </c>
      <c r="N16" s="29">
        <f>N17+N22+N27+N28</f>
        <v>0</v>
      </c>
      <c r="O16" s="229">
        <f t="shared" si="3"/>
        <v>0</v>
      </c>
      <c r="P16" s="355">
        <f>P17+P22+P25+P27</f>
        <v>0</v>
      </c>
      <c r="Q16" s="242">
        <f t="shared" si="1"/>
        <v>395300</v>
      </c>
      <c r="R16" s="222">
        <v>643222.37</v>
      </c>
      <c r="S16" s="25">
        <f t="shared" si="4"/>
        <v>61.45619593423034</v>
      </c>
      <c r="U16" s="242">
        <v>403100</v>
      </c>
    </row>
    <row r="17" spans="1:21" ht="13.5" customHeight="1">
      <c r="A17" s="240" t="s">
        <v>43</v>
      </c>
      <c r="B17" s="362">
        <f>B18+B19+B20+B21</f>
        <v>349000</v>
      </c>
      <c r="C17" s="362">
        <f>C18+C19+C20</f>
        <v>0</v>
      </c>
      <c r="D17" s="229">
        <f t="shared" si="2"/>
        <v>349000</v>
      </c>
      <c r="E17" s="29"/>
      <c r="F17" s="230">
        <f>F18+F19+F20</f>
        <v>0</v>
      </c>
      <c r="G17" s="230"/>
      <c r="H17" s="230">
        <f>H18+H19+H20</f>
        <v>0</v>
      </c>
      <c r="I17" s="260"/>
      <c r="J17" s="260"/>
      <c r="K17" s="230">
        <f>K18+K19+K20</f>
        <v>0</v>
      </c>
      <c r="L17" s="230">
        <f>L18+L19+L20</f>
        <v>0</v>
      </c>
      <c r="M17" s="230">
        <f>M18+M19+M20</f>
        <v>0</v>
      </c>
      <c r="N17" s="26"/>
      <c r="O17" s="229">
        <f t="shared" si="3"/>
        <v>0</v>
      </c>
      <c r="P17" s="356"/>
      <c r="Q17" s="242">
        <f t="shared" si="1"/>
        <v>349000</v>
      </c>
      <c r="R17" s="220">
        <v>247000</v>
      </c>
      <c r="S17" s="27">
        <f t="shared" si="4"/>
        <v>141.29554655870444</v>
      </c>
      <c r="U17" s="242">
        <v>346000</v>
      </c>
    </row>
    <row r="18" spans="1:21" ht="13.5" customHeight="1">
      <c r="A18" s="243" t="s">
        <v>44</v>
      </c>
      <c r="B18" s="232">
        <v>110000</v>
      </c>
      <c r="C18" s="234"/>
      <c r="D18" s="229">
        <f t="shared" si="2"/>
        <v>110000</v>
      </c>
      <c r="E18" s="29"/>
      <c r="F18" s="29"/>
      <c r="G18" s="29"/>
      <c r="H18" s="29"/>
      <c r="I18" s="258"/>
      <c r="J18" s="258"/>
      <c r="K18" s="29"/>
      <c r="L18" s="29"/>
      <c r="M18" s="29"/>
      <c r="N18" s="16"/>
      <c r="O18" s="229">
        <f t="shared" si="3"/>
        <v>0</v>
      </c>
      <c r="P18" s="354"/>
      <c r="Q18" s="242">
        <f t="shared" si="1"/>
        <v>110000</v>
      </c>
      <c r="R18" s="220">
        <v>66000</v>
      </c>
      <c r="S18" s="27">
        <f t="shared" si="4"/>
        <v>166.66666666666669</v>
      </c>
      <c r="U18" s="242">
        <v>107000</v>
      </c>
    </row>
    <row r="19" spans="1:21" ht="13.5" customHeight="1">
      <c r="A19" s="243" t="s">
        <v>45</v>
      </c>
      <c r="B19" s="232">
        <v>230000</v>
      </c>
      <c r="C19" s="234"/>
      <c r="D19" s="229">
        <f t="shared" si="2"/>
        <v>230000</v>
      </c>
      <c r="E19" s="29"/>
      <c r="F19" s="29"/>
      <c r="G19" s="29"/>
      <c r="H19" s="29"/>
      <c r="I19" s="258"/>
      <c r="J19" s="258"/>
      <c r="K19" s="29"/>
      <c r="L19" s="29"/>
      <c r="M19" s="29"/>
      <c r="N19" s="16"/>
      <c r="O19" s="229">
        <f t="shared" si="3"/>
        <v>0</v>
      </c>
      <c r="P19" s="354"/>
      <c r="Q19" s="242">
        <f t="shared" si="1"/>
        <v>230000</v>
      </c>
      <c r="R19" s="220">
        <v>176000</v>
      </c>
      <c r="S19" s="27">
        <f t="shared" si="4"/>
        <v>130.6818181818182</v>
      </c>
      <c r="U19" s="242">
        <v>230000</v>
      </c>
    </row>
    <row r="20" spans="1:21" ht="13.5" customHeight="1">
      <c r="A20" s="243" t="s">
        <v>46</v>
      </c>
      <c r="B20" s="232">
        <v>9000</v>
      </c>
      <c r="C20" s="232"/>
      <c r="D20" s="229">
        <f t="shared" si="2"/>
        <v>9000</v>
      </c>
      <c r="E20" s="29"/>
      <c r="F20" s="29"/>
      <c r="G20" s="29"/>
      <c r="H20" s="29"/>
      <c r="I20" s="258"/>
      <c r="J20" s="258"/>
      <c r="K20" s="29"/>
      <c r="L20" s="29"/>
      <c r="M20" s="29"/>
      <c r="N20" s="16"/>
      <c r="O20" s="229">
        <f t="shared" si="3"/>
        <v>0</v>
      </c>
      <c r="P20" s="354"/>
      <c r="Q20" s="242">
        <f t="shared" si="1"/>
        <v>9000</v>
      </c>
      <c r="R20" s="220">
        <v>5000</v>
      </c>
      <c r="S20" s="27">
        <f t="shared" si="4"/>
        <v>180</v>
      </c>
      <c r="U20" s="242">
        <v>9000</v>
      </c>
    </row>
    <row r="21" spans="1:21" ht="13.5" customHeight="1">
      <c r="A21" s="243" t="s">
        <v>67</v>
      </c>
      <c r="B21" s="232">
        <v>0</v>
      </c>
      <c r="C21" s="232"/>
      <c r="D21" s="229">
        <f t="shared" si="2"/>
        <v>0</v>
      </c>
      <c r="E21" s="29"/>
      <c r="F21" s="29"/>
      <c r="G21" s="29"/>
      <c r="H21" s="29"/>
      <c r="I21" s="258"/>
      <c r="J21" s="258"/>
      <c r="K21" s="29"/>
      <c r="L21" s="29"/>
      <c r="M21" s="29"/>
      <c r="N21" s="16"/>
      <c r="O21" s="229">
        <f t="shared" si="3"/>
        <v>0</v>
      </c>
      <c r="P21" s="354"/>
      <c r="Q21" s="242">
        <f t="shared" si="1"/>
        <v>0</v>
      </c>
      <c r="R21" s="220">
        <v>0</v>
      </c>
      <c r="S21" s="28"/>
      <c r="U21" s="242">
        <v>0</v>
      </c>
    </row>
    <row r="22" spans="1:21" ht="13.5" customHeight="1">
      <c r="A22" s="240" t="s">
        <v>47</v>
      </c>
      <c r="B22" s="362">
        <f>B23+B24+B25+B26</f>
        <v>33000</v>
      </c>
      <c r="C22" s="232">
        <f>C23+C24+C25</f>
        <v>0</v>
      </c>
      <c r="D22" s="229">
        <f t="shared" si="2"/>
        <v>33000</v>
      </c>
      <c r="E22" s="29"/>
      <c r="F22" s="29"/>
      <c r="G22" s="29"/>
      <c r="H22" s="29"/>
      <c r="I22" s="258"/>
      <c r="J22" s="258"/>
      <c r="K22" s="29"/>
      <c r="L22" s="29"/>
      <c r="M22" s="29"/>
      <c r="N22" s="230">
        <f>N23+N24+N25</f>
        <v>0</v>
      </c>
      <c r="O22" s="229">
        <f t="shared" si="3"/>
        <v>0</v>
      </c>
      <c r="P22" s="356">
        <f>P23+P24+P25</f>
        <v>0</v>
      </c>
      <c r="Q22" s="242">
        <f t="shared" si="1"/>
        <v>33000</v>
      </c>
      <c r="R22" s="220">
        <v>372446.37</v>
      </c>
      <c r="S22" s="27">
        <f t="shared" si="4"/>
        <v>8.860336053214857</v>
      </c>
      <c r="U22" s="242">
        <v>37100</v>
      </c>
    </row>
    <row r="23" spans="1:21" ht="13.5" customHeight="1">
      <c r="A23" s="243" t="s">
        <v>48</v>
      </c>
      <c r="B23" s="232">
        <v>0</v>
      </c>
      <c r="C23" s="232"/>
      <c r="D23" s="229">
        <f t="shared" si="2"/>
        <v>0</v>
      </c>
      <c r="E23" s="29"/>
      <c r="F23" s="29"/>
      <c r="G23" s="29"/>
      <c r="H23" s="29"/>
      <c r="I23" s="258"/>
      <c r="J23" s="258"/>
      <c r="K23" s="29"/>
      <c r="L23" s="29"/>
      <c r="M23" s="29"/>
      <c r="N23" s="29"/>
      <c r="O23" s="229">
        <f t="shared" si="3"/>
        <v>0</v>
      </c>
      <c r="P23" s="354"/>
      <c r="Q23" s="242">
        <f t="shared" si="1"/>
        <v>0</v>
      </c>
      <c r="R23" s="220">
        <v>279346.37</v>
      </c>
      <c r="S23" s="25">
        <f t="shared" si="4"/>
        <v>0</v>
      </c>
      <c r="T23" s="3" t="s">
        <v>116</v>
      </c>
      <c r="U23" s="242">
        <v>0</v>
      </c>
    </row>
    <row r="24" spans="1:21" ht="13.5" customHeight="1">
      <c r="A24" s="243" t="s">
        <v>49</v>
      </c>
      <c r="B24" s="232">
        <v>33000</v>
      </c>
      <c r="C24" s="232"/>
      <c r="D24" s="229">
        <f t="shared" si="2"/>
        <v>33000</v>
      </c>
      <c r="E24" s="29"/>
      <c r="F24" s="29"/>
      <c r="G24" s="29"/>
      <c r="H24" s="29"/>
      <c r="I24" s="258"/>
      <c r="J24" s="258"/>
      <c r="K24" s="29"/>
      <c r="L24" s="29"/>
      <c r="M24" s="29"/>
      <c r="N24" s="16"/>
      <c r="O24" s="229">
        <f t="shared" si="3"/>
        <v>0</v>
      </c>
      <c r="P24" s="354"/>
      <c r="Q24" s="242">
        <f t="shared" si="1"/>
        <v>33000</v>
      </c>
      <c r="R24" s="220">
        <v>93000</v>
      </c>
      <c r="S24" s="27">
        <f t="shared" si="4"/>
        <v>35.483870967741936</v>
      </c>
      <c r="U24" s="242">
        <v>37000</v>
      </c>
    </row>
    <row r="25" spans="1:21" ht="13.5" customHeight="1">
      <c r="A25" s="243" t="s">
        <v>50</v>
      </c>
      <c r="B25" s="232">
        <v>0</v>
      </c>
      <c r="C25" s="232"/>
      <c r="D25" s="229">
        <f t="shared" si="2"/>
        <v>0</v>
      </c>
      <c r="E25" s="29"/>
      <c r="F25" s="29"/>
      <c r="G25" s="29"/>
      <c r="H25" s="29"/>
      <c r="I25" s="258"/>
      <c r="J25" s="258"/>
      <c r="K25" s="29"/>
      <c r="L25" s="29"/>
      <c r="M25" s="29"/>
      <c r="N25" s="16"/>
      <c r="O25" s="229">
        <f t="shared" si="3"/>
        <v>0</v>
      </c>
      <c r="P25" s="354"/>
      <c r="Q25" s="242">
        <f t="shared" si="1"/>
        <v>0</v>
      </c>
      <c r="R25" s="220">
        <v>100</v>
      </c>
      <c r="S25" s="27">
        <f t="shared" si="4"/>
        <v>0</v>
      </c>
      <c r="U25" s="242">
        <v>100</v>
      </c>
    </row>
    <row r="26" spans="1:21" ht="13.5" customHeight="1" hidden="1">
      <c r="A26" s="243" t="s">
        <v>66</v>
      </c>
      <c r="B26" s="232">
        <v>0</v>
      </c>
      <c r="C26" s="232"/>
      <c r="D26" s="229">
        <f t="shared" si="2"/>
        <v>0</v>
      </c>
      <c r="E26" s="29"/>
      <c r="F26" s="29"/>
      <c r="G26" s="29"/>
      <c r="H26" s="29"/>
      <c r="I26" s="258"/>
      <c r="J26" s="258"/>
      <c r="K26" s="29"/>
      <c r="L26" s="29"/>
      <c r="M26" s="29"/>
      <c r="N26" s="16"/>
      <c r="O26" s="229">
        <f t="shared" si="3"/>
        <v>0</v>
      </c>
      <c r="P26" s="354"/>
      <c r="Q26" s="242">
        <f t="shared" si="1"/>
        <v>0</v>
      </c>
      <c r="R26" s="220">
        <v>0</v>
      </c>
      <c r="S26" s="28"/>
      <c r="U26" s="242">
        <v>0</v>
      </c>
    </row>
    <row r="27" spans="1:21" ht="13.5" customHeight="1">
      <c r="A27" s="240" t="s">
        <v>51</v>
      </c>
      <c r="B27" s="362">
        <v>4000</v>
      </c>
      <c r="C27" s="232"/>
      <c r="D27" s="229">
        <f t="shared" si="2"/>
        <v>4000</v>
      </c>
      <c r="E27" s="29"/>
      <c r="F27" s="29"/>
      <c r="G27" s="29"/>
      <c r="H27" s="29"/>
      <c r="I27" s="258"/>
      <c r="J27" s="258"/>
      <c r="K27" s="29"/>
      <c r="L27" s="29"/>
      <c r="M27" s="29"/>
      <c r="N27" s="26"/>
      <c r="O27" s="229">
        <f t="shared" si="3"/>
        <v>0</v>
      </c>
      <c r="P27" s="354"/>
      <c r="Q27" s="242">
        <f t="shared" si="1"/>
        <v>4000</v>
      </c>
      <c r="R27" s="220">
        <v>8176</v>
      </c>
      <c r="S27" s="27">
        <f t="shared" si="4"/>
        <v>48.92367906066536</v>
      </c>
      <c r="U27" s="242">
        <v>7000</v>
      </c>
    </row>
    <row r="28" spans="1:21" ht="13.5" customHeight="1">
      <c r="A28" s="240" t="s">
        <v>52</v>
      </c>
      <c r="B28" s="362">
        <f>'egyéb sajátos bevétel'!C15</f>
        <v>9300</v>
      </c>
      <c r="C28" s="232"/>
      <c r="D28" s="229">
        <f t="shared" si="2"/>
        <v>9300</v>
      </c>
      <c r="E28" s="29"/>
      <c r="F28" s="29"/>
      <c r="G28" s="29"/>
      <c r="H28" s="29"/>
      <c r="I28" s="258"/>
      <c r="J28" s="258"/>
      <c r="K28" s="29"/>
      <c r="L28" s="29"/>
      <c r="M28" s="29"/>
      <c r="N28" s="26"/>
      <c r="O28" s="229">
        <f t="shared" si="3"/>
        <v>0</v>
      </c>
      <c r="P28" s="354"/>
      <c r="Q28" s="242">
        <f t="shared" si="1"/>
        <v>9300</v>
      </c>
      <c r="R28" s="220">
        <v>15600</v>
      </c>
      <c r="S28" s="27">
        <f t="shared" si="4"/>
        <v>59.61538461538461</v>
      </c>
      <c r="T28" s="3" t="s">
        <v>116</v>
      </c>
      <c r="U28" s="242">
        <v>13000</v>
      </c>
    </row>
    <row r="29" spans="1:21" ht="13.5" customHeight="1" thickBot="1">
      <c r="A29" s="246" t="s">
        <v>54</v>
      </c>
      <c r="B29" s="232">
        <f>'egyéb sajátos bevétel'!C32-'egyéb sajátos bevétel'!C29</f>
        <v>14150</v>
      </c>
      <c r="C29" s="232"/>
      <c r="D29" s="229">
        <f t="shared" si="2"/>
        <v>14150</v>
      </c>
      <c r="E29" s="29"/>
      <c r="F29" s="29"/>
      <c r="G29" s="29"/>
      <c r="H29" s="29"/>
      <c r="I29" s="258"/>
      <c r="J29" s="258"/>
      <c r="K29" s="29"/>
      <c r="L29" s="29"/>
      <c r="M29" s="29"/>
      <c r="N29" s="233"/>
      <c r="O29" s="229">
        <f t="shared" si="3"/>
        <v>0</v>
      </c>
      <c r="P29" s="354"/>
      <c r="Q29" s="242">
        <f t="shared" si="1"/>
        <v>14150</v>
      </c>
      <c r="R29" s="31">
        <v>21325</v>
      </c>
      <c r="S29" s="28">
        <f t="shared" si="4"/>
        <v>66.35404454865181</v>
      </c>
      <c r="T29" s="3" t="s">
        <v>116</v>
      </c>
      <c r="U29" s="242">
        <v>12747</v>
      </c>
    </row>
    <row r="30" spans="1:21" ht="13.5" customHeight="1" thickBot="1">
      <c r="A30" s="240" t="s">
        <v>41</v>
      </c>
      <c r="B30" s="234">
        <f>B31+B36+B38+B39</f>
        <v>1617071.294</v>
      </c>
      <c r="C30" s="232">
        <f>C31+C36+C38+C39</f>
        <v>0</v>
      </c>
      <c r="D30" s="229">
        <f t="shared" si="2"/>
        <v>1617071.294</v>
      </c>
      <c r="E30" s="29">
        <f aca="true" t="shared" si="6" ref="E30:N30">E31+E36+E38+E39</f>
        <v>0</v>
      </c>
      <c r="F30" s="29">
        <f t="shared" si="6"/>
        <v>0</v>
      </c>
      <c r="G30" s="29">
        <f t="shared" si="6"/>
        <v>0</v>
      </c>
      <c r="H30" s="29">
        <f t="shared" si="6"/>
        <v>0</v>
      </c>
      <c r="I30" s="259">
        <f t="shared" si="6"/>
        <v>0</v>
      </c>
      <c r="J30" s="259">
        <f t="shared" si="6"/>
        <v>0</v>
      </c>
      <c r="K30" s="29">
        <f t="shared" si="6"/>
        <v>0</v>
      </c>
      <c r="L30" s="29">
        <f t="shared" si="6"/>
        <v>0</v>
      </c>
      <c r="M30" s="29">
        <f t="shared" si="6"/>
        <v>0</v>
      </c>
      <c r="N30" s="29">
        <f t="shared" si="6"/>
        <v>0</v>
      </c>
      <c r="O30" s="229">
        <f t="shared" si="3"/>
        <v>0</v>
      </c>
      <c r="P30" s="354">
        <f>P31+P36+P38+P39</f>
        <v>255282</v>
      </c>
      <c r="Q30" s="242">
        <f t="shared" si="1"/>
        <v>1872353.294</v>
      </c>
      <c r="R30" s="221">
        <v>1474765.378</v>
      </c>
      <c r="S30" s="24">
        <f t="shared" si="4"/>
        <v>126.95940126687731</v>
      </c>
      <c r="U30" s="242">
        <v>1910888.9456666666</v>
      </c>
    </row>
    <row r="31" spans="1:21" ht="13.5" customHeight="1">
      <c r="A31" s="240" t="s">
        <v>55</v>
      </c>
      <c r="B31" s="234">
        <f>B32+B33+B34+B35</f>
        <v>662527.294</v>
      </c>
      <c r="C31" s="234">
        <f>C32+C33+C34+C35</f>
        <v>0</v>
      </c>
      <c r="D31" s="229">
        <f t="shared" si="2"/>
        <v>662527.294</v>
      </c>
      <c r="E31" s="29"/>
      <c r="F31" s="29"/>
      <c r="G31" s="29"/>
      <c r="H31" s="29"/>
      <c r="I31" s="258"/>
      <c r="J31" s="258"/>
      <c r="K31" s="29"/>
      <c r="L31" s="29"/>
      <c r="M31" s="29"/>
      <c r="N31" s="228">
        <f>N32+N33+N34+N35</f>
        <v>0</v>
      </c>
      <c r="O31" s="229">
        <f t="shared" si="3"/>
        <v>0</v>
      </c>
      <c r="P31" s="354">
        <f>P32+P33+P34+P35</f>
        <v>0</v>
      </c>
      <c r="Q31" s="242">
        <f t="shared" si="1"/>
        <v>662527.294</v>
      </c>
      <c r="R31" s="30">
        <v>491822.878</v>
      </c>
      <c r="S31" s="25">
        <f t="shared" si="4"/>
        <v>134.70851471858535</v>
      </c>
      <c r="U31" s="242">
        <v>678422.9456666666</v>
      </c>
    </row>
    <row r="32" spans="1:21" ht="13.5" customHeight="1">
      <c r="A32" s="243" t="s">
        <v>56</v>
      </c>
      <c r="B32" s="232">
        <f>'állami támogatások2015'!N56/1000</f>
        <v>637938.294</v>
      </c>
      <c r="C32" s="232"/>
      <c r="D32" s="229">
        <f t="shared" si="2"/>
        <v>637938.294</v>
      </c>
      <c r="E32" s="29"/>
      <c r="F32" s="29"/>
      <c r="G32" s="29"/>
      <c r="H32" s="29"/>
      <c r="I32" s="258"/>
      <c r="J32" s="258"/>
      <c r="K32" s="29"/>
      <c r="L32" s="29"/>
      <c r="M32" s="29"/>
      <c r="N32" s="16"/>
      <c r="O32" s="229">
        <f t="shared" si="3"/>
        <v>0</v>
      </c>
      <c r="P32" s="354"/>
      <c r="Q32" s="242">
        <f t="shared" si="1"/>
        <v>637938.294</v>
      </c>
      <c r="R32" s="220">
        <v>490985.878</v>
      </c>
      <c r="S32" s="27">
        <f t="shared" si="4"/>
        <v>129.93006980131514</v>
      </c>
      <c r="U32" s="242">
        <v>626659.9456666666</v>
      </c>
    </row>
    <row r="33" spans="1:21" ht="13.5" customHeight="1">
      <c r="A33" s="243" t="s">
        <v>57</v>
      </c>
      <c r="B33" s="232"/>
      <c r="C33" s="232"/>
      <c r="D33" s="229">
        <f t="shared" si="2"/>
        <v>0</v>
      </c>
      <c r="E33" s="29"/>
      <c r="F33" s="29"/>
      <c r="G33" s="29"/>
      <c r="H33" s="29"/>
      <c r="I33" s="258"/>
      <c r="J33" s="258"/>
      <c r="K33" s="29"/>
      <c r="L33" s="29"/>
      <c r="M33" s="29"/>
      <c r="N33" s="16"/>
      <c r="O33" s="229">
        <f t="shared" si="3"/>
        <v>0</v>
      </c>
      <c r="P33" s="354"/>
      <c r="Q33" s="242">
        <f t="shared" si="1"/>
        <v>0</v>
      </c>
      <c r="R33" s="220">
        <v>0</v>
      </c>
      <c r="S33" s="27" t="e">
        <f t="shared" si="4"/>
        <v>#DIV/0!</v>
      </c>
      <c r="U33" s="242">
        <v>0</v>
      </c>
    </row>
    <row r="34" spans="1:21" ht="13.5" customHeight="1">
      <c r="A34" s="243" t="s">
        <v>58</v>
      </c>
      <c r="B34" s="232">
        <f>1847+4742+5000+13000</f>
        <v>24589</v>
      </c>
      <c r="C34" s="232"/>
      <c r="D34" s="229">
        <f t="shared" si="2"/>
        <v>24589</v>
      </c>
      <c r="E34" s="29"/>
      <c r="F34" s="29"/>
      <c r="G34" s="29"/>
      <c r="H34" s="29"/>
      <c r="I34" s="258"/>
      <c r="J34" s="258"/>
      <c r="K34" s="29"/>
      <c r="L34" s="29"/>
      <c r="M34" s="29"/>
      <c r="N34" s="16"/>
      <c r="O34" s="229">
        <f t="shared" si="3"/>
        <v>0</v>
      </c>
      <c r="P34" s="354"/>
      <c r="Q34" s="242">
        <f t="shared" si="1"/>
        <v>24589</v>
      </c>
      <c r="R34" s="220">
        <v>837</v>
      </c>
      <c r="S34" s="27">
        <f t="shared" si="4"/>
        <v>2937.753882915173</v>
      </c>
      <c r="U34" s="242">
        <v>51763</v>
      </c>
    </row>
    <row r="35" spans="1:21" ht="13.5" customHeight="1">
      <c r="A35" s="243" t="s">
        <v>59</v>
      </c>
      <c r="B35" s="232">
        <v>0</v>
      </c>
      <c r="C35" s="232"/>
      <c r="D35" s="229">
        <f t="shared" si="2"/>
        <v>0</v>
      </c>
      <c r="E35" s="29"/>
      <c r="F35" s="29"/>
      <c r="G35" s="29"/>
      <c r="H35" s="29"/>
      <c r="I35" s="258"/>
      <c r="J35" s="258"/>
      <c r="K35" s="29"/>
      <c r="L35" s="29"/>
      <c r="M35" s="29"/>
      <c r="N35" s="16"/>
      <c r="O35" s="229">
        <f t="shared" si="3"/>
        <v>0</v>
      </c>
      <c r="P35" s="354"/>
      <c r="Q35" s="242">
        <f t="shared" si="1"/>
        <v>0</v>
      </c>
      <c r="R35" s="220">
        <v>0</v>
      </c>
      <c r="S35" s="27"/>
      <c r="U35" s="242">
        <v>0</v>
      </c>
    </row>
    <row r="36" spans="1:21" ht="13.5" customHeight="1">
      <c r="A36" s="247" t="s">
        <v>60</v>
      </c>
      <c r="B36" s="232">
        <f>'átvett eszköz'!H18</f>
        <v>68964</v>
      </c>
      <c r="C36" s="234">
        <f>'átvett eszköz'!H11</f>
        <v>0</v>
      </c>
      <c r="D36" s="229">
        <f t="shared" si="2"/>
        <v>68964</v>
      </c>
      <c r="E36" s="29"/>
      <c r="F36" s="29">
        <v>0</v>
      </c>
      <c r="G36" s="29"/>
      <c r="H36" s="29"/>
      <c r="I36" s="258"/>
      <c r="J36" s="258"/>
      <c r="K36" s="29"/>
      <c r="L36" s="29"/>
      <c r="M36" s="29"/>
      <c r="N36" s="33"/>
      <c r="O36" s="229">
        <f t="shared" si="3"/>
        <v>0</v>
      </c>
      <c r="P36" s="354">
        <v>253340</v>
      </c>
      <c r="Q36" s="242">
        <f t="shared" si="1"/>
        <v>322304</v>
      </c>
      <c r="R36" s="220">
        <v>323579.5</v>
      </c>
      <c r="S36" s="27">
        <f t="shared" si="4"/>
        <v>99.60581557237094</v>
      </c>
      <c r="T36" s="3" t="s">
        <v>116</v>
      </c>
      <c r="U36" s="242">
        <v>305080</v>
      </c>
    </row>
    <row r="37" spans="1:21" ht="14.25" customHeight="1">
      <c r="A37" s="247" t="s">
        <v>69</v>
      </c>
      <c r="B37" s="232"/>
      <c r="C37" s="234"/>
      <c r="D37" s="229">
        <f t="shared" si="2"/>
        <v>0</v>
      </c>
      <c r="E37" s="29"/>
      <c r="F37" s="29"/>
      <c r="G37" s="29"/>
      <c r="H37" s="29"/>
      <c r="I37" s="258"/>
      <c r="J37" s="258"/>
      <c r="K37" s="29"/>
      <c r="L37" s="29"/>
      <c r="M37" s="29"/>
      <c r="N37" s="33"/>
      <c r="O37" s="229">
        <f t="shared" si="3"/>
        <v>0</v>
      </c>
      <c r="P37" s="354">
        <v>250400</v>
      </c>
      <c r="Q37" s="242">
        <f t="shared" si="1"/>
        <v>250400</v>
      </c>
      <c r="R37" s="220">
        <v>233055</v>
      </c>
      <c r="S37" s="27">
        <f t="shared" si="4"/>
        <v>107.44244920726867</v>
      </c>
      <c r="U37" s="242">
        <v>250400</v>
      </c>
    </row>
    <row r="38" spans="1:21" ht="13.5" customHeight="1">
      <c r="A38" s="247" t="s">
        <v>61</v>
      </c>
      <c r="B38" s="232">
        <f>'átvett eszköz'!H24</f>
        <v>885580</v>
      </c>
      <c r="C38" s="234"/>
      <c r="D38" s="229">
        <f t="shared" si="2"/>
        <v>885580</v>
      </c>
      <c r="E38" s="29"/>
      <c r="F38" s="29"/>
      <c r="G38" s="29"/>
      <c r="H38" s="29"/>
      <c r="I38" s="258"/>
      <c r="J38" s="258"/>
      <c r="K38" s="29"/>
      <c r="L38" s="29"/>
      <c r="M38" s="29"/>
      <c r="N38" s="33"/>
      <c r="O38" s="229">
        <f t="shared" si="3"/>
        <v>0</v>
      </c>
      <c r="P38" s="354">
        <v>1942</v>
      </c>
      <c r="Q38" s="242">
        <f t="shared" si="1"/>
        <v>887522</v>
      </c>
      <c r="R38" s="220">
        <v>659363</v>
      </c>
      <c r="S38" s="27">
        <f t="shared" si="4"/>
        <v>134.6029425369637</v>
      </c>
      <c r="T38" s="6"/>
      <c r="U38" s="242">
        <v>918123</v>
      </c>
    </row>
    <row r="39" spans="1:21" ht="13.5" customHeight="1" thickBot="1">
      <c r="A39" s="247" t="s">
        <v>62</v>
      </c>
      <c r="B39" s="234">
        <v>0</v>
      </c>
      <c r="C39" s="234"/>
      <c r="D39" s="229">
        <f t="shared" si="2"/>
        <v>0</v>
      </c>
      <c r="E39" s="29"/>
      <c r="F39" s="29"/>
      <c r="G39" s="29"/>
      <c r="H39" s="29"/>
      <c r="I39" s="258"/>
      <c r="J39" s="258"/>
      <c r="K39" s="29"/>
      <c r="L39" s="29"/>
      <c r="M39" s="29"/>
      <c r="N39" s="33"/>
      <c r="O39" s="229">
        <f t="shared" si="3"/>
        <v>0</v>
      </c>
      <c r="P39" s="354"/>
      <c r="Q39" s="242">
        <f t="shared" si="1"/>
        <v>0</v>
      </c>
      <c r="R39" s="31">
        <v>0</v>
      </c>
      <c r="S39" s="28"/>
      <c r="U39" s="242">
        <v>9263</v>
      </c>
    </row>
    <row r="40" spans="1:21" ht="13.5" customHeight="1" thickBot="1">
      <c r="A40" s="240" t="s">
        <v>39</v>
      </c>
      <c r="B40" s="234">
        <f>B41+B42+B43</f>
        <v>8150</v>
      </c>
      <c r="C40" s="234">
        <f>C41+C42+C43</f>
        <v>0</v>
      </c>
      <c r="D40" s="229">
        <f t="shared" si="2"/>
        <v>8150</v>
      </c>
      <c r="E40" s="29">
        <f>E41+E42+E43</f>
        <v>0</v>
      </c>
      <c r="F40" s="29">
        <f aca="true" t="shared" si="7" ref="F40:P40">F41+F42+F43</f>
        <v>0</v>
      </c>
      <c r="G40" s="29">
        <f t="shared" si="7"/>
        <v>0</v>
      </c>
      <c r="H40" s="29">
        <f t="shared" si="7"/>
        <v>0</v>
      </c>
      <c r="I40" s="259">
        <f t="shared" si="7"/>
        <v>0</v>
      </c>
      <c r="J40" s="259">
        <f t="shared" si="7"/>
        <v>0</v>
      </c>
      <c r="K40" s="29">
        <f t="shared" si="7"/>
        <v>0</v>
      </c>
      <c r="L40" s="29">
        <f t="shared" si="7"/>
        <v>0</v>
      </c>
      <c r="M40" s="29">
        <f t="shared" si="7"/>
        <v>0</v>
      </c>
      <c r="N40" s="26">
        <f>N41+N42+N43</f>
        <v>0</v>
      </c>
      <c r="O40" s="229">
        <f t="shared" si="3"/>
        <v>0</v>
      </c>
      <c r="P40" s="354">
        <f t="shared" si="7"/>
        <v>0</v>
      </c>
      <c r="Q40" s="242">
        <f t="shared" si="1"/>
        <v>8150</v>
      </c>
      <c r="R40" s="221">
        <v>18500</v>
      </c>
      <c r="S40" s="24">
        <f t="shared" si="4"/>
        <v>44.054054054054056</v>
      </c>
      <c r="U40" s="242">
        <v>6600</v>
      </c>
    </row>
    <row r="41" spans="1:21" ht="13.5" customHeight="1">
      <c r="A41" s="243" t="s">
        <v>3</v>
      </c>
      <c r="B41" s="232">
        <v>8150</v>
      </c>
      <c r="C41" s="234"/>
      <c r="D41" s="229">
        <f t="shared" si="2"/>
        <v>8150</v>
      </c>
      <c r="E41" s="29"/>
      <c r="F41" s="29"/>
      <c r="G41" s="29"/>
      <c r="H41" s="29"/>
      <c r="I41" s="258"/>
      <c r="J41" s="258"/>
      <c r="K41" s="29"/>
      <c r="L41" s="29"/>
      <c r="M41" s="29"/>
      <c r="N41" s="16"/>
      <c r="O41" s="229">
        <f t="shared" si="3"/>
        <v>0</v>
      </c>
      <c r="P41" s="354"/>
      <c r="Q41" s="242">
        <f t="shared" si="1"/>
        <v>8150</v>
      </c>
      <c r="R41" s="222">
        <v>18000</v>
      </c>
      <c r="S41" s="25">
        <f t="shared" si="4"/>
        <v>45.27777777777778</v>
      </c>
      <c r="U41" s="242">
        <v>6600</v>
      </c>
    </row>
    <row r="42" spans="1:21" ht="13.5" customHeight="1">
      <c r="A42" s="243" t="s">
        <v>37</v>
      </c>
      <c r="B42" s="232"/>
      <c r="C42" s="234"/>
      <c r="D42" s="229">
        <f t="shared" si="2"/>
        <v>0</v>
      </c>
      <c r="E42" s="29"/>
      <c r="F42" s="29"/>
      <c r="G42" s="29"/>
      <c r="H42" s="29"/>
      <c r="I42" s="258"/>
      <c r="J42" s="258"/>
      <c r="K42" s="29"/>
      <c r="L42" s="29"/>
      <c r="M42" s="29"/>
      <c r="N42" s="16"/>
      <c r="O42" s="229">
        <f t="shared" si="3"/>
        <v>0</v>
      </c>
      <c r="P42" s="354"/>
      <c r="Q42" s="242">
        <f t="shared" si="1"/>
        <v>0</v>
      </c>
      <c r="R42" s="220">
        <v>0</v>
      </c>
      <c r="S42" s="27"/>
      <c r="U42" s="242">
        <v>0</v>
      </c>
    </row>
    <row r="43" spans="1:21" ht="13.5" customHeight="1" thickBot="1">
      <c r="A43" s="244" t="s">
        <v>28</v>
      </c>
      <c r="B43" s="232">
        <v>0</v>
      </c>
      <c r="C43" s="234"/>
      <c r="D43" s="229">
        <f t="shared" si="2"/>
        <v>0</v>
      </c>
      <c r="E43" s="29"/>
      <c r="F43" s="29"/>
      <c r="G43" s="29"/>
      <c r="H43" s="29"/>
      <c r="I43" s="258"/>
      <c r="J43" s="258"/>
      <c r="K43" s="29"/>
      <c r="L43" s="29"/>
      <c r="M43" s="29"/>
      <c r="N43" s="231">
        <v>0</v>
      </c>
      <c r="O43" s="229">
        <f t="shared" si="3"/>
        <v>0</v>
      </c>
      <c r="P43" s="354"/>
      <c r="Q43" s="242">
        <f t="shared" si="1"/>
        <v>0</v>
      </c>
      <c r="R43" s="223">
        <v>500</v>
      </c>
      <c r="S43" s="35">
        <f t="shared" si="4"/>
        <v>0</v>
      </c>
      <c r="U43" s="242">
        <v>0</v>
      </c>
    </row>
    <row r="44" spans="1:21" ht="13.5" customHeight="1">
      <c r="A44" s="240" t="s">
        <v>40</v>
      </c>
      <c r="B44" s="232"/>
      <c r="C44" s="234"/>
      <c r="D44" s="229">
        <f t="shared" si="2"/>
        <v>0</v>
      </c>
      <c r="E44" s="29"/>
      <c r="F44" s="29"/>
      <c r="G44" s="29"/>
      <c r="H44" s="29"/>
      <c r="I44" s="258"/>
      <c r="J44" s="258"/>
      <c r="K44" s="29"/>
      <c r="L44" s="29"/>
      <c r="M44" s="29"/>
      <c r="N44" s="26"/>
      <c r="O44" s="229">
        <f t="shared" si="3"/>
        <v>0</v>
      </c>
      <c r="P44" s="354"/>
      <c r="Q44" s="242"/>
      <c r="R44" s="224"/>
      <c r="S44" s="36"/>
      <c r="U44" s="242"/>
    </row>
    <row r="45" spans="1:21" ht="13.5" customHeight="1" thickBot="1">
      <c r="A45" s="240" t="s">
        <v>36</v>
      </c>
      <c r="B45" s="234">
        <f>B46+B47+B48+B52+B53+B54</f>
        <v>94797</v>
      </c>
      <c r="C45" s="234">
        <f>C46+C47+C48+C52+C53+C54</f>
        <v>0</v>
      </c>
      <c r="D45" s="229">
        <f t="shared" si="2"/>
        <v>94797</v>
      </c>
      <c r="E45" s="228">
        <f>E46+E47+E48+E52+E53+E54</f>
        <v>0</v>
      </c>
      <c r="F45" s="29">
        <f aca="true" t="shared" si="8" ref="F45:P45">F46+F47+F48+F52+F53+F54</f>
        <v>0</v>
      </c>
      <c r="G45" s="29">
        <f t="shared" si="8"/>
        <v>0</v>
      </c>
      <c r="H45" s="29">
        <f t="shared" si="8"/>
        <v>0</v>
      </c>
      <c r="I45" s="259">
        <f t="shared" si="8"/>
        <v>0</v>
      </c>
      <c r="J45" s="25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28">
        <f>N46+N47+N48+N52+N53+N54</f>
        <v>0</v>
      </c>
      <c r="O45" s="229">
        <f t="shared" si="3"/>
        <v>0</v>
      </c>
      <c r="P45" s="354">
        <f t="shared" si="8"/>
        <v>20091</v>
      </c>
      <c r="Q45" s="242">
        <f>P45+O45+D45</f>
        <v>114888</v>
      </c>
      <c r="R45" s="225">
        <v>312457</v>
      </c>
      <c r="S45" s="37">
        <f t="shared" si="4"/>
        <v>36.76921944459558</v>
      </c>
      <c r="U45" s="242">
        <v>91408</v>
      </c>
    </row>
    <row r="46" spans="1:21" ht="13.5" customHeight="1">
      <c r="A46" s="243" t="s">
        <v>33</v>
      </c>
      <c r="B46" s="232">
        <v>3100</v>
      </c>
      <c r="C46" s="234"/>
      <c r="D46" s="229">
        <f t="shared" si="2"/>
        <v>3100</v>
      </c>
      <c r="E46" s="29"/>
      <c r="F46" s="29"/>
      <c r="G46" s="29"/>
      <c r="H46" s="29"/>
      <c r="I46" s="258"/>
      <c r="J46" s="258"/>
      <c r="K46" s="29"/>
      <c r="L46" s="29"/>
      <c r="M46" s="29"/>
      <c r="N46" s="16"/>
      <c r="O46" s="229">
        <f t="shared" si="3"/>
        <v>0</v>
      </c>
      <c r="P46" s="354"/>
      <c r="Q46" s="242">
        <f>P46+O46+D46</f>
        <v>3100</v>
      </c>
      <c r="R46" s="222">
        <v>5000</v>
      </c>
      <c r="S46" s="25">
        <f t="shared" si="4"/>
        <v>62</v>
      </c>
      <c r="U46" s="242">
        <v>3100</v>
      </c>
    </row>
    <row r="47" spans="1:21" ht="13.5" customHeight="1">
      <c r="A47" s="243" t="s">
        <v>29</v>
      </c>
      <c r="B47" s="232">
        <v>10000</v>
      </c>
      <c r="C47" s="232"/>
      <c r="D47" s="229">
        <f t="shared" si="2"/>
        <v>10000</v>
      </c>
      <c r="E47" s="29"/>
      <c r="F47" s="29"/>
      <c r="G47" s="29"/>
      <c r="H47" s="29"/>
      <c r="I47" s="258"/>
      <c r="J47" s="258"/>
      <c r="K47" s="29"/>
      <c r="L47" s="29"/>
      <c r="M47" s="29"/>
      <c r="N47" s="16"/>
      <c r="O47" s="229">
        <f t="shared" si="3"/>
        <v>0</v>
      </c>
      <c r="P47" s="354">
        <v>20091</v>
      </c>
      <c r="Q47" s="242">
        <f>P47+O47+D47</f>
        <v>30091</v>
      </c>
      <c r="R47" s="220">
        <v>42227</v>
      </c>
      <c r="S47" s="27">
        <f t="shared" si="4"/>
        <v>71.26009425249248</v>
      </c>
      <c r="U47" s="242">
        <v>31114</v>
      </c>
    </row>
    <row r="48" spans="1:21" ht="13.5" customHeight="1" thickBot="1">
      <c r="A48" s="243" t="s">
        <v>35</v>
      </c>
      <c r="B48" s="232">
        <f>B50</f>
        <v>81697</v>
      </c>
      <c r="C48" s="234"/>
      <c r="D48" s="229">
        <f t="shared" si="2"/>
        <v>81697</v>
      </c>
      <c r="E48" s="29"/>
      <c r="F48" s="29"/>
      <c r="G48" s="29"/>
      <c r="H48" s="29"/>
      <c r="I48" s="258"/>
      <c r="J48" s="258"/>
      <c r="K48" s="29"/>
      <c r="L48" s="29"/>
      <c r="M48" s="29"/>
      <c r="N48" s="16"/>
      <c r="O48" s="229">
        <f t="shared" si="3"/>
        <v>0</v>
      </c>
      <c r="P48" s="354"/>
      <c r="Q48" s="242">
        <f>P48+O48+D48</f>
        <v>81697</v>
      </c>
      <c r="R48" s="220">
        <v>265230</v>
      </c>
      <c r="S48" s="27">
        <f t="shared" si="4"/>
        <v>30.80232251253629</v>
      </c>
      <c r="U48" s="242">
        <v>57194</v>
      </c>
    </row>
    <row r="49" spans="1:21" ht="13.5" customHeight="1" thickBot="1" thickTop="1">
      <c r="A49" s="243" t="s">
        <v>68</v>
      </c>
      <c r="B49" s="234"/>
      <c r="C49" s="234"/>
      <c r="D49" s="229">
        <f t="shared" si="2"/>
        <v>0</v>
      </c>
      <c r="E49" s="29"/>
      <c r="F49" s="29"/>
      <c r="G49" s="29"/>
      <c r="H49" s="29"/>
      <c r="I49" s="258"/>
      <c r="J49" s="258"/>
      <c r="K49" s="29"/>
      <c r="L49" s="29"/>
      <c r="M49" s="29"/>
      <c r="N49" s="16"/>
      <c r="O49" s="229">
        <f t="shared" si="3"/>
        <v>0</v>
      </c>
      <c r="P49" s="354">
        <f>N49+M49+L49+K49+F49+E49+O49+H49</f>
        <v>0</v>
      </c>
      <c r="Q49" s="242">
        <f>H49+N49+M49+L49+K49+F49+P49+O49</f>
        <v>0</v>
      </c>
      <c r="R49" s="218">
        <v>0</v>
      </c>
      <c r="S49" s="27">
        <v>0</v>
      </c>
      <c r="U49" s="242">
        <v>0</v>
      </c>
    </row>
    <row r="50" spans="1:21" ht="13.5" customHeight="1">
      <c r="A50" s="243" t="s">
        <v>64</v>
      </c>
      <c r="B50" s="234">
        <v>81697</v>
      </c>
      <c r="C50" s="234"/>
      <c r="D50" s="229">
        <f t="shared" si="2"/>
        <v>81697</v>
      </c>
      <c r="E50" s="29"/>
      <c r="F50" s="29"/>
      <c r="G50" s="29"/>
      <c r="H50" s="29"/>
      <c r="I50" s="258"/>
      <c r="J50" s="258"/>
      <c r="K50" s="29"/>
      <c r="L50" s="29"/>
      <c r="M50" s="29"/>
      <c r="N50" s="16"/>
      <c r="O50" s="229">
        <f t="shared" si="3"/>
        <v>0</v>
      </c>
      <c r="P50" s="354"/>
      <c r="Q50" s="242">
        <f>P50+O50+D50</f>
        <v>81697</v>
      </c>
      <c r="R50" s="220">
        <v>265230</v>
      </c>
      <c r="S50" s="27">
        <v>0</v>
      </c>
      <c r="U50" s="242">
        <v>57194</v>
      </c>
    </row>
    <row r="51" spans="1:21" ht="13.5" customHeight="1">
      <c r="A51" s="243" t="s">
        <v>34</v>
      </c>
      <c r="B51" s="232"/>
      <c r="C51" s="234"/>
      <c r="D51" s="229">
        <f t="shared" si="2"/>
        <v>0</v>
      </c>
      <c r="E51" s="29"/>
      <c r="F51" s="29"/>
      <c r="G51" s="29"/>
      <c r="H51" s="29"/>
      <c r="I51" s="258"/>
      <c r="J51" s="258"/>
      <c r="K51" s="29"/>
      <c r="L51" s="29"/>
      <c r="M51" s="29"/>
      <c r="N51" s="16"/>
      <c r="O51" s="229">
        <f t="shared" si="3"/>
        <v>0</v>
      </c>
      <c r="P51" s="354"/>
      <c r="Q51" s="242">
        <f>P51+O51+D51</f>
        <v>0</v>
      </c>
      <c r="R51" s="220">
        <v>0</v>
      </c>
      <c r="S51" s="27"/>
      <c r="U51" s="242">
        <v>0</v>
      </c>
    </row>
    <row r="52" spans="1:21" ht="13.5" customHeight="1">
      <c r="A52" s="243" t="s">
        <v>30</v>
      </c>
      <c r="B52" s="232"/>
      <c r="C52" s="234"/>
      <c r="D52" s="229">
        <f t="shared" si="2"/>
        <v>0</v>
      </c>
      <c r="E52" s="29"/>
      <c r="F52" s="29"/>
      <c r="G52" s="29"/>
      <c r="H52" s="29"/>
      <c r="I52" s="258"/>
      <c r="J52" s="258"/>
      <c r="K52" s="29"/>
      <c r="L52" s="29"/>
      <c r="M52" s="29"/>
      <c r="N52" s="16"/>
      <c r="O52" s="229">
        <f t="shared" si="3"/>
        <v>0</v>
      </c>
      <c r="P52" s="354"/>
      <c r="Q52" s="242">
        <f>P52+O52+D52</f>
        <v>0</v>
      </c>
      <c r="R52" s="220">
        <v>0</v>
      </c>
      <c r="S52" s="27">
        <v>0</v>
      </c>
      <c r="U52" s="242">
        <v>0</v>
      </c>
    </row>
    <row r="53" spans="1:21" ht="13.5" customHeight="1" thickBot="1">
      <c r="A53" s="243" t="s">
        <v>31</v>
      </c>
      <c r="B53" s="232"/>
      <c r="C53" s="234"/>
      <c r="D53" s="229">
        <f t="shared" si="2"/>
        <v>0</v>
      </c>
      <c r="E53" s="29"/>
      <c r="F53" s="29"/>
      <c r="G53" s="29"/>
      <c r="H53" s="29"/>
      <c r="I53" s="258"/>
      <c r="J53" s="258"/>
      <c r="K53" s="29"/>
      <c r="L53" s="29"/>
      <c r="M53" s="29"/>
      <c r="N53" s="16"/>
      <c r="O53" s="229">
        <f t="shared" si="3"/>
        <v>0</v>
      </c>
      <c r="P53" s="354"/>
      <c r="Q53" s="242">
        <f>P53+O53+D53</f>
        <v>0</v>
      </c>
      <c r="R53" s="220">
        <v>0</v>
      </c>
      <c r="S53" s="27"/>
      <c r="U53" s="250">
        <v>0</v>
      </c>
    </row>
    <row r="54" spans="1:21" ht="13.5" customHeight="1" thickBot="1">
      <c r="A54" s="243" t="s">
        <v>32</v>
      </c>
      <c r="B54" s="232"/>
      <c r="C54" s="234"/>
      <c r="D54" s="229">
        <f t="shared" si="2"/>
        <v>0</v>
      </c>
      <c r="E54" s="29"/>
      <c r="F54" s="29"/>
      <c r="G54" s="29"/>
      <c r="H54" s="29"/>
      <c r="I54" s="258"/>
      <c r="J54" s="258"/>
      <c r="K54" s="29"/>
      <c r="L54" s="29"/>
      <c r="M54" s="29"/>
      <c r="N54" s="16"/>
      <c r="O54" s="229">
        <f t="shared" si="3"/>
        <v>0</v>
      </c>
      <c r="P54" s="354"/>
      <c r="Q54" s="242">
        <f>P54+O54+D54</f>
        <v>0</v>
      </c>
      <c r="R54" s="223">
        <v>0</v>
      </c>
      <c r="S54" s="35"/>
      <c r="U54" s="371">
        <v>0</v>
      </c>
    </row>
    <row r="55" spans="1:21" ht="16.5" thickBot="1">
      <c r="A55" s="248" t="s">
        <v>4</v>
      </c>
      <c r="B55" s="364">
        <f>B45+B40+B30+B15+B9</f>
        <v>2154061.2939999998</v>
      </c>
      <c r="C55" s="364">
        <f>C45+C40+C30+C15+C9</f>
        <v>16248</v>
      </c>
      <c r="D55" s="229">
        <f t="shared" si="2"/>
        <v>2170309.2939999998</v>
      </c>
      <c r="E55" s="249">
        <f aca="true" t="shared" si="9" ref="E55:N55">E45+E40+E30+E15+E9</f>
        <v>2540</v>
      </c>
      <c r="F55" s="249">
        <f t="shared" si="9"/>
        <v>586</v>
      </c>
      <c r="G55" s="249">
        <f t="shared" si="9"/>
        <v>0</v>
      </c>
      <c r="H55" s="249">
        <f t="shared" si="9"/>
        <v>1315</v>
      </c>
      <c r="I55" s="261">
        <f t="shared" si="9"/>
        <v>1945</v>
      </c>
      <c r="J55" s="261">
        <f>J45+J40+J30+J15+J9</f>
        <v>80188</v>
      </c>
      <c r="K55" s="249">
        <f t="shared" si="9"/>
        <v>7066</v>
      </c>
      <c r="L55" s="249">
        <f t="shared" si="9"/>
        <v>4566</v>
      </c>
      <c r="M55" s="249">
        <f t="shared" si="9"/>
        <v>16900</v>
      </c>
      <c r="N55" s="249">
        <f t="shared" si="9"/>
        <v>1300</v>
      </c>
      <c r="O55" s="229">
        <f>M55+L55+K55+F55+E55+H55+N55+I55+J55</f>
        <v>116406</v>
      </c>
      <c r="P55" s="357">
        <f>P45+P40+P30+P15+P9</f>
        <v>283430</v>
      </c>
      <c r="Q55" s="250">
        <f>Q45+Q40+Q30+Q15+Q9</f>
        <v>2570145.2939999998</v>
      </c>
      <c r="R55" s="226">
        <v>2645003.748</v>
      </c>
      <c r="S55" s="38">
        <f t="shared" si="4"/>
        <v>97.16981671362076</v>
      </c>
      <c r="U55" s="372">
        <v>2609947.9456666666</v>
      </c>
    </row>
    <row r="56" spans="1:17" ht="16.5" thickBot="1">
      <c r="A56" s="40"/>
      <c r="B56" s="358">
        <f>B55-B32-B34</f>
        <v>1491533.9999999998</v>
      </c>
      <c r="D56" s="6"/>
      <c r="E56" s="6"/>
      <c r="F56" s="125"/>
      <c r="G56" s="125"/>
      <c r="H56" s="2"/>
      <c r="I56" s="253"/>
      <c r="J56" s="253"/>
      <c r="K56" s="125"/>
      <c r="L56" s="2"/>
      <c r="M56" s="2"/>
      <c r="O56" s="32"/>
      <c r="P56" s="358"/>
      <c r="Q56" s="126">
        <f>P55+O55+D55</f>
        <v>2570145.2939999998</v>
      </c>
    </row>
    <row r="57" spans="4:18" ht="15">
      <c r="D57" s="6"/>
      <c r="Q57" s="6"/>
      <c r="R57" s="6"/>
    </row>
    <row r="58" spans="4:18" ht="15.75">
      <c r="D58" s="39"/>
      <c r="Q58" s="6"/>
      <c r="R58" s="21"/>
    </row>
    <row r="59" spans="1:18" ht="15.75">
      <c r="A59" s="40"/>
      <c r="P59" s="358"/>
      <c r="R59" s="6"/>
    </row>
  </sheetData>
  <sheetProtection/>
  <printOptions/>
  <pageMargins left="0.9448818897637796" right="0.4330708661417323" top="0.31496062992125984" bottom="0.5511811023622047" header="0.5118110236220472" footer="0.5118110236220472"/>
  <pageSetup horizontalDpi="600" verticalDpi="600" orientation="portrait" paperSize="9" r:id="rId4"/>
  <headerFooter alignWithMargins="0">
    <oddHeader>&amp;R2015. évi költségvetés melléklete</oddHeader>
    <oddFooter>&amp;C&amp;P. oldal&amp;R&amp;D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30" zoomScaleNormal="130" zoomScalePageLayoutView="0" workbookViewId="0" topLeftCell="A28">
      <selection activeCell="E36" sqref="E36"/>
    </sheetView>
  </sheetViews>
  <sheetFormatPr defaultColWidth="8.8515625" defaultRowHeight="12.75"/>
  <cols>
    <col min="1" max="1" width="26.28125" style="0" customWidth="1"/>
    <col min="2" max="2" width="12.28125" style="0" hidden="1" customWidth="1"/>
    <col min="3" max="3" width="10.421875" style="0" hidden="1" customWidth="1"/>
    <col min="4" max="4" width="12.00390625" style="251" hidden="1" customWidth="1"/>
    <col min="5" max="5" width="16.8515625" style="132" hidden="1" customWidth="1"/>
    <col min="6" max="6" width="15.28125" style="0" hidden="1" customWidth="1"/>
    <col min="7" max="8" width="8.8515625" style="0" hidden="1" customWidth="1"/>
    <col min="9" max="9" width="12.00390625" style="0" bestFit="1" customWidth="1"/>
    <col min="10" max="10" width="10.421875" style="0" customWidth="1"/>
    <col min="11" max="11" width="12.00390625" style="251" customWidth="1"/>
    <col min="12" max="12" width="12.00390625" style="0" bestFit="1" customWidth="1"/>
    <col min="13" max="13" width="10.421875" style="0" customWidth="1"/>
    <col min="14" max="14" width="12.00390625" style="251" customWidth="1"/>
    <col min="15" max="15" width="11.140625" style="0" bestFit="1" customWidth="1"/>
    <col min="16" max="16" width="23.140625" style="0" bestFit="1" customWidth="1"/>
    <col min="17" max="17" width="11.140625" style="0" bestFit="1" customWidth="1"/>
  </cols>
  <sheetData>
    <row r="1" spans="1:14" s="43" customFormat="1" ht="12.75">
      <c r="A1" s="131"/>
      <c r="D1" s="252"/>
      <c r="E1" s="373"/>
      <c r="K1" s="252"/>
      <c r="N1" s="252"/>
    </row>
    <row r="2" ht="15.75" thickBot="1">
      <c r="A2" s="43" t="s">
        <v>117</v>
      </c>
    </row>
    <row r="3" spans="1:16" ht="12.75">
      <c r="A3" s="270"/>
      <c r="B3" s="271"/>
      <c r="C3" s="271"/>
      <c r="D3" s="272"/>
      <c r="E3" s="133"/>
      <c r="F3" s="273"/>
      <c r="G3" s="273"/>
      <c r="H3" s="273"/>
      <c r="I3" s="271"/>
      <c r="J3" s="271"/>
      <c r="K3" s="274"/>
      <c r="L3" s="271"/>
      <c r="M3" s="271"/>
      <c r="N3" s="274"/>
      <c r="O3" s="271"/>
      <c r="P3" s="121"/>
    </row>
    <row r="4" spans="1:16" ht="12.75">
      <c r="A4" s="275" t="s">
        <v>183</v>
      </c>
      <c r="B4" s="276" t="s">
        <v>184</v>
      </c>
      <c r="C4" s="276" t="s">
        <v>185</v>
      </c>
      <c r="D4" s="277" t="s">
        <v>186</v>
      </c>
      <c r="E4" s="134" t="s">
        <v>135</v>
      </c>
      <c r="F4" s="1"/>
      <c r="G4" s="1"/>
      <c r="H4" s="1"/>
      <c r="I4" s="276" t="s">
        <v>184</v>
      </c>
      <c r="J4" s="276" t="s">
        <v>185</v>
      </c>
      <c r="K4" s="278">
        <v>2014</v>
      </c>
      <c r="L4" s="276" t="s">
        <v>184</v>
      </c>
      <c r="M4" s="276" t="s">
        <v>185</v>
      </c>
      <c r="N4" s="278">
        <v>2015</v>
      </c>
      <c r="O4" s="279" t="s">
        <v>187</v>
      </c>
      <c r="P4" s="123"/>
    </row>
    <row r="5" spans="1:16" ht="12.75">
      <c r="A5" s="275"/>
      <c r="B5" s="276" t="s">
        <v>188</v>
      </c>
      <c r="C5" s="276" t="s">
        <v>189</v>
      </c>
      <c r="D5" s="280"/>
      <c r="E5" s="135"/>
      <c r="F5" s="1"/>
      <c r="G5" s="1"/>
      <c r="H5" s="1"/>
      <c r="I5" s="276" t="s">
        <v>188</v>
      </c>
      <c r="J5" s="276" t="s">
        <v>189</v>
      </c>
      <c r="K5" s="281"/>
      <c r="L5" s="276" t="s">
        <v>188</v>
      </c>
      <c r="M5" s="276" t="s">
        <v>189</v>
      </c>
      <c r="N5" s="281"/>
      <c r="O5" s="279"/>
      <c r="P5" s="123"/>
    </row>
    <row r="6" spans="1:16" ht="15">
      <c r="A6" s="282" t="s">
        <v>190</v>
      </c>
      <c r="B6" s="279"/>
      <c r="C6" s="279"/>
      <c r="D6" s="280"/>
      <c r="E6" s="135"/>
      <c r="F6" s="1"/>
      <c r="G6" s="1"/>
      <c r="H6" s="1"/>
      <c r="I6" s="279"/>
      <c r="J6" s="279"/>
      <c r="K6" s="281"/>
      <c r="L6" s="279"/>
      <c r="M6" s="279"/>
      <c r="N6" s="281"/>
      <c r="O6" s="279"/>
      <c r="P6" s="123"/>
    </row>
    <row r="7" spans="1:16" ht="15">
      <c r="A7" s="283" t="s">
        <v>191</v>
      </c>
      <c r="B7" s="284"/>
      <c r="C7" s="284"/>
      <c r="D7" s="285"/>
      <c r="E7" s="286"/>
      <c r="F7" s="287"/>
      <c r="G7" s="287"/>
      <c r="H7" s="287"/>
      <c r="I7" s="284"/>
      <c r="J7" s="284"/>
      <c r="K7" s="288"/>
      <c r="L7" s="284"/>
      <c r="M7" s="284"/>
      <c r="N7" s="288"/>
      <c r="O7" s="284"/>
      <c r="P7" s="289"/>
    </row>
    <row r="8" spans="1:16" ht="12.75">
      <c r="A8" s="290" t="s">
        <v>192</v>
      </c>
      <c r="B8" s="284"/>
      <c r="C8" s="284"/>
      <c r="D8" s="285"/>
      <c r="E8" s="286"/>
      <c r="F8" s="287"/>
      <c r="G8" s="287"/>
      <c r="H8" s="287"/>
      <c r="I8" s="284"/>
      <c r="J8" s="284"/>
      <c r="K8" s="288"/>
      <c r="L8" s="284"/>
      <c r="M8" s="284"/>
      <c r="N8" s="288"/>
      <c r="O8" s="284"/>
      <c r="P8" s="289"/>
    </row>
    <row r="9" spans="1:16" ht="12.75">
      <c r="A9" s="374" t="s">
        <v>193</v>
      </c>
      <c r="B9" s="375">
        <v>29.08</v>
      </c>
      <c r="C9" s="375">
        <v>4580000</v>
      </c>
      <c r="D9" s="376">
        <f>C9*B9</f>
        <v>133186399.99999999</v>
      </c>
      <c r="E9" s="377"/>
      <c r="F9" s="378"/>
      <c r="G9" s="379"/>
      <c r="H9" s="379"/>
      <c r="I9" s="375">
        <v>28.15</v>
      </c>
      <c r="J9" s="375">
        <v>4580000</v>
      </c>
      <c r="K9" s="380">
        <f>J9*I9</f>
        <v>128927000</v>
      </c>
      <c r="L9" s="375">
        <v>28.13</v>
      </c>
      <c r="M9" s="375">
        <v>4580000</v>
      </c>
      <c r="N9" s="380">
        <f>M9*L9</f>
        <v>128835400</v>
      </c>
      <c r="O9" s="295"/>
      <c r="P9" s="289"/>
    </row>
    <row r="10" spans="1:16" ht="12.75">
      <c r="A10" s="291" t="s">
        <v>194</v>
      </c>
      <c r="B10" s="284"/>
      <c r="C10" s="284"/>
      <c r="D10" s="292">
        <v>14178031</v>
      </c>
      <c r="E10" s="286"/>
      <c r="F10" s="287"/>
      <c r="G10" s="287"/>
      <c r="H10" s="287"/>
      <c r="I10" s="284"/>
      <c r="J10" s="284"/>
      <c r="K10" s="294">
        <v>12849255</v>
      </c>
      <c r="L10" s="284"/>
      <c r="M10" s="284"/>
      <c r="N10" s="294">
        <v>21995228</v>
      </c>
      <c r="O10" s="295"/>
      <c r="P10" s="289"/>
    </row>
    <row r="11" spans="1:16" ht="12.75">
      <c r="A11" s="291" t="s">
        <v>195</v>
      </c>
      <c r="B11" s="284"/>
      <c r="C11" s="284"/>
      <c r="D11" s="292">
        <v>29515600</v>
      </c>
      <c r="E11" s="286"/>
      <c r="F11" s="287"/>
      <c r="G11" s="287"/>
      <c r="H11" s="287"/>
      <c r="I11" s="284"/>
      <c r="J11" s="284"/>
      <c r="K11" s="294">
        <v>50740800</v>
      </c>
      <c r="L11" s="284"/>
      <c r="M11" s="284"/>
      <c r="N11" s="294">
        <v>54360000</v>
      </c>
      <c r="O11" s="295"/>
      <c r="P11" s="289"/>
    </row>
    <row r="12" spans="1:16" ht="12.75">
      <c r="A12" s="291" t="s">
        <v>196</v>
      </c>
      <c r="B12" s="284"/>
      <c r="C12" s="284"/>
      <c r="D12" s="292"/>
      <c r="E12" s="286"/>
      <c r="F12" s="287"/>
      <c r="G12" s="287"/>
      <c r="H12" s="287"/>
      <c r="I12" s="284"/>
      <c r="J12" s="284"/>
      <c r="K12" s="294">
        <v>100000</v>
      </c>
      <c r="L12" s="284"/>
      <c r="M12" s="284"/>
      <c r="N12" s="294">
        <v>100000</v>
      </c>
      <c r="O12" s="295"/>
      <c r="P12" s="289"/>
    </row>
    <row r="13" spans="1:16" ht="12.75">
      <c r="A13" s="291" t="s">
        <v>250</v>
      </c>
      <c r="B13" s="284"/>
      <c r="C13" s="284"/>
      <c r="D13" s="292"/>
      <c r="E13" s="286"/>
      <c r="F13" s="287"/>
      <c r="G13" s="287"/>
      <c r="H13" s="287"/>
      <c r="I13" s="284"/>
      <c r="J13" s="284"/>
      <c r="K13" s="294">
        <v>30000</v>
      </c>
      <c r="L13" s="284"/>
      <c r="M13" s="284"/>
      <c r="N13" s="294">
        <v>3000</v>
      </c>
      <c r="O13" s="295"/>
      <c r="P13" s="289"/>
    </row>
    <row r="14" spans="1:16" s="118" customFormat="1" ht="14.25">
      <c r="A14" s="296" t="s">
        <v>203</v>
      </c>
      <c r="B14" s="297">
        <v>0</v>
      </c>
      <c r="C14" s="298"/>
      <c r="D14" s="299">
        <v>709246</v>
      </c>
      <c r="E14" s="300"/>
      <c r="F14" s="301"/>
      <c r="G14" s="301"/>
      <c r="H14" s="301"/>
      <c r="I14" s="297">
        <v>0</v>
      </c>
      <c r="J14" s="298"/>
      <c r="K14" s="302">
        <v>681199</v>
      </c>
      <c r="L14" s="297">
        <v>266</v>
      </c>
      <c r="M14" s="298">
        <v>2550</v>
      </c>
      <c r="N14" s="302">
        <v>678300</v>
      </c>
      <c r="O14" s="295"/>
      <c r="P14" s="303"/>
    </row>
    <row r="15" spans="1:16" ht="12.75">
      <c r="A15" s="291" t="s">
        <v>197</v>
      </c>
      <c r="B15" s="284"/>
      <c r="C15" s="284"/>
      <c r="D15" s="292">
        <f>8539000*1.1</f>
        <v>9392900</v>
      </c>
      <c r="E15" s="286"/>
      <c r="F15" s="287"/>
      <c r="G15" s="287"/>
      <c r="H15" s="287"/>
      <c r="I15" s="284"/>
      <c r="J15" s="284"/>
      <c r="K15" s="294">
        <v>40014685</v>
      </c>
      <c r="L15" s="284"/>
      <c r="M15" s="284"/>
      <c r="N15" s="294">
        <v>40013800</v>
      </c>
      <c r="O15" s="295"/>
      <c r="P15" s="289"/>
    </row>
    <row r="16" spans="1:16" ht="12.75">
      <c r="A16" s="291" t="s">
        <v>198</v>
      </c>
      <c r="B16" s="284"/>
      <c r="C16" s="284"/>
      <c r="D16" s="292">
        <f>SUM(D9:D15)</f>
        <v>186982177</v>
      </c>
      <c r="E16" s="286"/>
      <c r="F16" s="287"/>
      <c r="G16" s="287"/>
      <c r="H16" s="287"/>
      <c r="I16" s="284"/>
      <c r="J16" s="284"/>
      <c r="K16" s="294">
        <f>SUM(K9:K15)</f>
        <v>233342939</v>
      </c>
      <c r="L16" s="284"/>
      <c r="M16" s="284"/>
      <c r="N16" s="294"/>
      <c r="O16" s="295"/>
      <c r="P16" s="289"/>
    </row>
    <row r="17" spans="1:16" ht="12.75">
      <c r="A17" s="291" t="s">
        <v>200</v>
      </c>
      <c r="B17" s="284"/>
      <c r="C17" s="284"/>
      <c r="D17" s="292">
        <f>D16-D20</f>
        <v>132400906.645</v>
      </c>
      <c r="E17" s="286"/>
      <c r="F17" s="293"/>
      <c r="G17" s="287"/>
      <c r="H17" s="287"/>
      <c r="I17" s="284"/>
      <c r="J17" s="284"/>
      <c r="K17" s="294">
        <f>K16-K20</f>
        <v>233342939</v>
      </c>
      <c r="L17" s="284"/>
      <c r="M17" s="284"/>
      <c r="N17" s="294"/>
      <c r="O17" s="295"/>
      <c r="P17" s="289"/>
    </row>
    <row r="18" spans="1:16" ht="14.25">
      <c r="A18" s="305" t="s">
        <v>201</v>
      </c>
      <c r="B18" s="284"/>
      <c r="C18" s="284"/>
      <c r="D18" s="292">
        <v>27162000</v>
      </c>
      <c r="E18" s="286"/>
      <c r="F18" s="287"/>
      <c r="G18" s="287"/>
      <c r="H18" s="287"/>
      <c r="I18" s="284">
        <v>2700</v>
      </c>
      <c r="J18" s="284">
        <v>10108</v>
      </c>
      <c r="K18" s="294">
        <v>13645800</v>
      </c>
      <c r="L18" s="284">
        <v>2700</v>
      </c>
      <c r="M18" s="284">
        <v>10064</v>
      </c>
      <c r="N18" s="294">
        <v>27251100</v>
      </c>
      <c r="O18" s="295"/>
      <c r="P18" s="289"/>
    </row>
    <row r="19" spans="1:16" ht="12.75">
      <c r="A19" s="291" t="s">
        <v>202</v>
      </c>
      <c r="B19" s="284">
        <v>5000000</v>
      </c>
      <c r="C19" s="284">
        <v>1.5</v>
      </c>
      <c r="D19" s="292">
        <v>11880945</v>
      </c>
      <c r="E19" s="286"/>
      <c r="F19" s="287"/>
      <c r="G19" s="287"/>
      <c r="H19" s="287"/>
      <c r="I19" s="284">
        <v>4458000</v>
      </c>
      <c r="J19" s="284">
        <v>1.5</v>
      </c>
      <c r="K19" s="294">
        <f>J19*I19</f>
        <v>6687000</v>
      </c>
      <c r="L19" s="284">
        <f>N19/M19</f>
        <v>11424533.333333334</v>
      </c>
      <c r="M19" s="284">
        <v>1.5</v>
      </c>
      <c r="N19" s="294">
        <v>17136800</v>
      </c>
      <c r="O19" s="295"/>
      <c r="P19" s="289"/>
    </row>
    <row r="20" spans="1:16" ht="12.75">
      <c r="A20" s="381" t="s">
        <v>199</v>
      </c>
      <c r="B20" s="382">
        <v>10916254071</v>
      </c>
      <c r="C20" s="382">
        <f>0.5/100</f>
        <v>0.005</v>
      </c>
      <c r="D20" s="292">
        <f>C20*B20</f>
        <v>54581270.355000004</v>
      </c>
      <c r="E20" s="383"/>
      <c r="F20" s="384"/>
      <c r="G20" s="384"/>
      <c r="H20" s="384"/>
      <c r="I20" s="382">
        <v>10128860000</v>
      </c>
      <c r="J20" s="382">
        <f>0.5/100</f>
        <v>0.005</v>
      </c>
      <c r="K20" s="294">
        <v>0</v>
      </c>
      <c r="L20" s="382">
        <v>10128860000</v>
      </c>
      <c r="M20" s="382">
        <f>0.5/100</f>
        <v>0.005</v>
      </c>
      <c r="N20" s="294">
        <v>36438148</v>
      </c>
      <c r="O20" s="295"/>
      <c r="P20" s="289"/>
    </row>
    <row r="21" spans="1:16" s="118" customFormat="1" ht="14.25">
      <c r="A21" s="304" t="s">
        <v>204</v>
      </c>
      <c r="B21" s="297">
        <v>0</v>
      </c>
      <c r="C21" s="298"/>
      <c r="D21" s="299">
        <f>D17+D18+D19+D14</f>
        <v>172153097.64499998</v>
      </c>
      <c r="E21" s="300"/>
      <c r="F21" s="301"/>
      <c r="G21" s="301"/>
      <c r="H21" s="301"/>
      <c r="I21" s="297">
        <v>0</v>
      </c>
      <c r="J21" s="298"/>
      <c r="K21" s="302">
        <f>K17+K18+K19+K14</f>
        <v>254356938</v>
      </c>
      <c r="L21" s="297">
        <v>0</v>
      </c>
      <c r="M21" s="298"/>
      <c r="N21" s="302">
        <f>SUM(N9:N19)-N20</f>
        <v>253935480</v>
      </c>
      <c r="O21" s="295">
        <f>N21-K21</f>
        <v>-421458</v>
      </c>
      <c r="P21" s="303"/>
    </row>
    <row r="22" spans="1:16" s="118" customFormat="1" ht="14.25">
      <c r="A22" s="296"/>
      <c r="B22" s="298"/>
      <c r="C22" s="298"/>
      <c r="D22" s="299"/>
      <c r="E22" s="300"/>
      <c r="F22" s="301"/>
      <c r="G22" s="301"/>
      <c r="H22" s="301"/>
      <c r="I22" s="298">
        <v>0</v>
      </c>
      <c r="J22" s="298">
        <v>0</v>
      </c>
      <c r="K22" s="302">
        <v>0</v>
      </c>
      <c r="L22" s="298">
        <v>0</v>
      </c>
      <c r="M22" s="298">
        <v>0</v>
      </c>
      <c r="N22" s="302">
        <v>0</v>
      </c>
      <c r="O22" s="295">
        <f aca="true" t="shared" si="0" ref="O22:O56">N22-K22</f>
        <v>0</v>
      </c>
      <c r="P22" s="303"/>
    </row>
    <row r="23" spans="1:16" s="118" customFormat="1" ht="14.25">
      <c r="A23" s="305" t="s">
        <v>205</v>
      </c>
      <c r="B23" s="298">
        <v>10060</v>
      </c>
      <c r="C23" s="298">
        <v>1140</v>
      </c>
      <c r="D23" s="299">
        <f>B23*C23</f>
        <v>11468400</v>
      </c>
      <c r="E23" s="300"/>
      <c r="F23" s="301">
        <f>D23/2</f>
        <v>5734200</v>
      </c>
      <c r="G23" s="301"/>
      <c r="H23" s="301"/>
      <c r="I23" s="298">
        <v>10108</v>
      </c>
      <c r="J23" s="298">
        <v>1140</v>
      </c>
      <c r="K23" s="302">
        <f>I23*J23</f>
        <v>11523120</v>
      </c>
      <c r="L23" s="298">
        <v>10064</v>
      </c>
      <c r="M23" s="298">
        <v>1140</v>
      </c>
      <c r="N23" s="302">
        <f>L23*M23</f>
        <v>11472960</v>
      </c>
      <c r="O23" s="295">
        <f t="shared" si="0"/>
        <v>-50160</v>
      </c>
      <c r="P23" s="303"/>
    </row>
    <row r="24" spans="1:16" ht="15">
      <c r="A24" s="306" t="s">
        <v>206</v>
      </c>
      <c r="B24" s="307"/>
      <c r="C24" s="307"/>
      <c r="D24" s="308"/>
      <c r="E24" s="309"/>
      <c r="F24" s="310"/>
      <c r="G24" s="310"/>
      <c r="H24" s="310"/>
      <c r="I24" s="307"/>
      <c r="J24" s="307"/>
      <c r="K24" s="311"/>
      <c r="L24" s="307"/>
      <c r="M24" s="307"/>
      <c r="N24" s="311"/>
      <c r="O24" s="295">
        <f t="shared" si="0"/>
        <v>0</v>
      </c>
      <c r="P24" s="313"/>
    </row>
    <row r="25" spans="1:16" ht="14.25">
      <c r="A25" s="314" t="s">
        <v>207</v>
      </c>
      <c r="B25" s="307"/>
      <c r="C25" s="307"/>
      <c r="D25" s="315">
        <v>28293162</v>
      </c>
      <c r="E25" s="309"/>
      <c r="F25" s="310"/>
      <c r="G25" s="310"/>
      <c r="H25" s="310"/>
      <c r="I25" s="307"/>
      <c r="J25" s="307"/>
      <c r="K25" s="316">
        <v>15194419</v>
      </c>
      <c r="L25" s="307"/>
      <c r="M25" s="307"/>
      <c r="N25" s="316">
        <v>45234520</v>
      </c>
      <c r="O25" s="295">
        <f t="shared" si="0"/>
        <v>30040101</v>
      </c>
      <c r="P25" s="313"/>
    </row>
    <row r="26" spans="1:16" ht="12.75">
      <c r="A26" s="317" t="s">
        <v>208</v>
      </c>
      <c r="B26" s="307"/>
      <c r="C26" s="307"/>
      <c r="D26" s="308"/>
      <c r="E26" s="309"/>
      <c r="F26" s="310"/>
      <c r="G26" s="310"/>
      <c r="H26" s="310"/>
      <c r="I26" s="307"/>
      <c r="J26" s="307"/>
      <c r="K26" s="311"/>
      <c r="L26" s="307"/>
      <c r="M26" s="307"/>
      <c r="N26" s="311"/>
      <c r="O26" s="295">
        <f t="shared" si="0"/>
        <v>0</v>
      </c>
      <c r="P26" s="313"/>
    </row>
    <row r="27" spans="1:16" ht="14.25">
      <c r="A27" s="314" t="s">
        <v>209</v>
      </c>
      <c r="B27" s="318"/>
      <c r="C27" s="319">
        <v>1975000</v>
      </c>
      <c r="D27" s="320">
        <v>7830085</v>
      </c>
      <c r="E27" s="309"/>
      <c r="F27" s="310"/>
      <c r="G27" s="310"/>
      <c r="H27" s="310"/>
      <c r="I27" s="318"/>
      <c r="J27" s="319">
        <v>1975000</v>
      </c>
      <c r="K27" s="321">
        <v>7844700</v>
      </c>
      <c r="L27" s="318"/>
      <c r="M27" s="319">
        <v>1975000</v>
      </c>
      <c r="N27" s="321">
        <v>7828110</v>
      </c>
      <c r="O27" s="295">
        <f t="shared" si="0"/>
        <v>-16590</v>
      </c>
      <c r="P27" s="313"/>
    </row>
    <row r="28" spans="1:16" ht="14.25">
      <c r="A28" s="314" t="s">
        <v>210</v>
      </c>
      <c r="B28" s="318"/>
      <c r="C28" s="319"/>
      <c r="D28" s="320">
        <v>5946900</v>
      </c>
      <c r="E28" s="309"/>
      <c r="F28" s="310"/>
      <c r="G28" s="310"/>
      <c r="H28" s="310"/>
      <c r="I28" s="318"/>
      <c r="J28" s="319"/>
      <c r="K28" s="321">
        <v>5958000</v>
      </c>
      <c r="L28" s="318"/>
      <c r="M28" s="319"/>
      <c r="N28" s="321">
        <v>5945400</v>
      </c>
      <c r="O28" s="295">
        <f t="shared" si="0"/>
        <v>-12600</v>
      </c>
      <c r="P28" s="313"/>
    </row>
    <row r="29" spans="1:16" ht="14.25">
      <c r="A29" s="322" t="s">
        <v>211</v>
      </c>
      <c r="B29" s="318"/>
      <c r="C29" s="319">
        <v>1975000</v>
      </c>
      <c r="D29" s="320">
        <v>7830085</v>
      </c>
      <c r="E29" s="309"/>
      <c r="F29" s="310"/>
      <c r="G29" s="310"/>
      <c r="H29" s="310"/>
      <c r="I29" s="318"/>
      <c r="J29" s="319">
        <v>1975000</v>
      </c>
      <c r="K29" s="321">
        <v>7844700</v>
      </c>
      <c r="L29" s="318"/>
      <c r="M29" s="319">
        <v>1975000</v>
      </c>
      <c r="N29" s="321">
        <v>7828110</v>
      </c>
      <c r="O29" s="295">
        <f t="shared" si="0"/>
        <v>-16590</v>
      </c>
      <c r="P29" s="313"/>
    </row>
    <row r="30" spans="1:16" ht="14.25">
      <c r="A30" s="322" t="s">
        <v>212</v>
      </c>
      <c r="B30" s="318"/>
      <c r="C30" s="319"/>
      <c r="D30" s="320">
        <v>5946900</v>
      </c>
      <c r="E30" s="309"/>
      <c r="F30" s="310"/>
      <c r="G30" s="310"/>
      <c r="H30" s="310"/>
      <c r="I30" s="318"/>
      <c r="J30" s="319"/>
      <c r="K30" s="321">
        <v>4395600</v>
      </c>
      <c r="L30" s="318"/>
      <c r="M30" s="319"/>
      <c r="N30" s="321">
        <v>4370400</v>
      </c>
      <c r="O30" s="295">
        <f t="shared" si="0"/>
        <v>-25200</v>
      </c>
      <c r="P30" s="313"/>
    </row>
    <row r="31" spans="1:16" ht="15">
      <c r="A31" s="322" t="s">
        <v>213</v>
      </c>
      <c r="B31" s="319">
        <v>76</v>
      </c>
      <c r="C31" s="319">
        <f>D31/B31</f>
        <v>60896</v>
      </c>
      <c r="D31" s="323">
        <v>4628096</v>
      </c>
      <c r="E31" s="309"/>
      <c r="F31" s="310"/>
      <c r="G31" s="310"/>
      <c r="H31" s="310"/>
      <c r="I31" s="319">
        <v>63</v>
      </c>
      <c r="J31" s="319">
        <v>55360</v>
      </c>
      <c r="K31" s="324">
        <v>3958240</v>
      </c>
      <c r="L31" s="319">
        <v>90</v>
      </c>
      <c r="M31" s="319">
        <v>55360</v>
      </c>
      <c r="N31" s="324">
        <v>5480640</v>
      </c>
      <c r="O31" s="295">
        <f t="shared" si="0"/>
        <v>1522400</v>
      </c>
      <c r="P31" s="313"/>
    </row>
    <row r="32" spans="1:16" ht="15">
      <c r="A32" s="322" t="s">
        <v>214</v>
      </c>
      <c r="B32" s="319">
        <v>80</v>
      </c>
      <c r="C32" s="319">
        <f>D32/B32</f>
        <v>188500</v>
      </c>
      <c r="D32" s="323">
        <v>15080000</v>
      </c>
      <c r="E32" s="309"/>
      <c r="F32" s="310"/>
      <c r="G32" s="310"/>
      <c r="H32" s="310"/>
      <c r="I32" s="319">
        <v>75</v>
      </c>
      <c r="J32" s="319">
        <f>145000*1.3</f>
        <v>188500</v>
      </c>
      <c r="K32" s="324">
        <f>J32*I32</f>
        <v>14137500</v>
      </c>
      <c r="L32" s="319">
        <v>73</v>
      </c>
      <c r="M32" s="319">
        <f>145000*1.3</f>
        <v>188500</v>
      </c>
      <c r="N32" s="324">
        <v>13760500</v>
      </c>
      <c r="O32" s="295">
        <f t="shared" si="0"/>
        <v>-377000</v>
      </c>
      <c r="P32" s="313"/>
    </row>
    <row r="33" spans="1:16" ht="15">
      <c r="A33" s="322" t="s">
        <v>215</v>
      </c>
      <c r="B33" s="319">
        <v>40</v>
      </c>
      <c r="C33" s="319">
        <f>D33/B33</f>
        <v>163500</v>
      </c>
      <c r="D33" s="323">
        <v>6540000</v>
      </c>
      <c r="E33" s="309"/>
      <c r="F33" s="310"/>
      <c r="G33" s="310"/>
      <c r="H33" s="310"/>
      <c r="I33" s="319">
        <v>35</v>
      </c>
      <c r="J33" s="319">
        <v>163500</v>
      </c>
      <c r="K33" s="324">
        <v>5722500</v>
      </c>
      <c r="L33" s="319">
        <v>40</v>
      </c>
      <c r="M33" s="319">
        <v>163500</v>
      </c>
      <c r="N33" s="324">
        <v>6540000</v>
      </c>
      <c r="O33" s="295">
        <f t="shared" si="0"/>
        <v>817500</v>
      </c>
      <c r="P33" s="313"/>
    </row>
    <row r="34" spans="1:16" ht="12.75">
      <c r="A34" s="322" t="s">
        <v>214</v>
      </c>
      <c r="B34" s="307"/>
      <c r="C34" s="307"/>
      <c r="D34" s="315"/>
      <c r="E34" s="309"/>
      <c r="F34" s="310"/>
      <c r="G34" s="310"/>
      <c r="H34" s="310"/>
      <c r="I34" s="307"/>
      <c r="J34" s="307"/>
      <c r="K34" s="316"/>
      <c r="L34" s="307"/>
      <c r="M34" s="307"/>
      <c r="N34" s="316"/>
      <c r="O34" s="295">
        <f t="shared" si="0"/>
        <v>0</v>
      </c>
      <c r="P34" s="313"/>
    </row>
    <row r="35" spans="1:16" ht="15">
      <c r="A35" s="322" t="s">
        <v>216</v>
      </c>
      <c r="B35" s="325">
        <v>1</v>
      </c>
      <c r="C35" s="325">
        <v>1996550</v>
      </c>
      <c r="D35" s="323">
        <f>B35*C35</f>
        <v>1996550</v>
      </c>
      <c r="E35" s="309"/>
      <c r="F35" s="310"/>
      <c r="G35" s="310"/>
      <c r="H35" s="310"/>
      <c r="I35" s="325">
        <v>1</v>
      </c>
      <c r="J35" s="325">
        <v>1996550</v>
      </c>
      <c r="K35" s="324">
        <v>2500000</v>
      </c>
      <c r="L35" s="325">
        <v>1</v>
      </c>
      <c r="M35" s="325">
        <v>1996550</v>
      </c>
      <c r="N35" s="324">
        <v>2500000</v>
      </c>
      <c r="O35" s="295">
        <f t="shared" si="0"/>
        <v>0</v>
      </c>
      <c r="P35" s="313"/>
    </row>
    <row r="36" spans="1:16" ht="15">
      <c r="A36" s="322" t="s">
        <v>217</v>
      </c>
      <c r="B36" s="325">
        <v>5</v>
      </c>
      <c r="C36" s="325">
        <v>268200</v>
      </c>
      <c r="D36" s="323">
        <f>B36*C36</f>
        <v>1341000</v>
      </c>
      <c r="E36" s="309"/>
      <c r="F36" s="310"/>
      <c r="G36" s="310"/>
      <c r="H36" s="310"/>
      <c r="I36" s="325">
        <v>7</v>
      </c>
      <c r="J36" s="325">
        <v>268200</v>
      </c>
      <c r="K36" s="324">
        <v>2440620</v>
      </c>
      <c r="L36" s="325">
        <v>5</v>
      </c>
      <c r="M36" s="325">
        <f>268200*1.3</f>
        <v>348660</v>
      </c>
      <c r="N36" s="324">
        <f>M36*L36</f>
        <v>1743300</v>
      </c>
      <c r="O36" s="295">
        <f t="shared" si="0"/>
        <v>-697320</v>
      </c>
      <c r="P36" s="313"/>
    </row>
    <row r="37" spans="1:16" ht="12.75">
      <c r="A37" s="322" t="s">
        <v>218</v>
      </c>
      <c r="B37" s="307"/>
      <c r="C37" s="307"/>
      <c r="D37" s="308"/>
      <c r="E37" s="309"/>
      <c r="F37" s="310"/>
      <c r="G37" s="310"/>
      <c r="H37" s="310"/>
      <c r="I37" s="307"/>
      <c r="J37" s="307"/>
      <c r="K37" s="311"/>
      <c r="L37" s="307"/>
      <c r="M37" s="307"/>
      <c r="N37" s="311"/>
      <c r="O37" s="295">
        <f t="shared" si="0"/>
        <v>0</v>
      </c>
      <c r="P37" s="313"/>
    </row>
    <row r="38" spans="1:16" ht="12.75">
      <c r="A38" s="385" t="s">
        <v>219</v>
      </c>
      <c r="B38" s="375"/>
      <c r="C38" s="375"/>
      <c r="D38" s="386">
        <f>SUM(D29:D37)</f>
        <v>43362631</v>
      </c>
      <c r="E38" s="377"/>
      <c r="F38" s="379"/>
      <c r="G38" s="379"/>
      <c r="H38" s="379"/>
      <c r="I38" s="375"/>
      <c r="J38" s="375"/>
      <c r="K38" s="386">
        <f>SUM(K29:K37)</f>
        <v>40999160</v>
      </c>
      <c r="L38" s="375"/>
      <c r="M38" s="375"/>
      <c r="N38" s="386">
        <f>SUM(N29:N37)</f>
        <v>42222950</v>
      </c>
      <c r="O38" s="387">
        <f t="shared" si="0"/>
        <v>1223790</v>
      </c>
      <c r="P38" s="313"/>
    </row>
    <row r="39" spans="1:16" ht="12.75">
      <c r="A39" s="317" t="s">
        <v>220</v>
      </c>
      <c r="B39" s="307"/>
      <c r="C39" s="307"/>
      <c r="D39" s="308"/>
      <c r="E39" s="309"/>
      <c r="F39" s="310"/>
      <c r="G39" s="310"/>
      <c r="H39" s="310"/>
      <c r="I39" s="307"/>
      <c r="J39" s="307"/>
      <c r="K39" s="311"/>
      <c r="L39" s="307"/>
      <c r="M39" s="307"/>
      <c r="N39" s="311"/>
      <c r="O39" s="312">
        <f t="shared" si="0"/>
        <v>0</v>
      </c>
      <c r="P39" s="313"/>
    </row>
    <row r="40" spans="1:16" ht="15">
      <c r="A40" s="388" t="s">
        <v>221</v>
      </c>
      <c r="B40" s="389">
        <v>50</v>
      </c>
      <c r="C40" s="389">
        <v>494100</v>
      </c>
      <c r="D40" s="390">
        <f>C40*B40</f>
        <v>24705000</v>
      </c>
      <c r="E40" s="377"/>
      <c r="F40" s="379"/>
      <c r="G40" s="379"/>
      <c r="H40" s="379"/>
      <c r="I40" s="389">
        <v>33</v>
      </c>
      <c r="J40" s="389">
        <v>494100</v>
      </c>
      <c r="K40" s="391">
        <f>J40*I40</f>
        <v>16305300</v>
      </c>
      <c r="L40" s="389">
        <v>50</v>
      </c>
      <c r="M40" s="389">
        <v>494100</v>
      </c>
      <c r="N40" s="391">
        <v>24705000</v>
      </c>
      <c r="O40" s="387">
        <f t="shared" si="0"/>
        <v>8399700</v>
      </c>
      <c r="P40" s="313"/>
    </row>
    <row r="41" spans="1:16" ht="15">
      <c r="A41" s="370" t="s">
        <v>237</v>
      </c>
      <c r="B41" s="319"/>
      <c r="C41" s="319">
        <v>0</v>
      </c>
      <c r="D41" s="326">
        <v>612000</v>
      </c>
      <c r="E41" s="309"/>
      <c r="F41" s="310"/>
      <c r="G41" s="310"/>
      <c r="H41" s="310"/>
      <c r="I41" s="319">
        <v>9</v>
      </c>
      <c r="J41" s="319">
        <v>0</v>
      </c>
      <c r="K41" s="327">
        <v>4669245</v>
      </c>
      <c r="L41" s="319">
        <v>0</v>
      </c>
      <c r="M41" s="319">
        <v>0</v>
      </c>
      <c r="N41" s="327"/>
      <c r="O41" s="295">
        <f t="shared" si="0"/>
        <v>-4669245</v>
      </c>
      <c r="P41" s="313"/>
    </row>
    <row r="42" spans="1:16" s="118" customFormat="1" ht="12.75">
      <c r="A42" s="392" t="s">
        <v>232</v>
      </c>
      <c r="B42" s="393"/>
      <c r="C42" s="393"/>
      <c r="D42" s="394">
        <v>21072000</v>
      </c>
      <c r="E42" s="395"/>
      <c r="F42" s="393"/>
      <c r="G42" s="393"/>
      <c r="H42" s="393"/>
      <c r="I42" s="393"/>
      <c r="J42" s="393"/>
      <c r="K42" s="394">
        <f>21072000+7680000</f>
        <v>28752000</v>
      </c>
      <c r="L42" s="393"/>
      <c r="M42" s="393"/>
      <c r="N42" s="394"/>
      <c r="O42" s="394">
        <f t="shared" si="0"/>
        <v>-28752000</v>
      </c>
      <c r="P42" s="396" t="s">
        <v>252</v>
      </c>
    </row>
    <row r="43" spans="1:16" ht="15">
      <c r="A43" s="397" t="s">
        <v>233</v>
      </c>
      <c r="B43" s="398"/>
      <c r="C43" s="398"/>
      <c r="D43" s="399"/>
      <c r="E43" s="400"/>
      <c r="F43" s="401"/>
      <c r="G43" s="401"/>
      <c r="H43" s="401"/>
      <c r="I43" s="398">
        <v>0</v>
      </c>
      <c r="J43" s="398"/>
      <c r="K43" s="402">
        <v>7978000</v>
      </c>
      <c r="L43" s="398">
        <v>0</v>
      </c>
      <c r="M43" s="398"/>
      <c r="N43" s="402">
        <v>8087000</v>
      </c>
      <c r="O43" s="394">
        <f t="shared" si="0"/>
        <v>109000</v>
      </c>
      <c r="P43" s="396" t="s">
        <v>254</v>
      </c>
    </row>
    <row r="44" spans="1:16" ht="28.5" customHeight="1">
      <c r="A44" s="403" t="s">
        <v>222</v>
      </c>
      <c r="B44" s="328">
        <v>32</v>
      </c>
      <c r="C44" s="328">
        <f aca="true" t="shared" si="1" ref="C44:C50">D44/B44</f>
        <v>1888000</v>
      </c>
      <c r="D44" s="329">
        <v>60416000</v>
      </c>
      <c r="E44" s="330" t="s">
        <v>136</v>
      </c>
      <c r="F44" s="331">
        <f>2*2832000</f>
        <v>5664000</v>
      </c>
      <c r="G44" s="331"/>
      <c r="H44" s="331"/>
      <c r="I44" s="328">
        <v>28.6</v>
      </c>
      <c r="J44" s="328">
        <v>4012000</v>
      </c>
      <c r="K44" s="332">
        <f>J44*I44/12*8</f>
        <v>76495466.66666667</v>
      </c>
      <c r="L44" s="328">
        <v>28.6</v>
      </c>
      <c r="M44" s="328">
        <v>4012000</v>
      </c>
      <c r="N44" s="332">
        <v>79164800</v>
      </c>
      <c r="O44" s="295">
        <f t="shared" si="0"/>
        <v>2669333.3333333284</v>
      </c>
      <c r="P44" s="333"/>
    </row>
    <row r="45" spans="1:16" ht="12.75">
      <c r="A45" s="403" t="s">
        <v>223</v>
      </c>
      <c r="B45" s="328">
        <v>16</v>
      </c>
      <c r="C45" s="328">
        <f t="shared" si="1"/>
        <v>1088000</v>
      </c>
      <c r="D45" s="329">
        <v>17408000</v>
      </c>
      <c r="E45" s="330"/>
      <c r="F45" s="331"/>
      <c r="G45" s="331"/>
      <c r="H45" s="331"/>
      <c r="I45" s="328">
        <v>21</v>
      </c>
      <c r="J45" s="328">
        <v>1800000</v>
      </c>
      <c r="K45" s="332">
        <f>J45*I45/12*8</f>
        <v>25200000</v>
      </c>
      <c r="L45" s="328">
        <v>21</v>
      </c>
      <c r="M45" s="328">
        <v>1800000</v>
      </c>
      <c r="N45" s="332">
        <f>M45*L45/12*8</f>
        <v>25200000</v>
      </c>
      <c r="O45" s="295">
        <f t="shared" si="0"/>
        <v>0</v>
      </c>
      <c r="P45" s="333"/>
    </row>
    <row r="46" spans="1:16" ht="12.75">
      <c r="A46" s="403" t="s">
        <v>224</v>
      </c>
      <c r="B46" s="328">
        <v>32</v>
      </c>
      <c r="C46" s="328">
        <f t="shared" si="1"/>
        <v>944000</v>
      </c>
      <c r="D46" s="329">
        <v>30208000</v>
      </c>
      <c r="E46" s="330"/>
      <c r="F46" s="331"/>
      <c r="G46" s="331"/>
      <c r="H46" s="331"/>
      <c r="I46" s="328">
        <v>28.9</v>
      </c>
      <c r="J46" s="328">
        <v>4012000</v>
      </c>
      <c r="K46" s="332">
        <f>J46*I46/12*4</f>
        <v>38648933.333333336</v>
      </c>
      <c r="L46" s="328">
        <v>28.6</v>
      </c>
      <c r="M46" s="328">
        <v>4012000</v>
      </c>
      <c r="N46" s="332">
        <v>39582400</v>
      </c>
      <c r="O46" s="295">
        <f t="shared" si="0"/>
        <v>933466.6666666642</v>
      </c>
      <c r="P46" s="333"/>
    </row>
    <row r="47" spans="1:16" ht="12.75">
      <c r="A47" s="403"/>
      <c r="B47" s="328"/>
      <c r="C47" s="328"/>
      <c r="D47" s="329"/>
      <c r="E47" s="330"/>
      <c r="F47" s="331"/>
      <c r="G47" s="331"/>
      <c r="H47" s="331"/>
      <c r="I47" s="328"/>
      <c r="J47" s="328"/>
      <c r="K47" s="332">
        <v>994160</v>
      </c>
      <c r="L47" s="328"/>
      <c r="M47" s="328"/>
      <c r="N47" s="332">
        <v>1001000</v>
      </c>
      <c r="O47" s="295">
        <f t="shared" si="0"/>
        <v>6840</v>
      </c>
      <c r="P47" s="333"/>
    </row>
    <row r="48" spans="1:16" ht="12.75">
      <c r="A48" s="403" t="s">
        <v>225</v>
      </c>
      <c r="B48" s="328">
        <v>16</v>
      </c>
      <c r="C48" s="328">
        <f t="shared" si="1"/>
        <v>578000</v>
      </c>
      <c r="D48" s="329">
        <v>9248000</v>
      </c>
      <c r="E48" s="330"/>
      <c r="F48" s="331"/>
      <c r="G48" s="331"/>
      <c r="H48" s="331"/>
      <c r="I48" s="328">
        <v>21</v>
      </c>
      <c r="J48" s="328">
        <v>1800000</v>
      </c>
      <c r="K48" s="332">
        <f>J48*I48/12*4</f>
        <v>12600000</v>
      </c>
      <c r="L48" s="328">
        <v>21</v>
      </c>
      <c r="M48" s="328">
        <v>1800000</v>
      </c>
      <c r="N48" s="332">
        <f>M48*L48/12*4</f>
        <v>12600000</v>
      </c>
      <c r="O48" s="295">
        <f t="shared" si="0"/>
        <v>0</v>
      </c>
      <c r="P48" s="333"/>
    </row>
    <row r="49" spans="1:16" ht="12.75">
      <c r="A49" s="403" t="s">
        <v>226</v>
      </c>
      <c r="B49" s="328">
        <v>368</v>
      </c>
      <c r="C49" s="328">
        <f t="shared" si="1"/>
        <v>36000</v>
      </c>
      <c r="D49" s="329">
        <v>13248000</v>
      </c>
      <c r="E49" s="330"/>
      <c r="F49" s="331">
        <f>54000*14</f>
        <v>756000</v>
      </c>
      <c r="G49" s="331"/>
      <c r="H49" s="331"/>
      <c r="I49" s="328">
        <v>323</v>
      </c>
      <c r="J49" s="328">
        <v>56000</v>
      </c>
      <c r="K49" s="332">
        <f>J49*I49/12*8</f>
        <v>12058666.666666666</v>
      </c>
      <c r="L49" s="328">
        <v>323</v>
      </c>
      <c r="M49" s="328">
        <v>56000</v>
      </c>
      <c r="N49" s="332">
        <v>15073333</v>
      </c>
      <c r="O49" s="295">
        <f t="shared" si="0"/>
        <v>3014666.333333334</v>
      </c>
      <c r="P49" s="333"/>
    </row>
    <row r="50" spans="1:16" ht="12.75">
      <c r="A50" s="403" t="s">
        <v>227</v>
      </c>
      <c r="B50" s="328">
        <v>370</v>
      </c>
      <c r="C50" s="328">
        <f t="shared" si="1"/>
        <v>18000</v>
      </c>
      <c r="D50" s="329">
        <v>6660000</v>
      </c>
      <c r="E50" s="330"/>
      <c r="F50" s="331"/>
      <c r="G50" s="331"/>
      <c r="H50" s="331"/>
      <c r="I50" s="328">
        <v>330</v>
      </c>
      <c r="J50" s="328">
        <v>56000</v>
      </c>
      <c r="K50" s="332">
        <f>J50*I50/12*4</f>
        <v>6160000</v>
      </c>
      <c r="L50" s="328">
        <v>325</v>
      </c>
      <c r="M50" s="328">
        <v>56000</v>
      </c>
      <c r="N50" s="332">
        <v>7583333</v>
      </c>
      <c r="O50" s="295">
        <f t="shared" si="0"/>
        <v>1423333</v>
      </c>
      <c r="P50" s="333"/>
    </row>
    <row r="51" spans="1:16" ht="12.75">
      <c r="A51" s="403"/>
      <c r="B51" s="328"/>
      <c r="C51" s="328"/>
      <c r="D51" s="329"/>
      <c r="E51" s="330"/>
      <c r="F51" s="331"/>
      <c r="G51" s="331"/>
      <c r="H51" s="331"/>
      <c r="I51" s="328"/>
      <c r="J51" s="328"/>
      <c r="K51" s="332"/>
      <c r="L51" s="328"/>
      <c r="M51" s="328"/>
      <c r="N51" s="332">
        <v>1056000</v>
      </c>
      <c r="O51" s="295">
        <f t="shared" si="0"/>
        <v>1056000</v>
      </c>
      <c r="P51" s="333"/>
    </row>
    <row r="52" spans="1:16" ht="12.75">
      <c r="A52" s="385" t="s">
        <v>228</v>
      </c>
      <c r="B52" s="375"/>
      <c r="C52" s="375"/>
      <c r="D52" s="386">
        <f>SUM(D44:D50)</f>
        <v>137188000</v>
      </c>
      <c r="E52" s="377"/>
      <c r="F52" s="404">
        <f>SUM(F44:F50)</f>
        <v>6420000</v>
      </c>
      <c r="G52" s="379"/>
      <c r="H52" s="379"/>
      <c r="I52" s="375"/>
      <c r="J52" s="375"/>
      <c r="K52" s="405">
        <f>SUM(K44:K50)</f>
        <v>172157226.66666666</v>
      </c>
      <c r="L52" s="375"/>
      <c r="M52" s="375"/>
      <c r="N52" s="405">
        <f>SUM(N44:N51)</f>
        <v>181260866</v>
      </c>
      <c r="O52" s="387">
        <f t="shared" si="0"/>
        <v>9103639.333333343</v>
      </c>
      <c r="P52" s="333"/>
    </row>
    <row r="53" spans="1:16" ht="12.75">
      <c r="A53" s="334" t="s">
        <v>229</v>
      </c>
      <c r="B53" s="328">
        <f>524-26</f>
        <v>498</v>
      </c>
      <c r="C53" s="328">
        <v>102000</v>
      </c>
      <c r="D53" s="329">
        <f>B53*C53</f>
        <v>50796000</v>
      </c>
      <c r="E53" s="330"/>
      <c r="F53" s="331">
        <f>171*102000</f>
        <v>17442000</v>
      </c>
      <c r="G53" s="331">
        <f>4*102000</f>
        <v>408000</v>
      </c>
      <c r="H53" s="331"/>
      <c r="I53" s="328">
        <v>18.83</v>
      </c>
      <c r="J53" s="328">
        <v>1632000</v>
      </c>
      <c r="K53" s="332">
        <f>I53*J53</f>
        <v>30730559.999999996</v>
      </c>
      <c r="L53" s="328">
        <v>18.83</v>
      </c>
      <c r="M53" s="328">
        <v>1632000</v>
      </c>
      <c r="N53" s="332">
        <v>37356480</v>
      </c>
      <c r="O53" s="295">
        <f t="shared" si="0"/>
        <v>6625920.000000004</v>
      </c>
      <c r="P53" s="333"/>
    </row>
    <row r="54" spans="1:16" ht="12.75">
      <c r="A54" s="334" t="s">
        <v>238</v>
      </c>
      <c r="B54" s="328"/>
      <c r="C54" s="328"/>
      <c r="D54" s="329"/>
      <c r="E54" s="330"/>
      <c r="F54" s="331"/>
      <c r="G54" s="331"/>
      <c r="H54" s="331"/>
      <c r="I54" s="328"/>
      <c r="J54" s="328"/>
      <c r="K54" s="332">
        <v>30872476</v>
      </c>
      <c r="L54" s="328"/>
      <c r="M54" s="328"/>
      <c r="N54" s="332">
        <v>19889528</v>
      </c>
      <c r="O54" s="295">
        <f t="shared" si="0"/>
        <v>-10982948</v>
      </c>
      <c r="P54" s="333"/>
    </row>
    <row r="55" spans="1:16" ht="15">
      <c r="A55" s="337" t="s">
        <v>230</v>
      </c>
      <c r="B55" s="328"/>
      <c r="C55" s="328"/>
      <c r="D55" s="335"/>
      <c r="E55" s="330"/>
      <c r="F55" s="331"/>
      <c r="G55" s="331"/>
      <c r="H55" s="331"/>
      <c r="I55" s="328"/>
      <c r="J55" s="328"/>
      <c r="K55" s="336"/>
      <c r="L55" s="328"/>
      <c r="M55" s="328"/>
      <c r="N55" s="336"/>
      <c r="O55" s="295">
        <f t="shared" si="0"/>
        <v>0</v>
      </c>
      <c r="P55" s="333"/>
    </row>
    <row r="56" spans="1:17" ht="16.5" customHeight="1">
      <c r="A56" s="338" t="s">
        <v>231</v>
      </c>
      <c r="B56" s="339"/>
      <c r="C56" s="340"/>
      <c r="D56" s="341">
        <f>D53+D52+D41+D40+D36+D35+D33+D32+D31+D29+D27+D23+D21+D28+D30+D25</f>
        <v>482355275.645</v>
      </c>
      <c r="E56" s="342"/>
      <c r="F56" s="331"/>
      <c r="G56" s="331"/>
      <c r="H56" s="331"/>
      <c r="I56" s="339"/>
      <c r="J56" s="340"/>
      <c r="K56" s="343">
        <f>K53+K52+K41+K40+K36+K35+K33+K32+K31+K29+K27+K23+K21+K28+K30+K25+K43+K42+K54</f>
        <v>627341144.6666666</v>
      </c>
      <c r="L56" s="339"/>
      <c r="M56" s="340"/>
      <c r="N56" s="343">
        <f>N53+N52+N41+N40+N36+N35+N33+N32+N31+N29+N27+N23+N21+N28+N30+N25+N43+N42+N54</f>
        <v>637938294</v>
      </c>
      <c r="O56" s="295">
        <f t="shared" si="0"/>
        <v>10597149.333333373</v>
      </c>
      <c r="P56" s="344"/>
      <c r="Q56" s="54"/>
    </row>
    <row r="57" spans="1:17" ht="12.75">
      <c r="A57" s="345" t="s">
        <v>234</v>
      </c>
      <c r="B57" s="284"/>
      <c r="C57" s="284"/>
      <c r="D57" s="346"/>
      <c r="E57" s="347"/>
      <c r="F57" s="284"/>
      <c r="G57" s="284"/>
      <c r="H57" s="284"/>
      <c r="I57" s="284"/>
      <c r="J57" s="284"/>
      <c r="K57" s="346"/>
      <c r="L57" s="284"/>
      <c r="M57" s="284"/>
      <c r="N57" s="346"/>
      <c r="O57" s="284"/>
      <c r="P57" s="289"/>
      <c r="Q57" s="54"/>
    </row>
    <row r="58" spans="1:16" ht="12.75">
      <c r="A58" s="291"/>
      <c r="B58" s="284"/>
      <c r="C58" s="284"/>
      <c r="D58" s="346"/>
      <c r="E58" s="347"/>
      <c r="F58" s="284"/>
      <c r="G58" s="284"/>
      <c r="H58" s="284"/>
      <c r="I58" s="284"/>
      <c r="J58" s="284"/>
      <c r="K58" s="346"/>
      <c r="L58" s="284"/>
      <c r="M58" s="284"/>
      <c r="N58" s="346"/>
      <c r="O58" s="284"/>
      <c r="P58" s="289"/>
    </row>
    <row r="59" spans="1:16" ht="12.75">
      <c r="A59" s="291"/>
      <c r="B59" s="284"/>
      <c r="C59" s="284"/>
      <c r="D59" s="346"/>
      <c r="E59" s="347"/>
      <c r="F59" s="284"/>
      <c r="G59" s="284"/>
      <c r="H59" s="284"/>
      <c r="I59" s="284"/>
      <c r="J59" s="284"/>
      <c r="K59" s="346"/>
      <c r="L59" s="284"/>
      <c r="M59" s="284"/>
      <c r="N59" s="346"/>
      <c r="O59" s="284"/>
      <c r="P59" s="289"/>
    </row>
    <row r="60" spans="1:16" ht="12.75">
      <c r="A60" s="365"/>
      <c r="B60" s="366"/>
      <c r="C60" s="366"/>
      <c r="D60" s="367"/>
      <c r="E60" s="368"/>
      <c r="F60" s="366"/>
      <c r="G60" s="366"/>
      <c r="H60" s="366"/>
      <c r="I60" s="366"/>
      <c r="J60" s="366"/>
      <c r="K60" s="367"/>
      <c r="L60" s="366"/>
      <c r="M60" s="366"/>
      <c r="N60" s="367"/>
      <c r="O60" s="366"/>
      <c r="P60" s="369"/>
    </row>
    <row r="61" spans="1:16" s="118" customFormat="1" ht="13.5" thickBot="1">
      <c r="A61" s="406"/>
      <c r="B61" s="407"/>
      <c r="C61" s="407"/>
      <c r="D61" s="408"/>
      <c r="E61" s="409"/>
      <c r="F61" s="407"/>
      <c r="G61" s="407"/>
      <c r="H61" s="407"/>
      <c r="I61" s="407"/>
      <c r="J61" s="407"/>
      <c r="K61" s="408"/>
      <c r="L61" s="407"/>
      <c r="M61" s="407"/>
      <c r="N61" s="408"/>
      <c r="O61" s="407"/>
      <c r="P61" s="410"/>
    </row>
    <row r="64" spans="1:11" ht="12.75">
      <c r="A64" s="185" t="s">
        <v>255</v>
      </c>
      <c r="I64" s="185" t="s">
        <v>261</v>
      </c>
      <c r="J64" s="185" t="s">
        <v>262</v>
      </c>
      <c r="K64" s="251">
        <f>N53+N54</f>
        <v>57246008</v>
      </c>
    </row>
    <row r="65" spans="1:11" ht="12.75">
      <c r="A65" s="185" t="s">
        <v>256</v>
      </c>
      <c r="I65">
        <v>1600</v>
      </c>
      <c r="J65">
        <f aca="true" t="shared" si="2" ref="J65:J70">I65/96120</f>
        <v>0.016645859342488557</v>
      </c>
      <c r="K65" s="251">
        <f aca="true" t="shared" si="3" ref="K65:K70">J65*$K$64</f>
        <v>952908.9970869747</v>
      </c>
    </row>
    <row r="66" spans="1:11" ht="12.75">
      <c r="A66" s="185" t="s">
        <v>258</v>
      </c>
      <c r="I66">
        <f>28267-1600</f>
        <v>26667</v>
      </c>
      <c r="J66">
        <f t="shared" si="2"/>
        <v>0.27743445692883895</v>
      </c>
      <c r="K66" s="251">
        <f t="shared" si="3"/>
        <v>15882015.14082397</v>
      </c>
    </row>
    <row r="67" spans="1:11" ht="12.75">
      <c r="A67" s="185" t="s">
        <v>257</v>
      </c>
      <c r="I67">
        <v>39544</v>
      </c>
      <c r="J67">
        <f t="shared" si="2"/>
        <v>0.41140241364960467</v>
      </c>
      <c r="K67" s="251">
        <f t="shared" si="3"/>
        <v>23551145.863004576</v>
      </c>
    </row>
    <row r="68" spans="1:11" ht="12.75">
      <c r="A68" s="185" t="s">
        <v>259</v>
      </c>
      <c r="I68">
        <v>16185</v>
      </c>
      <c r="J68">
        <f t="shared" si="2"/>
        <v>0.1683832709113608</v>
      </c>
      <c r="K68" s="251">
        <f t="shared" si="3"/>
        <v>9639270.073657928</v>
      </c>
    </row>
    <row r="69" spans="1:11" ht="12.75">
      <c r="A69" s="185" t="s">
        <v>260</v>
      </c>
      <c r="I69">
        <v>12124</v>
      </c>
      <c r="J69">
        <f t="shared" si="2"/>
        <v>0.12613399916770704</v>
      </c>
      <c r="K69" s="251">
        <f t="shared" si="3"/>
        <v>7220667.92542655</v>
      </c>
    </row>
    <row r="70" spans="9:11" ht="12.75">
      <c r="I70">
        <f>SUM(I65:I69)</f>
        <v>96120</v>
      </c>
      <c r="J70">
        <f t="shared" si="2"/>
        <v>1</v>
      </c>
      <c r="K70" s="251">
        <f t="shared" si="3"/>
        <v>57246008</v>
      </c>
    </row>
  </sheetData>
  <sheetProtection/>
  <printOptions/>
  <pageMargins left="0.9448818897637796" right="0.4330708661417323" top="0.31496062992125984" bottom="0.5511811023622047" header="0.5118110236220472" footer="0.5118110236220472"/>
  <pageSetup horizontalDpi="600" verticalDpi="600" orientation="landscape" paperSize="9" r:id="rId1"/>
  <headerFooter alignWithMargins="0">
    <oddHeader>&amp;R2015. évi költségvetés melléklete</oddHeader>
    <oddFooter>&amp;C&amp;P. oldal&amp;R&amp;D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A83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35.28125" style="0" customWidth="1"/>
    <col min="2" max="3" width="11.28125" style="0" customWidth="1"/>
    <col min="4" max="4" width="13.57421875" style="0" customWidth="1"/>
    <col min="5" max="5" width="12.140625" style="0" customWidth="1"/>
    <col min="6" max="6" width="2.00390625" style="0" hidden="1" customWidth="1"/>
    <col min="7" max="7" width="9.140625" style="0" hidden="1" customWidth="1"/>
    <col min="8" max="8" width="14.8515625" style="0" hidden="1" customWidth="1"/>
    <col min="9" max="12" width="9.140625" style="0" hidden="1" customWidth="1"/>
  </cols>
  <sheetData>
    <row r="1" ht="12.75">
      <c r="A1" s="131"/>
    </row>
    <row r="2" ht="16.5">
      <c r="A2" s="269" t="s">
        <v>239</v>
      </c>
    </row>
    <row r="3" ht="13.5" thickBot="1"/>
    <row r="4" spans="1:8" ht="13.5" thickBot="1">
      <c r="A4" s="59" t="s">
        <v>77</v>
      </c>
      <c r="B4" s="61" t="s">
        <v>128</v>
      </c>
      <c r="C4" s="61"/>
      <c r="D4" s="60" t="s">
        <v>132</v>
      </c>
      <c r="E4" s="415"/>
      <c r="G4" s="446" t="s">
        <v>265</v>
      </c>
      <c r="H4" s="442" t="s">
        <v>266</v>
      </c>
    </row>
    <row r="5" spans="1:8" ht="13.5" thickBot="1">
      <c r="A5" s="62"/>
      <c r="B5" s="63">
        <v>2014</v>
      </c>
      <c r="C5" s="63">
        <v>2015</v>
      </c>
      <c r="D5" s="63">
        <v>2014</v>
      </c>
      <c r="E5" s="63">
        <v>2015</v>
      </c>
      <c r="G5" s="447"/>
      <c r="H5" s="443"/>
    </row>
    <row r="6" spans="1:8" ht="15" customHeight="1">
      <c r="A6" s="416" t="s">
        <v>79</v>
      </c>
      <c r="B6" s="64"/>
      <c r="C6" s="64"/>
      <c r="D6" s="66"/>
      <c r="E6" s="417"/>
      <c r="G6" s="447"/>
      <c r="H6" s="443"/>
    </row>
    <row r="7" spans="1:8" ht="15" customHeight="1">
      <c r="A7" s="416" t="s">
        <v>80</v>
      </c>
      <c r="B7" s="64"/>
      <c r="C7" s="64"/>
      <c r="D7" s="67"/>
      <c r="E7" s="418"/>
      <c r="G7" s="447"/>
      <c r="H7" s="443"/>
    </row>
    <row r="8" spans="1:8" ht="14.25">
      <c r="A8" s="419" t="s">
        <v>248</v>
      </c>
      <c r="B8" s="70">
        <v>360</v>
      </c>
      <c r="C8" s="70"/>
      <c r="D8" s="71"/>
      <c r="E8" s="420"/>
      <c r="G8" s="447">
        <v>18</v>
      </c>
      <c r="H8" s="443"/>
    </row>
    <row r="9" spans="1:8" ht="15" thickBot="1">
      <c r="A9" s="419" t="s">
        <v>133</v>
      </c>
      <c r="B9" s="70">
        <v>50</v>
      </c>
      <c r="C9" s="70">
        <v>300</v>
      </c>
      <c r="D9" s="71"/>
      <c r="E9" s="420"/>
      <c r="G9" s="447">
        <v>215</v>
      </c>
      <c r="H9" s="443"/>
    </row>
    <row r="10" spans="1:8" ht="15" thickBot="1">
      <c r="A10" s="421" t="s">
        <v>81</v>
      </c>
      <c r="B10" s="72">
        <f>SUM(B8:B9)</f>
        <v>410</v>
      </c>
      <c r="C10" s="72">
        <f>SUM(C8:C9)</f>
        <v>300</v>
      </c>
      <c r="D10" s="73"/>
      <c r="E10" s="422"/>
      <c r="F10" s="54">
        <f>C10-'bevételi összesen'!$B$10</f>
        <v>300</v>
      </c>
      <c r="G10" s="448">
        <f>SUM(G8:G9)</f>
        <v>233</v>
      </c>
      <c r="H10" s="452">
        <f>SUM(H8:H9)</f>
        <v>0</v>
      </c>
    </row>
    <row r="11" spans="1:8" ht="15">
      <c r="A11" s="423" t="s">
        <v>82</v>
      </c>
      <c r="B11" s="74"/>
      <c r="C11" s="74"/>
      <c r="D11" s="71"/>
      <c r="E11" s="420"/>
      <c r="F11" s="75"/>
      <c r="G11" s="447"/>
      <c r="H11" s="443"/>
    </row>
    <row r="12" spans="1:8" ht="13.5" customHeight="1">
      <c r="A12" s="76" t="s">
        <v>83</v>
      </c>
      <c r="B12" s="68"/>
      <c r="C12" s="68"/>
      <c r="D12" s="68">
        <v>1500</v>
      </c>
      <c r="E12" s="424">
        <v>120</v>
      </c>
      <c r="G12" s="447"/>
      <c r="H12" s="443">
        <v>1109</v>
      </c>
    </row>
    <row r="13" spans="1:9" ht="25.5">
      <c r="A13" s="425" t="s">
        <v>84</v>
      </c>
      <c r="B13" s="68"/>
      <c r="C13" s="68"/>
      <c r="D13" s="68">
        <v>50</v>
      </c>
      <c r="E13" s="424">
        <v>200</v>
      </c>
      <c r="G13" s="447">
        <v>16</v>
      </c>
      <c r="H13" s="443">
        <v>122</v>
      </c>
      <c r="I13" s="185" t="s">
        <v>273</v>
      </c>
    </row>
    <row r="14" spans="1:8" ht="14.25" hidden="1">
      <c r="A14" s="426" t="s">
        <v>85</v>
      </c>
      <c r="B14" s="128"/>
      <c r="C14" s="128"/>
      <c r="D14" s="128">
        <v>0</v>
      </c>
      <c r="E14" s="427">
        <v>0</v>
      </c>
      <c r="G14" s="447"/>
      <c r="H14" s="443"/>
    </row>
    <row r="15" spans="1:8" ht="14.25" hidden="1">
      <c r="A15" s="425" t="s">
        <v>86</v>
      </c>
      <c r="B15" s="127"/>
      <c r="C15" s="127"/>
      <c r="D15" s="127">
        <v>0</v>
      </c>
      <c r="E15" s="428">
        <v>0</v>
      </c>
      <c r="G15" s="447"/>
      <c r="H15" s="443"/>
    </row>
    <row r="16" spans="1:8" ht="25.5" hidden="1">
      <c r="A16" s="77" t="s">
        <v>87</v>
      </c>
      <c r="B16" s="128"/>
      <c r="C16" s="128"/>
      <c r="D16" s="128">
        <v>0</v>
      </c>
      <c r="E16" s="427">
        <v>0</v>
      </c>
      <c r="G16" s="447"/>
      <c r="H16" s="443"/>
    </row>
    <row r="17" spans="1:8" ht="15">
      <c r="A17" s="78" t="s">
        <v>88</v>
      </c>
      <c r="B17" s="127"/>
      <c r="C17" s="127"/>
      <c r="D17" s="127">
        <v>1400</v>
      </c>
      <c r="E17" s="428">
        <v>1000</v>
      </c>
      <c r="G17" s="447"/>
      <c r="H17" s="443">
        <v>953</v>
      </c>
    </row>
    <row r="18" spans="1:8" ht="15">
      <c r="A18" s="78" t="s">
        <v>89</v>
      </c>
      <c r="B18" s="68"/>
      <c r="C18" s="68"/>
      <c r="D18" s="68">
        <v>500</v>
      </c>
      <c r="E18" s="424">
        <v>1000</v>
      </c>
      <c r="G18" s="447"/>
      <c r="H18" s="453">
        <v>1844</v>
      </c>
    </row>
    <row r="19" spans="1:8" ht="15" customHeight="1">
      <c r="A19" s="65" t="s">
        <v>175</v>
      </c>
      <c r="B19" s="69">
        <v>2200</v>
      </c>
      <c r="C19" s="69">
        <v>2200</v>
      </c>
      <c r="D19" s="69"/>
      <c r="E19" s="429"/>
      <c r="G19" s="443">
        <v>1317</v>
      </c>
      <c r="H19" s="443"/>
    </row>
    <row r="20" spans="1:8" ht="15" customHeight="1" hidden="1">
      <c r="A20" s="79" t="s">
        <v>90</v>
      </c>
      <c r="B20" s="69"/>
      <c r="C20" s="69"/>
      <c r="D20" s="69"/>
      <c r="E20" s="429"/>
      <c r="G20" s="447"/>
      <c r="H20" s="443"/>
    </row>
    <row r="21" spans="1:79" s="82" customFormat="1" ht="16.5" hidden="1">
      <c r="A21" s="80"/>
      <c r="B21" s="81"/>
      <c r="C21" s="81"/>
      <c r="D21" s="81"/>
      <c r="E21" s="430"/>
      <c r="F21" s="1"/>
      <c r="G21" s="447"/>
      <c r="H21" s="44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8" s="85" customFormat="1" ht="15.75" hidden="1" thickBot="1">
      <c r="A22" s="83" t="s">
        <v>91</v>
      </c>
      <c r="B22" s="84"/>
      <c r="C22" s="84"/>
      <c r="D22" s="84"/>
      <c r="E22" s="431"/>
      <c r="G22" s="449"/>
      <c r="H22" s="444"/>
    </row>
    <row r="23" spans="1:8" ht="16.5" hidden="1">
      <c r="A23" s="432"/>
      <c r="B23" s="1"/>
      <c r="C23" s="1"/>
      <c r="D23" s="1"/>
      <c r="E23" s="433"/>
      <c r="G23" s="447"/>
      <c r="H23" s="443"/>
    </row>
    <row r="24" spans="1:8" ht="16.5" hidden="1">
      <c r="A24" s="434"/>
      <c r="B24" s="1"/>
      <c r="C24" s="1"/>
      <c r="D24" s="1"/>
      <c r="E24" s="433"/>
      <c r="G24" s="447"/>
      <c r="H24" s="443"/>
    </row>
    <row r="25" spans="1:8" ht="25.5">
      <c r="A25" s="86" t="s">
        <v>92</v>
      </c>
      <c r="B25" s="87"/>
      <c r="C25" s="87"/>
      <c r="D25" s="87"/>
      <c r="E25" s="435"/>
      <c r="F25" t="e">
        <f>#REF!-C25</f>
        <v>#REF!</v>
      </c>
      <c r="G25" s="447"/>
      <c r="H25" s="443"/>
    </row>
    <row r="26" spans="1:8" ht="28.5">
      <c r="A26" s="88" t="s">
        <v>176</v>
      </c>
      <c r="B26" s="119">
        <v>9544</v>
      </c>
      <c r="C26" s="119">
        <v>9544</v>
      </c>
      <c r="D26" s="119">
        <v>5006</v>
      </c>
      <c r="E26" s="436">
        <v>8800</v>
      </c>
      <c r="F26" t="e">
        <f>#REF!-C26</f>
        <v>#REF!</v>
      </c>
      <c r="G26" s="447">
        <f>179+7221+83+2863</f>
        <v>10346</v>
      </c>
      <c r="H26" s="443">
        <f>15044+15+2+73</f>
        <v>15134</v>
      </c>
    </row>
    <row r="27" spans="1:8" ht="28.5">
      <c r="A27" s="88" t="s">
        <v>177</v>
      </c>
      <c r="B27" s="120">
        <v>1200</v>
      </c>
      <c r="C27" s="120">
        <v>1200</v>
      </c>
      <c r="D27" s="120">
        <v>1337</v>
      </c>
      <c r="E27" s="437">
        <v>2640</v>
      </c>
      <c r="F27" t="e">
        <f>#REF!-C27</f>
        <v>#REF!</v>
      </c>
      <c r="G27" s="450">
        <v>2205</v>
      </c>
      <c r="H27" s="443">
        <v>3607</v>
      </c>
    </row>
    <row r="28" spans="1:8" ht="28.5">
      <c r="A28" s="90" t="s">
        <v>93</v>
      </c>
      <c r="B28" s="89"/>
      <c r="C28" s="89"/>
      <c r="D28" s="89">
        <v>100</v>
      </c>
      <c r="E28" s="438">
        <v>100</v>
      </c>
      <c r="F28" t="e">
        <f>#REF!-C28</f>
        <v>#REF!</v>
      </c>
      <c r="G28" s="447"/>
      <c r="H28" s="443">
        <v>6</v>
      </c>
    </row>
    <row r="29" spans="1:9" ht="38.25">
      <c r="A29" s="91" t="s">
        <v>178</v>
      </c>
      <c r="B29" s="92"/>
      <c r="C29" s="92"/>
      <c r="D29" s="92">
        <v>544</v>
      </c>
      <c r="E29" s="439">
        <v>544</v>
      </c>
      <c r="F29" t="e">
        <f>#REF!-C29</f>
        <v>#REF!</v>
      </c>
      <c r="G29" s="447">
        <v>127</v>
      </c>
      <c r="H29" s="443">
        <v>416</v>
      </c>
      <c r="I29" t="s">
        <v>268</v>
      </c>
    </row>
    <row r="30" spans="1:8" ht="14.25">
      <c r="A30" s="90" t="s">
        <v>94</v>
      </c>
      <c r="B30" s="89">
        <v>300</v>
      </c>
      <c r="C30" s="89">
        <v>300</v>
      </c>
      <c r="D30" s="89"/>
      <c r="E30" s="438"/>
      <c r="F30" t="e">
        <f>#REF!-C30</f>
        <v>#REF!</v>
      </c>
      <c r="G30" s="447"/>
      <c r="H30" s="443"/>
    </row>
    <row r="31" spans="1:8" ht="14.25" customHeight="1">
      <c r="A31" s="93"/>
      <c r="B31" s="89"/>
      <c r="C31" s="89"/>
      <c r="D31" s="89"/>
      <c r="E31" s="438"/>
      <c r="F31" t="e">
        <f>#REF!-C31</f>
        <v>#REF!</v>
      </c>
      <c r="G31" s="447"/>
      <c r="H31" s="443"/>
    </row>
    <row r="32" spans="1:8" ht="15">
      <c r="A32" s="94" t="s">
        <v>95</v>
      </c>
      <c r="B32" s="95">
        <f>SUM(B11:B31)</f>
        <v>13244</v>
      </c>
      <c r="C32" s="95">
        <f>SUM(C11:C31)</f>
        <v>13244</v>
      </c>
      <c r="D32" s="95">
        <f>SUM(D11:D31)</f>
        <v>10437</v>
      </c>
      <c r="E32" s="440">
        <f>SUM(E11:E31)</f>
        <v>14404</v>
      </c>
      <c r="F32" s="54">
        <f>C32-'bevételi összesen'!$B$11</f>
        <v>-1160</v>
      </c>
      <c r="G32" s="95">
        <f>SUM(G11:G31)</f>
        <v>14011</v>
      </c>
      <c r="H32" s="454">
        <f>SUM(H11:H31)</f>
        <v>23191</v>
      </c>
    </row>
    <row r="33" spans="1:8" ht="15" hidden="1">
      <c r="A33" s="96"/>
      <c r="B33" s="89"/>
      <c r="C33" s="89"/>
      <c r="D33" s="89"/>
      <c r="E33" s="438"/>
      <c r="G33" s="447"/>
      <c r="H33" s="443"/>
    </row>
    <row r="34" spans="1:8" ht="15.75" customHeight="1" thickBot="1">
      <c r="A34" s="97" t="s">
        <v>96</v>
      </c>
      <c r="B34" s="98">
        <f>B32+B10</f>
        <v>13654</v>
      </c>
      <c r="C34" s="98">
        <f>C32+C10</f>
        <v>13544</v>
      </c>
      <c r="D34" s="98">
        <f>D32+D10</f>
        <v>10437</v>
      </c>
      <c r="E34" s="441">
        <f>E32+E10</f>
        <v>14404</v>
      </c>
      <c r="G34" s="451"/>
      <c r="H34" s="445"/>
    </row>
    <row r="35" spans="1:5" ht="15">
      <c r="A35" s="99"/>
      <c r="B35" s="100"/>
      <c r="C35" s="100"/>
      <c r="D35" s="100"/>
      <c r="E35" s="100"/>
    </row>
    <row r="36" spans="1:8" ht="15.75">
      <c r="A36" s="40" t="s">
        <v>267</v>
      </c>
      <c r="B36" s="101"/>
      <c r="C36" s="101"/>
      <c r="D36" s="102"/>
      <c r="E36" s="101"/>
      <c r="G36">
        <v>11</v>
      </c>
      <c r="H36">
        <f>127+11</f>
        <v>138</v>
      </c>
    </row>
    <row r="38" ht="12.75">
      <c r="A38" s="103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</sheetData>
  <sheetProtection/>
  <printOptions/>
  <pageMargins left="0.9448818897637796" right="0.4330708661417323" top="0.31496062992125984" bottom="0.5511811023622047" header="0.5118110236220472" footer="0.5118110236220472"/>
  <pageSetup horizontalDpi="600" verticalDpi="600" orientation="portrait" paperSize="9" r:id="rId1"/>
  <headerFooter alignWithMargins="0">
    <oddHeader>&amp;R2015. évi költségvetés melléklete</oddHeader>
    <oddFooter>&amp;C&amp;P. oldal&amp;R&amp;D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E36" sqref="E36"/>
    </sheetView>
  </sheetViews>
  <sheetFormatPr defaultColWidth="10.8515625" defaultRowHeight="12.75"/>
  <cols>
    <col min="1" max="1" width="59.140625" style="0" customWidth="1"/>
    <col min="2" max="2" width="13.28125" style="0" hidden="1" customWidth="1"/>
    <col min="3" max="7" width="0" style="0" hidden="1" customWidth="1"/>
    <col min="8" max="8" width="10.8515625" style="0" customWidth="1"/>
    <col min="9" max="10" width="0" style="0" hidden="1" customWidth="1"/>
  </cols>
  <sheetData>
    <row r="1" s="43" customFormat="1" ht="15">
      <c r="A1" s="42" t="s">
        <v>173</v>
      </c>
    </row>
    <row r="2" spans="1:2" ht="15">
      <c r="A2" s="44"/>
      <c r="B2" s="43"/>
    </row>
    <row r="3" ht="15.75">
      <c r="A3" s="2" t="s">
        <v>174</v>
      </c>
    </row>
    <row r="4" ht="15.75">
      <c r="A4" s="45" t="s">
        <v>243</v>
      </c>
    </row>
    <row r="5" ht="15.75">
      <c r="A5" s="45"/>
    </row>
    <row r="6" spans="1:10" ht="13.5" thickBot="1">
      <c r="A6" s="46" t="s">
        <v>70</v>
      </c>
      <c r="J6" t="s">
        <v>263</v>
      </c>
    </row>
    <row r="7" spans="1:10" ht="16.5" thickBot="1">
      <c r="A7" s="47" t="s">
        <v>71</v>
      </c>
      <c r="B7" s="47">
        <v>2014</v>
      </c>
      <c r="E7" s="47">
        <v>2010</v>
      </c>
      <c r="H7" s="47">
        <v>2015</v>
      </c>
      <c r="J7" s="442"/>
    </row>
    <row r="8" spans="1:10" ht="16.5" thickBot="1">
      <c r="A8" s="48" t="s">
        <v>72</v>
      </c>
      <c r="B8" s="49"/>
      <c r="E8" s="49"/>
      <c r="H8" s="49"/>
      <c r="J8" s="443"/>
    </row>
    <row r="9" spans="1:10" ht="15.75">
      <c r="A9" s="50"/>
      <c r="B9" s="184"/>
      <c r="C9" s="185"/>
      <c r="D9" s="185"/>
      <c r="E9" s="184"/>
      <c r="F9" s="185"/>
      <c r="G9" s="185"/>
      <c r="H9" s="184"/>
      <c r="J9" s="443"/>
    </row>
    <row r="10" spans="1:10" ht="15.75">
      <c r="A10" s="51"/>
      <c r="B10" s="186"/>
      <c r="C10" s="185"/>
      <c r="D10" s="185"/>
      <c r="E10" s="186"/>
      <c r="F10" s="185"/>
      <c r="G10" s="185"/>
      <c r="H10" s="186"/>
      <c r="J10" s="443"/>
    </row>
    <row r="11" spans="1:10" ht="15.75">
      <c r="A11" s="129" t="s">
        <v>118</v>
      </c>
      <c r="B11" s="187">
        <f>SUM(B9:B10)</f>
        <v>0</v>
      </c>
      <c r="C11" s="185"/>
      <c r="D11" s="185"/>
      <c r="E11" s="187"/>
      <c r="F11" s="185"/>
      <c r="G11" s="185"/>
      <c r="H11" s="187">
        <f>SUM(H9:H10)</f>
        <v>0</v>
      </c>
      <c r="J11" s="443"/>
    </row>
    <row r="12" spans="1:10" ht="15.75">
      <c r="A12" s="52" t="s">
        <v>244</v>
      </c>
      <c r="B12" s="188">
        <v>20000</v>
      </c>
      <c r="C12" s="189"/>
      <c r="D12" s="189"/>
      <c r="E12" s="188">
        <v>2015</v>
      </c>
      <c r="F12" s="189"/>
      <c r="G12" s="189"/>
      <c r="H12" s="188">
        <v>30000</v>
      </c>
      <c r="J12" s="443">
        <v>25421</v>
      </c>
    </row>
    <row r="13" spans="1:10" ht="15.75">
      <c r="A13" s="52" t="s">
        <v>127</v>
      </c>
      <c r="B13" s="190">
        <v>4000</v>
      </c>
      <c r="C13" s="189"/>
      <c r="D13" s="189"/>
      <c r="E13" s="190">
        <v>2320</v>
      </c>
      <c r="F13" s="189"/>
      <c r="G13" s="189"/>
      <c r="H13" s="190">
        <v>5400</v>
      </c>
      <c r="J13" s="443">
        <v>0</v>
      </c>
    </row>
    <row r="14" spans="1:10" ht="15.75">
      <c r="A14" s="52" t="s">
        <v>277</v>
      </c>
      <c r="B14" s="188">
        <v>2299</v>
      </c>
      <c r="C14" s="189"/>
      <c r="D14" s="189"/>
      <c r="E14" s="188">
        <v>3818</v>
      </c>
      <c r="F14" s="189"/>
      <c r="G14" s="189"/>
      <c r="H14" s="188">
        <f>21438-5359</f>
        <v>16079</v>
      </c>
      <c r="J14" s="443">
        <v>62226</v>
      </c>
    </row>
    <row r="15" spans="1:10" ht="15.75">
      <c r="A15" s="52" t="s">
        <v>270</v>
      </c>
      <c r="B15" s="188"/>
      <c r="C15" s="189"/>
      <c r="D15" s="189"/>
      <c r="E15" s="188"/>
      <c r="F15" s="189"/>
      <c r="G15" s="189"/>
      <c r="H15" s="188">
        <v>4000</v>
      </c>
      <c r="J15" s="443">
        <f>4780+400</f>
        <v>5180</v>
      </c>
    </row>
    <row r="16" spans="1:10" ht="15.75">
      <c r="A16" s="52" t="s">
        <v>274</v>
      </c>
      <c r="B16" s="188"/>
      <c r="C16" s="189"/>
      <c r="D16" s="189"/>
      <c r="E16" s="188"/>
      <c r="F16" s="189"/>
      <c r="G16" s="189"/>
      <c r="H16" s="188">
        <v>11485</v>
      </c>
      <c r="J16" s="443"/>
    </row>
    <row r="17" spans="1:10" s="124" customFormat="1" ht="15.75">
      <c r="A17" s="411" t="s">
        <v>245</v>
      </c>
      <c r="B17" s="191">
        <v>4000</v>
      </c>
      <c r="C17" s="185"/>
      <c r="D17" s="185"/>
      <c r="E17" s="191" t="e">
        <f>'[1]Lórév hozzájárulása'!J44</f>
        <v>#REF!</v>
      </c>
      <c r="F17" s="185"/>
      <c r="G17" s="185"/>
      <c r="H17" s="191">
        <v>2000</v>
      </c>
      <c r="J17" s="455">
        <v>4000</v>
      </c>
    </row>
    <row r="18" spans="1:10" ht="16.5" thickBot="1">
      <c r="A18" s="130" t="s">
        <v>131</v>
      </c>
      <c r="B18" s="190">
        <f>SUM(B12:B17)</f>
        <v>30299</v>
      </c>
      <c r="C18" s="189"/>
      <c r="D18" s="189"/>
      <c r="E18" s="190"/>
      <c r="F18" s="189"/>
      <c r="G18" s="189"/>
      <c r="H18" s="190">
        <f>SUM(H12:H17)</f>
        <v>68964</v>
      </c>
      <c r="J18" s="456">
        <f>SUM(J12:J17)</f>
        <v>96827</v>
      </c>
    </row>
    <row r="19" spans="1:10" ht="17.25" thickBot="1" thickTop="1">
      <c r="A19" s="53" t="s">
        <v>73</v>
      </c>
      <c r="B19" s="192">
        <f>B18+B12</f>
        <v>50299</v>
      </c>
      <c r="C19" s="193"/>
      <c r="D19" s="189"/>
      <c r="E19" s="192" t="e">
        <f>SUM(E9:E18)</f>
        <v>#REF!</v>
      </c>
      <c r="F19" s="193" t="e">
        <f>B19-E19</f>
        <v>#REF!</v>
      </c>
      <c r="G19" s="189"/>
      <c r="H19" s="192">
        <f>H18</f>
        <v>68964</v>
      </c>
      <c r="J19" s="443"/>
    </row>
    <row r="20" spans="1:10" ht="16.5" thickTop="1">
      <c r="A20" s="55" t="s">
        <v>74</v>
      </c>
      <c r="B20" s="194"/>
      <c r="C20" s="189"/>
      <c r="D20" s="189"/>
      <c r="E20" s="194"/>
      <c r="F20" s="189"/>
      <c r="G20" s="189"/>
      <c r="H20" s="194"/>
      <c r="J20" s="443"/>
    </row>
    <row r="21" spans="1:10" ht="15.75">
      <c r="A21" s="52"/>
      <c r="B21" s="190">
        <v>0</v>
      </c>
      <c r="C21" s="189"/>
      <c r="D21" s="189"/>
      <c r="E21" s="190">
        <v>45269</v>
      </c>
      <c r="F21" s="189"/>
      <c r="G21" s="189"/>
      <c r="H21" s="190">
        <v>88558</v>
      </c>
      <c r="J21" s="443"/>
    </row>
    <row r="22" spans="1:10" ht="15.75">
      <c r="A22" s="52" t="s">
        <v>137</v>
      </c>
      <c r="B22" s="195">
        <v>32912</v>
      </c>
      <c r="C22" s="189"/>
      <c r="D22" s="189"/>
      <c r="E22" s="195"/>
      <c r="F22" s="189"/>
      <c r="G22" s="189"/>
      <c r="H22" s="195">
        <v>797022</v>
      </c>
      <c r="J22" s="443"/>
    </row>
    <row r="23" spans="1:10" ht="16.5" thickBot="1">
      <c r="A23" s="52"/>
      <c r="B23" s="195"/>
      <c r="C23" s="189"/>
      <c r="D23" s="189"/>
      <c r="E23" s="195"/>
      <c r="F23" s="189"/>
      <c r="G23" s="189"/>
      <c r="H23" s="195"/>
      <c r="J23" s="443" t="s">
        <v>264</v>
      </c>
    </row>
    <row r="24" spans="1:10" ht="17.25" thickBot="1" thickTop="1">
      <c r="A24" s="53" t="s">
        <v>75</v>
      </c>
      <c r="B24" s="196">
        <f>SUM(B21:B23)</f>
        <v>32912</v>
      </c>
      <c r="C24" s="197"/>
      <c r="D24" s="185"/>
      <c r="E24" s="196">
        <f>SUM(E21:E23)</f>
        <v>45269</v>
      </c>
      <c r="F24" s="185"/>
      <c r="G24" s="185"/>
      <c r="H24" s="196">
        <f>SUM(H21:H23)</f>
        <v>885580</v>
      </c>
      <c r="J24" s="443"/>
    </row>
    <row r="25" spans="1:10" ht="18" thickBot="1" thickTop="1">
      <c r="A25" s="56" t="s">
        <v>76</v>
      </c>
      <c r="B25" s="198">
        <f>B24+B19</f>
        <v>83211</v>
      </c>
      <c r="C25" s="199"/>
      <c r="D25" s="199"/>
      <c r="E25" s="198" t="e">
        <f>E24+E19</f>
        <v>#REF!</v>
      </c>
      <c r="F25" s="199"/>
      <c r="G25" s="199"/>
      <c r="H25" s="198">
        <f>H24+H19</f>
        <v>954544</v>
      </c>
      <c r="J25" s="445"/>
    </row>
    <row r="26" spans="1:2" ht="15.75">
      <c r="A26" s="40"/>
      <c r="B26" s="57"/>
    </row>
    <row r="28" ht="12.75" hidden="1"/>
    <row r="29" ht="12.75" hidden="1"/>
  </sheetData>
  <sheetProtection/>
  <printOptions/>
  <pageMargins left="0.9448818897637796" right="0.4330708661417323" top="0.31496062992125984" bottom="0.5511811023622047" header="0.5118110236220472" footer="0.5118110236220472"/>
  <pageSetup horizontalDpi="600" verticalDpi="600" orientation="portrait" paperSize="9" r:id="rId1"/>
  <headerFooter alignWithMargins="0">
    <oddHeader>&amp;R2015. évi költségvetés melléklete</oddHeader>
    <oddFooter>&amp;C&amp;P. oldal&amp;R&amp;D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34.7109375" style="0" customWidth="1"/>
    <col min="2" max="2" width="10.140625" style="0" customWidth="1"/>
    <col min="3" max="3" width="9.421875" style="0" customWidth="1"/>
    <col min="4" max="4" width="23.7109375" style="132" customWidth="1"/>
    <col min="5" max="10" width="9.140625" style="0" hidden="1" customWidth="1"/>
    <col min="11" max="14" width="0" style="0" hidden="1" customWidth="1"/>
  </cols>
  <sheetData>
    <row r="1" spans="1:4" ht="15">
      <c r="A1" s="40" t="s">
        <v>0</v>
      </c>
      <c r="B1" s="40"/>
      <c r="C1" s="40"/>
      <c r="D1" s="200" t="s">
        <v>124</v>
      </c>
    </row>
    <row r="3" spans="1:4" ht="15.75">
      <c r="A3" s="3" t="s">
        <v>249</v>
      </c>
      <c r="B3" s="2"/>
      <c r="C3" s="2"/>
      <c r="D3" s="201"/>
    </row>
    <row r="4" spans="1:4" ht="15.75">
      <c r="A4" s="2"/>
      <c r="B4" s="2"/>
      <c r="C4" s="2"/>
      <c r="D4" s="201"/>
    </row>
    <row r="5" spans="1:4" ht="15.75">
      <c r="A5" s="2"/>
      <c r="B5" s="2"/>
      <c r="C5" s="2"/>
      <c r="D5" s="201"/>
    </row>
    <row r="7" ht="13.5" thickBot="1">
      <c r="D7" s="132" t="s">
        <v>125</v>
      </c>
    </row>
    <row r="8" spans="1:13" ht="15.75" thickTop="1">
      <c r="A8" s="104" t="s">
        <v>97</v>
      </c>
      <c r="B8" s="105">
        <v>2014</v>
      </c>
      <c r="C8" s="105">
        <v>2015</v>
      </c>
      <c r="D8" s="202" t="s">
        <v>98</v>
      </c>
      <c r="M8" s="442"/>
    </row>
    <row r="9" spans="1:13" ht="15.75" thickBot="1">
      <c r="A9" s="106"/>
      <c r="B9" s="107"/>
      <c r="C9" s="107" t="s">
        <v>99</v>
      </c>
      <c r="D9" s="203"/>
      <c r="M9" s="443" t="s">
        <v>263</v>
      </c>
    </row>
    <row r="10" spans="1:13" ht="15.75" thickTop="1">
      <c r="A10" s="108" t="s">
        <v>100</v>
      </c>
      <c r="B10" s="41"/>
      <c r="C10" s="41"/>
      <c r="D10" s="204"/>
      <c r="M10" s="443"/>
    </row>
    <row r="11" spans="1:13" ht="15.75">
      <c r="A11" s="109" t="s">
        <v>101</v>
      </c>
      <c r="B11" s="17">
        <v>11000</v>
      </c>
      <c r="C11" s="17">
        <v>6000</v>
      </c>
      <c r="D11" s="205"/>
      <c r="M11" s="443">
        <v>7264</v>
      </c>
    </row>
    <row r="12" spans="1:13" ht="15.75">
      <c r="A12" s="109" t="s">
        <v>102</v>
      </c>
      <c r="B12" s="17">
        <v>0</v>
      </c>
      <c r="C12" s="17">
        <v>0</v>
      </c>
      <c r="D12" s="206"/>
      <c r="H12" t="s">
        <v>119</v>
      </c>
      <c r="M12" s="443"/>
    </row>
    <row r="13" spans="1:13" s="185" customFormat="1" ht="15.75">
      <c r="A13" s="412" t="s">
        <v>241</v>
      </c>
      <c r="B13" s="19">
        <v>2000</v>
      </c>
      <c r="C13" s="19">
        <v>3300</v>
      </c>
      <c r="D13" s="413" t="s">
        <v>240</v>
      </c>
      <c r="M13" s="457">
        <v>3452</v>
      </c>
    </row>
    <row r="14" spans="1:13" ht="16.5" thickBot="1">
      <c r="A14" s="111"/>
      <c r="B14" s="34"/>
      <c r="C14" s="34"/>
      <c r="D14" s="207"/>
      <c r="M14" s="443"/>
    </row>
    <row r="15" spans="1:13" ht="16.5" thickBot="1">
      <c r="A15" s="112" t="s">
        <v>103</v>
      </c>
      <c r="B15" s="23">
        <f>SUM(B11:B13)</f>
        <v>13000</v>
      </c>
      <c r="C15" s="23">
        <f>SUM(C11:C13)</f>
        <v>9300</v>
      </c>
      <c r="D15" s="208"/>
      <c r="M15" s="23">
        <f>SUM(M11:M13)</f>
        <v>10716</v>
      </c>
    </row>
    <row r="16" spans="1:13" ht="15.75">
      <c r="A16" s="108"/>
      <c r="B16" s="19"/>
      <c r="C16" s="19"/>
      <c r="D16" s="209"/>
      <c r="M16" s="443"/>
    </row>
    <row r="17" spans="1:13" ht="15.75">
      <c r="A17" s="108" t="s">
        <v>104</v>
      </c>
      <c r="B17" s="20"/>
      <c r="C17" s="20"/>
      <c r="D17" s="204"/>
      <c r="M17" s="443"/>
    </row>
    <row r="18" spans="1:14" ht="15.75">
      <c r="A18" s="109" t="s">
        <v>105</v>
      </c>
      <c r="B18" s="17">
        <v>400</v>
      </c>
      <c r="C18" s="17">
        <v>400</v>
      </c>
      <c r="D18" s="205"/>
      <c r="E18">
        <f>C18*0.2</f>
        <v>80</v>
      </c>
      <c r="M18" s="443">
        <v>1098</v>
      </c>
      <c r="N18" t="s">
        <v>269</v>
      </c>
    </row>
    <row r="19" spans="1:13" ht="15.75">
      <c r="A19" s="109"/>
      <c r="B19" s="17"/>
      <c r="C19" s="17"/>
      <c r="D19" s="205"/>
      <c r="M19" s="443"/>
    </row>
    <row r="20" spans="1:13" ht="15.75">
      <c r="A20" s="110" t="s">
        <v>106</v>
      </c>
      <c r="B20" s="19"/>
      <c r="C20" s="19"/>
      <c r="D20" s="204"/>
      <c r="M20" s="443"/>
    </row>
    <row r="21" spans="1:13" ht="15.75">
      <c r="A21" s="113" t="s">
        <v>107</v>
      </c>
      <c r="B21" s="14">
        <v>1300</v>
      </c>
      <c r="C21" s="14">
        <v>1200</v>
      </c>
      <c r="D21" s="210" t="s">
        <v>134</v>
      </c>
      <c r="E21">
        <f>C21*0.2</f>
        <v>240</v>
      </c>
      <c r="K21">
        <f>C21*0.27</f>
        <v>324</v>
      </c>
      <c r="M21" s="443">
        <f>1142</f>
        <v>1142</v>
      </c>
    </row>
    <row r="22" spans="1:13" ht="15.75">
      <c r="A22" s="113" t="s">
        <v>272</v>
      </c>
      <c r="B22" s="14"/>
      <c r="C22" s="14">
        <v>200</v>
      </c>
      <c r="D22" s="210"/>
      <c r="M22" s="443">
        <v>169</v>
      </c>
    </row>
    <row r="23" spans="1:13" ht="15.75">
      <c r="A23" s="109" t="s">
        <v>108</v>
      </c>
      <c r="B23" s="17">
        <v>163</v>
      </c>
      <c r="C23" s="17">
        <v>0</v>
      </c>
      <c r="D23" s="205"/>
      <c r="E23">
        <f>C23*0.2</f>
        <v>0</v>
      </c>
      <c r="M23" s="443"/>
    </row>
    <row r="24" spans="1:13" ht="15.75">
      <c r="A24" s="113" t="s">
        <v>109</v>
      </c>
      <c r="B24" s="14">
        <f>795+339</f>
        <v>1134</v>
      </c>
      <c r="C24" s="14">
        <v>1000</v>
      </c>
      <c r="D24" s="210"/>
      <c r="E24">
        <f>C24*0.2</f>
        <v>200</v>
      </c>
      <c r="H24">
        <f>C24*0.25</f>
        <v>250</v>
      </c>
      <c r="K24">
        <f>C24*0.27</f>
        <v>270</v>
      </c>
      <c r="M24" s="443">
        <f>952+30</f>
        <v>982</v>
      </c>
    </row>
    <row r="25" spans="1:13" ht="15.75">
      <c r="A25" s="113" t="s">
        <v>271</v>
      </c>
      <c r="B25" s="14"/>
      <c r="C25" s="14">
        <v>700</v>
      </c>
      <c r="D25" s="210"/>
      <c r="M25" s="443">
        <v>630</v>
      </c>
    </row>
    <row r="26" spans="1:13" ht="15.75">
      <c r="A26" s="113" t="s">
        <v>126</v>
      </c>
      <c r="B26" s="14">
        <v>2000</v>
      </c>
      <c r="C26" s="14">
        <v>2900</v>
      </c>
      <c r="D26" s="210"/>
      <c r="E26" s="54"/>
      <c r="H26" t="s">
        <v>121</v>
      </c>
      <c r="K26">
        <f>C26*0.27</f>
        <v>783</v>
      </c>
      <c r="M26" s="443">
        <v>2825</v>
      </c>
    </row>
    <row r="27" spans="1:13" ht="15.75">
      <c r="A27" s="110" t="s">
        <v>110</v>
      </c>
      <c r="B27" s="19"/>
      <c r="C27" s="19"/>
      <c r="D27" s="211"/>
      <c r="H27">
        <f>7400*0.25</f>
        <v>1850</v>
      </c>
      <c r="M27" s="443"/>
    </row>
    <row r="28" spans="1:13" ht="24.75">
      <c r="A28" s="110" t="s">
        <v>111</v>
      </c>
      <c r="B28" s="19">
        <f>7350+400</f>
        <v>7750</v>
      </c>
      <c r="C28" s="19">
        <f>7350+400</f>
        <v>7750</v>
      </c>
      <c r="D28" s="414" t="s">
        <v>276</v>
      </c>
      <c r="E28">
        <f>C28*0.2</f>
        <v>1550</v>
      </c>
      <c r="F28">
        <f>SUM(E18:E28)</f>
        <v>2070</v>
      </c>
      <c r="G28">
        <f>7400*0.2</f>
        <v>1480</v>
      </c>
      <c r="H28" t="s">
        <v>120</v>
      </c>
      <c r="K28">
        <f>C28*0.27</f>
        <v>2092.5</v>
      </c>
      <c r="M28" s="443">
        <v>228</v>
      </c>
    </row>
    <row r="29" spans="1:13" ht="15.75">
      <c r="A29" s="113" t="s">
        <v>182</v>
      </c>
      <c r="B29" s="14">
        <v>7350</v>
      </c>
      <c r="C29" s="14">
        <v>7350</v>
      </c>
      <c r="D29" s="212"/>
      <c r="E29">
        <f>C29*0.2</f>
        <v>1470</v>
      </c>
      <c r="H29">
        <f>C29*0.25</f>
        <v>1837.5</v>
      </c>
      <c r="M29" s="443"/>
    </row>
    <row r="30" spans="1:13" ht="15.75">
      <c r="A30" s="113"/>
      <c r="B30" s="14"/>
      <c r="C30" s="14"/>
      <c r="D30" s="213"/>
      <c r="H30" t="s">
        <v>123</v>
      </c>
      <c r="M30" s="443"/>
    </row>
    <row r="31" spans="1:13" ht="15" thickBot="1">
      <c r="A31" s="114" t="s">
        <v>112</v>
      </c>
      <c r="B31" s="115">
        <f>B28+B29</f>
        <v>15100</v>
      </c>
      <c r="C31" s="115">
        <f>C28+C29</f>
        <v>15100</v>
      </c>
      <c r="D31" s="214"/>
      <c r="M31" s="443"/>
    </row>
    <row r="32" spans="1:13" ht="15.75" thickBot="1">
      <c r="A32" s="112" t="s">
        <v>113</v>
      </c>
      <c r="B32" s="116">
        <f>SUM(B18:B29)</f>
        <v>20097</v>
      </c>
      <c r="C32" s="116">
        <f>SUM(C18:C29)</f>
        <v>21500</v>
      </c>
      <c r="D32" s="215"/>
      <c r="K32" s="116">
        <f>SUM(K18:K29)</f>
        <v>3469.5</v>
      </c>
      <c r="M32" s="458">
        <f>SUM(M18:M31)</f>
        <v>7074</v>
      </c>
    </row>
    <row r="33" spans="1:13" ht="16.5" thickBot="1">
      <c r="A33" s="108"/>
      <c r="B33" s="19"/>
      <c r="C33" s="19"/>
      <c r="D33" s="209"/>
      <c r="M33" s="443"/>
    </row>
    <row r="34" spans="1:13" ht="17.25" thickBot="1" thickTop="1">
      <c r="A34" s="117" t="s">
        <v>114</v>
      </c>
      <c r="B34" s="11">
        <f>B32+B15</f>
        <v>33097</v>
      </c>
      <c r="C34" s="11">
        <f>C32+C15</f>
        <v>30800</v>
      </c>
      <c r="D34" s="216"/>
      <c r="M34" s="445"/>
    </row>
    <row r="35" ht="13.5" thickTop="1"/>
    <row r="36" ht="15">
      <c r="A36" s="40"/>
    </row>
    <row r="39" ht="12.75">
      <c r="D39" s="132" t="s">
        <v>115</v>
      </c>
    </row>
    <row r="40" ht="15">
      <c r="A40" s="40"/>
    </row>
    <row r="51" ht="12.75" hidden="1"/>
    <row r="52" ht="12.75" hidden="1"/>
  </sheetData>
  <sheetProtection/>
  <printOptions/>
  <pageMargins left="0.9448818897637796" right="0.4330708661417323" top="0.31496062992125984" bottom="0.5511811023622047" header="0.5118110236220472" footer="0.5118110236220472"/>
  <pageSetup horizontalDpi="600" verticalDpi="600" orientation="portrait" paperSize="9" r:id="rId1"/>
  <headerFooter alignWithMargins="0">
    <oddHeader>&amp;R2015. évi költségvetés melléklete</oddHeader>
    <oddFooter>&amp;C&amp;P. oldal&amp;R&amp;D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4">
      <selection activeCell="E36" sqref="E36"/>
    </sheetView>
  </sheetViews>
  <sheetFormatPr defaultColWidth="9.140625" defaultRowHeight="12.75"/>
  <cols>
    <col min="1" max="1" width="5.28125" style="0" customWidth="1"/>
    <col min="2" max="2" width="6.28125" style="0" customWidth="1"/>
    <col min="5" max="5" width="23.00390625" style="0" customWidth="1"/>
    <col min="6" max="6" width="12.00390625" style="138" customWidth="1"/>
    <col min="7" max="7" width="13.140625" style="137" customWidth="1"/>
    <col min="8" max="17" width="0" style="0" hidden="1" customWidth="1"/>
  </cols>
  <sheetData>
    <row r="1" spans="1:6" ht="12.75">
      <c r="A1" s="131"/>
      <c r="F1" s="136"/>
    </row>
    <row r="3" spans="4:7" ht="15.75">
      <c r="D3" s="2" t="s">
        <v>141</v>
      </c>
      <c r="F3" s="139"/>
      <c r="G3" s="140"/>
    </row>
    <row r="4" spans="5:7" ht="15.75">
      <c r="E4" s="2" t="s">
        <v>246</v>
      </c>
      <c r="G4" s="140"/>
    </row>
    <row r="5" spans="5:7" ht="15.75">
      <c r="E5" s="2"/>
      <c r="F5" s="139"/>
      <c r="G5" s="140"/>
    </row>
    <row r="6" ht="13.5" thickBot="1">
      <c r="F6" s="136" t="s">
        <v>142</v>
      </c>
    </row>
    <row r="7" spans="1:7" ht="12.75">
      <c r="A7" s="141" t="s">
        <v>143</v>
      </c>
      <c r="B7" s="142" t="s">
        <v>144</v>
      </c>
      <c r="C7" s="143" t="s">
        <v>145</v>
      </c>
      <c r="D7" s="144"/>
      <c r="E7" s="144"/>
      <c r="F7" s="145">
        <v>2014</v>
      </c>
      <c r="G7" s="145">
        <v>2015</v>
      </c>
    </row>
    <row r="8" spans="1:7" ht="12.75">
      <c r="A8" s="146"/>
      <c r="B8" s="147"/>
      <c r="C8" s="148"/>
      <c r="D8" s="149"/>
      <c r="E8" s="148"/>
      <c r="F8" s="150" t="s">
        <v>253</v>
      </c>
      <c r="G8" s="150" t="s">
        <v>146</v>
      </c>
    </row>
    <row r="9" spans="1:7" ht="13.5" thickBot="1">
      <c r="A9" s="151"/>
      <c r="B9" s="152"/>
      <c r="C9" s="153"/>
      <c r="D9" s="153"/>
      <c r="E9" s="153"/>
      <c r="F9" s="154"/>
      <c r="G9" s="154" t="s">
        <v>147</v>
      </c>
    </row>
    <row r="10" spans="1:7" ht="15">
      <c r="A10" s="155">
        <v>1</v>
      </c>
      <c r="B10" s="121"/>
      <c r="C10" s="156" t="s">
        <v>78</v>
      </c>
      <c r="D10" s="157"/>
      <c r="E10" s="157"/>
      <c r="F10" s="158">
        <v>31</v>
      </c>
      <c r="G10" s="158">
        <v>31</v>
      </c>
    </row>
    <row r="11" spans="1:7" ht="15">
      <c r="A11" s="122"/>
      <c r="B11" s="159"/>
      <c r="C11" s="160" t="s">
        <v>148</v>
      </c>
      <c r="D11" s="160"/>
      <c r="E11" s="160"/>
      <c r="F11" s="161"/>
      <c r="G11" s="161"/>
    </row>
    <row r="12" spans="1:7" ht="15">
      <c r="A12" s="122"/>
      <c r="B12" s="123"/>
      <c r="C12" s="162" t="s">
        <v>149</v>
      </c>
      <c r="D12" s="160"/>
      <c r="E12" s="160"/>
      <c r="F12" s="161">
        <v>31</v>
      </c>
      <c r="G12" s="161">
        <v>31</v>
      </c>
    </row>
    <row r="13" spans="1:7" ht="15.75">
      <c r="A13" s="122">
        <v>3</v>
      </c>
      <c r="B13" s="123"/>
      <c r="C13" s="168" t="s">
        <v>161</v>
      </c>
      <c r="D13" s="160"/>
      <c r="E13" s="160"/>
      <c r="F13" s="161">
        <f>F14+F15+F16+F17</f>
        <v>2</v>
      </c>
      <c r="G13" s="161">
        <f>G14+G15+G16+G17</f>
        <v>2</v>
      </c>
    </row>
    <row r="14" spans="1:7" ht="15">
      <c r="A14" s="122"/>
      <c r="B14" s="123"/>
      <c r="C14" s="160" t="s">
        <v>150</v>
      </c>
      <c r="D14" s="160"/>
      <c r="E14" s="160"/>
      <c r="F14" s="161">
        <v>0</v>
      </c>
      <c r="G14" s="161">
        <v>0</v>
      </c>
    </row>
    <row r="15" spans="1:7" ht="15">
      <c r="A15" s="122"/>
      <c r="B15" s="123"/>
      <c r="C15" s="160" t="s">
        <v>151</v>
      </c>
      <c r="D15" s="160"/>
      <c r="E15" s="160"/>
      <c r="F15" s="161">
        <v>2</v>
      </c>
      <c r="G15" s="161">
        <v>2</v>
      </c>
    </row>
    <row r="16" spans="1:8" ht="15">
      <c r="A16" s="122"/>
      <c r="B16" s="163"/>
      <c r="C16" s="160" t="s">
        <v>152</v>
      </c>
      <c r="D16" s="160"/>
      <c r="E16" s="160"/>
      <c r="F16" s="161">
        <v>0</v>
      </c>
      <c r="G16" s="161">
        <v>0</v>
      </c>
      <c r="H16" t="s">
        <v>153</v>
      </c>
    </row>
    <row r="17" spans="1:11" ht="15.75" thickBot="1">
      <c r="A17" s="122"/>
      <c r="B17" s="163"/>
      <c r="C17" s="160"/>
      <c r="D17" s="160"/>
      <c r="E17" s="160"/>
      <c r="F17" s="161">
        <v>0</v>
      </c>
      <c r="G17" s="161">
        <v>0</v>
      </c>
      <c r="K17">
        <f>71*0.05</f>
        <v>3.5500000000000003</v>
      </c>
    </row>
    <row r="18" spans="1:7" ht="16.5" thickBot="1">
      <c r="A18" s="169">
        <v>1</v>
      </c>
      <c r="B18" s="170" t="s">
        <v>159</v>
      </c>
      <c r="C18" s="171" t="s">
        <v>161</v>
      </c>
      <c r="D18" s="171"/>
      <c r="E18" s="171"/>
      <c r="F18" s="172">
        <f>F13+F10</f>
        <v>33</v>
      </c>
      <c r="G18" s="172">
        <f>G13+G10</f>
        <v>33</v>
      </c>
    </row>
    <row r="19" spans="1:7" ht="15">
      <c r="A19" s="164">
        <v>2</v>
      </c>
      <c r="B19" s="165" t="s">
        <v>168</v>
      </c>
      <c r="C19" s="166" t="s">
        <v>154</v>
      </c>
      <c r="D19" s="166"/>
      <c r="E19" s="166"/>
      <c r="F19" s="167">
        <f>SUM(F20:F25:F25)</f>
        <v>59.25</v>
      </c>
      <c r="G19" s="167">
        <f>SUM(G20:G25:G25)</f>
        <v>40.25</v>
      </c>
    </row>
    <row r="20" spans="1:7" ht="15">
      <c r="A20" s="164"/>
      <c r="B20" s="165"/>
      <c r="C20" s="173" t="s">
        <v>167</v>
      </c>
      <c r="D20" s="166"/>
      <c r="E20" s="166"/>
      <c r="F20" s="167">
        <v>8</v>
      </c>
      <c r="G20" s="167">
        <v>8</v>
      </c>
    </row>
    <row r="21" spans="1:7" ht="15">
      <c r="A21" s="164"/>
      <c r="B21" s="165"/>
      <c r="C21" s="173" t="s">
        <v>155</v>
      </c>
      <c r="D21" s="166"/>
      <c r="E21" s="166"/>
      <c r="F21" s="167">
        <v>20</v>
      </c>
      <c r="G21" s="167"/>
    </row>
    <row r="22" spans="1:7" ht="15">
      <c r="A22" s="122"/>
      <c r="B22" s="163"/>
      <c r="C22" s="173" t="s">
        <v>251</v>
      </c>
      <c r="D22" s="160"/>
      <c r="E22" s="160"/>
      <c r="F22" s="161">
        <v>10.75</v>
      </c>
      <c r="G22" s="161">
        <v>10.75</v>
      </c>
    </row>
    <row r="23" spans="1:7" ht="15">
      <c r="A23" s="122"/>
      <c r="B23" s="163"/>
      <c r="C23" s="173" t="s">
        <v>162</v>
      </c>
      <c r="D23" s="160"/>
      <c r="E23" s="160"/>
      <c r="F23" s="161">
        <v>0.5</v>
      </c>
      <c r="G23" s="161">
        <v>0.5</v>
      </c>
    </row>
    <row r="24" spans="1:7" ht="15">
      <c r="A24" s="164"/>
      <c r="B24" s="165"/>
      <c r="C24" s="173" t="s">
        <v>247</v>
      </c>
      <c r="D24" s="166"/>
      <c r="E24" s="166"/>
      <c r="F24" s="167"/>
      <c r="G24" s="167">
        <v>13</v>
      </c>
    </row>
    <row r="25" spans="1:7" ht="15">
      <c r="A25" s="122"/>
      <c r="B25" s="163"/>
      <c r="C25" s="173" t="s">
        <v>163</v>
      </c>
      <c r="D25" s="160"/>
      <c r="E25" s="160"/>
      <c r="F25" s="161">
        <v>20</v>
      </c>
      <c r="G25" s="161">
        <v>8</v>
      </c>
    </row>
    <row r="26" spans="1:7" ht="15">
      <c r="A26" s="164"/>
      <c r="B26" s="165" t="s">
        <v>169</v>
      </c>
      <c r="C26" s="166" t="s">
        <v>5</v>
      </c>
      <c r="D26" s="166"/>
      <c r="E26" s="166"/>
      <c r="F26" s="167">
        <v>20.5</v>
      </c>
      <c r="G26" s="167">
        <v>21.5</v>
      </c>
    </row>
    <row r="27" spans="1:7" ht="15">
      <c r="A27" s="122"/>
      <c r="B27" s="163" t="s">
        <v>170</v>
      </c>
      <c r="C27" s="160" t="s">
        <v>156</v>
      </c>
      <c r="D27" s="160"/>
      <c r="E27" s="160"/>
      <c r="F27" s="161">
        <v>7.5</v>
      </c>
      <c r="G27" s="161">
        <v>5.5</v>
      </c>
    </row>
    <row r="28" spans="1:7" ht="15.75" thickBot="1">
      <c r="A28" s="164"/>
      <c r="B28" s="165" t="s">
        <v>171</v>
      </c>
      <c r="C28" s="166" t="s">
        <v>157</v>
      </c>
      <c r="D28" s="166"/>
      <c r="E28" s="166"/>
      <c r="F28" s="174">
        <v>11.5</v>
      </c>
      <c r="G28" s="174">
        <v>11.5</v>
      </c>
    </row>
    <row r="29" spans="1:7" ht="15.75" thickBot="1">
      <c r="A29" s="164"/>
      <c r="B29" s="165"/>
      <c r="C29" s="166" t="s">
        <v>165</v>
      </c>
      <c r="D29" s="166"/>
      <c r="E29" s="166"/>
      <c r="F29" s="175">
        <v>3.5</v>
      </c>
      <c r="G29" s="175">
        <v>3.5</v>
      </c>
    </row>
    <row r="30" spans="1:7" ht="15.75" thickBot="1">
      <c r="A30" s="164"/>
      <c r="B30" s="165"/>
      <c r="C30" s="166" t="s">
        <v>164</v>
      </c>
      <c r="D30" s="166"/>
      <c r="E30" s="166"/>
      <c r="F30" s="175">
        <v>2</v>
      </c>
      <c r="G30" s="175">
        <v>2</v>
      </c>
    </row>
    <row r="31" spans="1:7" ht="16.5" thickBot="1">
      <c r="A31" s="169">
        <v>2</v>
      </c>
      <c r="B31" s="176"/>
      <c r="C31" s="171" t="s">
        <v>166</v>
      </c>
      <c r="D31" s="171"/>
      <c r="E31" s="171"/>
      <c r="F31" s="172">
        <f>SUM(F19:F28)-F24-F21</f>
        <v>138</v>
      </c>
      <c r="G31" s="172">
        <f>SUM(G19:G28)-G24-G21</f>
        <v>106</v>
      </c>
    </row>
    <row r="32" spans="1:9" ht="16.5" thickBot="1">
      <c r="A32" s="177">
        <v>3</v>
      </c>
      <c r="B32" s="178"/>
      <c r="C32" s="179" t="s">
        <v>158</v>
      </c>
      <c r="D32" s="179"/>
      <c r="E32" s="179"/>
      <c r="F32" s="180">
        <v>59.4</v>
      </c>
      <c r="G32" s="180">
        <v>59.4</v>
      </c>
      <c r="I32" s="58"/>
    </row>
    <row r="33" spans="1:7" ht="16.5" thickBot="1">
      <c r="A33" s="181" t="s">
        <v>159</v>
      </c>
      <c r="B33" s="182"/>
      <c r="C33" s="171" t="s">
        <v>160</v>
      </c>
      <c r="D33" s="171"/>
      <c r="E33" s="171"/>
      <c r="F33" s="180">
        <f>F32+F31+F18</f>
        <v>230.4</v>
      </c>
      <c r="G33" s="180">
        <f>G32+G31+G18</f>
        <v>198.4</v>
      </c>
    </row>
    <row r="34" ht="15">
      <c r="A34" s="40"/>
    </row>
    <row r="36" ht="15">
      <c r="A36" s="40"/>
    </row>
    <row r="40" ht="12.75">
      <c r="D40" s="1"/>
    </row>
    <row r="41" ht="15">
      <c r="A41" s="40"/>
    </row>
    <row r="43" spans="1:2" ht="12.75">
      <c r="A43" s="183"/>
      <c r="B43" s="183"/>
    </row>
  </sheetData>
  <sheetProtection/>
  <printOptions/>
  <pageMargins left="0.9448818897637796" right="0.4330708661417323" top="0.31496062992125984" bottom="0.5511811023622047" header="0.5118110236220472" footer="0.5118110236220472"/>
  <pageSetup horizontalDpi="600" verticalDpi="600" orientation="portrait" paperSize="9" r:id="rId1"/>
  <headerFooter alignWithMargins="0">
    <oddHeader>&amp;R2015. évi költségvetés melléklete</oddHeader>
    <oddFooter>&amp;C&amp;P. oldal&amp;R&amp;D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Feketéné Kiss Zsuzsanna</dc:creator>
  <cp:keywords/>
  <dc:description/>
  <cp:lastModifiedBy>Péterné Kovács</cp:lastModifiedBy>
  <cp:lastPrinted>2015-02-26T13:29:39Z</cp:lastPrinted>
  <dcterms:created xsi:type="dcterms:W3CDTF">2004-01-18T18:23:49Z</dcterms:created>
  <dcterms:modified xsi:type="dcterms:W3CDTF">2015-02-26T13:39:28Z</dcterms:modified>
  <cp:category/>
  <cp:version/>
  <cp:contentType/>
  <cp:contentStatus/>
</cp:coreProperties>
</file>