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877" activeTab="6"/>
  </bookViews>
  <sheets>
    <sheet name="mód 1." sheetId="1" r:id="rId1"/>
    <sheet name="mód 2." sheetId="2" r:id="rId2"/>
    <sheet name="mód 3." sheetId="3" r:id="rId3"/>
    <sheet name="mód 4." sheetId="4" r:id="rId4"/>
    <sheet name="mód 5." sheetId="5" r:id="rId5"/>
    <sheet name="mód 6." sheetId="6" r:id="rId6"/>
    <sheet name="mód 7." sheetId="7" r:id="rId7"/>
  </sheets>
  <externalReferences>
    <externalReference r:id="rId10"/>
    <externalReference r:id="rId11"/>
  </externalReferences>
  <definedNames>
    <definedName name="_xlnm.Print_Area" localSheetId="0">'mód 1.'!$A$1:$H$72</definedName>
    <definedName name="_xlnm.Print_Area" localSheetId="1">'mód 2.'!$A$1:$I$24</definedName>
    <definedName name="_xlnm.Print_Area" localSheetId="2">'mód 3.'!$A$1:$I$35</definedName>
    <definedName name="_xlnm.Print_Area" localSheetId="3">'mód 4.'!$A$1:$J$43</definedName>
    <definedName name="_xlnm.Print_Area" localSheetId="6">'mód 7.'!$A$1:$O$25</definedName>
  </definedNames>
  <calcPr fullCalcOnLoad="1"/>
</workbook>
</file>

<file path=xl/sharedStrings.xml><?xml version="1.0" encoding="utf-8"?>
<sst xmlns="http://schemas.openxmlformats.org/spreadsheetml/2006/main" count="369" uniqueCount="308">
  <si>
    <t>Bevételi forrás
Megnevezése</t>
  </si>
  <si>
    <t>Összesen</t>
  </si>
  <si>
    <t xml:space="preserve">Működési </t>
  </si>
  <si>
    <t>Felhalm.</t>
  </si>
  <si>
    <t>Előirányzat összege</t>
  </si>
  <si>
    <t>Előirányat összege</t>
  </si>
  <si>
    <t>Adatok ezer Ft-ban</t>
  </si>
  <si>
    <t>Bevételek összesen:</t>
  </si>
  <si>
    <t>Cím</t>
  </si>
  <si>
    <t>sz.</t>
  </si>
  <si>
    <t>1.</t>
  </si>
  <si>
    <t>Összesen:</t>
  </si>
  <si>
    <t>2.</t>
  </si>
  <si>
    <t>3.</t>
  </si>
  <si>
    <t>Gazdálkodási 
jogkör</t>
  </si>
  <si>
    <t>Önállóan
gazdálkodó</t>
  </si>
  <si>
    <t>Gazdálkodási jogkör</t>
  </si>
  <si>
    <t>Neve</t>
  </si>
  <si>
    <t>Működési kiadás megnevezése
(összesen és kiemelt előlirányzatok szerint)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</si>
  <si>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</si>
  <si>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</si>
  <si>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</si>
  <si>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</si>
  <si>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</si>
  <si>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</si>
  <si>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</si>
  <si>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</si>
  <si>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</si>
  <si>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</si>
  <si>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</si>
  <si>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</si>
  <si>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</si>
  <si>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</si>
  <si>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</si>
  <si>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</si>
  <si>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</si>
  <si>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II. Az I. pontból általános és céltartalék</t>
  </si>
  <si>
    <t>Általános tartalék</t>
  </si>
  <si>
    <t>Céltartalék</t>
  </si>
  <si>
    <t>I. Kiadások és bevételek feladatonként:</t>
  </si>
  <si>
    <t>terv</t>
  </si>
  <si>
    <t>Bevételi előirányzat</t>
  </si>
  <si>
    <t>Kiadási előirányzat</t>
  </si>
  <si>
    <t>Sorsz.</t>
  </si>
  <si>
    <t>Megnevezés</t>
  </si>
  <si>
    <t>Személyi juttatások</t>
  </si>
  <si>
    <t>23.</t>
  </si>
  <si>
    <t>24.</t>
  </si>
  <si>
    <t>25.</t>
  </si>
  <si>
    <t>26.</t>
  </si>
  <si>
    <t>Felújítási és beruházási kiadás 
Megnevezés</t>
  </si>
  <si>
    <t>BEVÉTELEK</t>
  </si>
  <si>
    <t>Bevételek összesen</t>
  </si>
  <si>
    <t>Kiadások összesen</t>
  </si>
  <si>
    <t>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</si>
  <si>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</si>
  <si>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</si>
  <si>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</si>
  <si>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</si>
  <si>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</si>
  <si>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</si>
  <si>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</si>
  <si>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</si>
  <si>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</si>
  <si>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</si>
  <si>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</si>
  <si>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</si>
  <si>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Önkormányzati szinten összesített</t>
  </si>
  <si>
    <t>Létszám-előirányzat önkormányzati alkalmazottak(álláshely)</t>
  </si>
  <si>
    <t>Létszám-előirányzat önkormányzati alkalmazottak(statisztikai, átlaglétszám)</t>
  </si>
  <si>
    <t>Létszám-előirányzat közfoglalkoztatottak (statisztikai, átlaglétszám)</t>
  </si>
  <si>
    <t>Létszám-előirányzatközfoglalkoztatottak (álláshely)</t>
  </si>
  <si>
    <t>Ellátottak pénzbeli juttatásai</t>
  </si>
  <si>
    <t>Egyéb működési célú kiadások</t>
  </si>
  <si>
    <t>Ebből: -Működési célú pénzeszk.átadás ÁH-n kívülre</t>
  </si>
  <si>
    <t>Munkaadókat terhelő járulékok és
szociális hozzájárulási adó</t>
  </si>
  <si>
    <t>Közhatalmi bevételek</t>
  </si>
  <si>
    <t>3. melléklet</t>
  </si>
  <si>
    <t>7. melléklet</t>
  </si>
  <si>
    <t>4. melléklet</t>
  </si>
  <si>
    <t>Kötelező feladatok</t>
  </si>
  <si>
    <t>Önként vállalt feladatok</t>
  </si>
  <si>
    <t>Egyéb közhatalmi bevételek</t>
  </si>
  <si>
    <t>Dologi kiadások</t>
  </si>
  <si>
    <t>Kötelező</t>
  </si>
  <si>
    <t>Önként
vállalt</t>
  </si>
  <si>
    <t>Ebből: - Tartalék</t>
  </si>
  <si>
    <t>I. Működési célú bevételek</t>
  </si>
  <si>
    <t>I. Működési célú kiadások</t>
  </si>
  <si>
    <t xml:space="preserve">     Költségvetési műk. bevételei összesen:</t>
  </si>
  <si>
    <t xml:space="preserve">   Költségvetési műk. kiadásai összesen: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</si>
  <si>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</si>
  <si>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</si>
  <si>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</si>
  <si>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</si>
  <si>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>II. Felhalmozási célú bevételek</t>
  </si>
  <si>
    <t>2.) Beruházás</t>
  </si>
  <si>
    <t>3.) Felújítás</t>
  </si>
  <si>
    <t xml:space="preserve">     Költségvetési felhalm. bevételei összesen:</t>
  </si>
  <si>
    <t>5.) Kölcsönnyújtás</t>
  </si>
  <si>
    <t xml:space="preserve">      Költségvetési felh.célú kiadásai összesen:</t>
  </si>
  <si>
    <t>FELHALMOZÁSI CÉLÚ BEVÉTELEK  ÖSSZESEN:</t>
  </si>
  <si>
    <t>FELHALMOZÁSI CÉLÚ KIADÁSOK ÖSSZESEN:</t>
  </si>
  <si>
    <t>ÖNKORMÁNYZAT ÖSSZESEN:</t>
  </si>
  <si>
    <t>1.) Intézményi működési bevételek</t>
  </si>
  <si>
    <t>2.) Közhatalmi bevételek</t>
  </si>
  <si>
    <t>3.) Támogatások, kiegészítések, átvett pénzeszközök</t>
  </si>
  <si>
    <t>4.) Finanszírozási bevételek</t>
  </si>
  <si>
    <t>1.) Személyi juttatások</t>
  </si>
  <si>
    <t>2.) Munkaadókat terhelő járuékok és szociális hozzájárulási adó</t>
  </si>
  <si>
    <t>6.) Finanszírozási kiadások</t>
  </si>
  <si>
    <t>4.) Tartalékból felhalmozásra</t>
  </si>
  <si>
    <t>1.) Intézményi felhalmozási bevételek</t>
  </si>
  <si>
    <t>2.) Közhatalmi bevételek felhalmozási része</t>
  </si>
  <si>
    <t>3.) Támogatások, kiegészítések, átvett pénzeszközök felhalm.célra</t>
  </si>
  <si>
    <t>4.) Finanszírozási bevételek felhalm.része</t>
  </si>
  <si>
    <t>6.) Finanszírozási kiadások felhalm.része</t>
  </si>
  <si>
    <t>5.) Felhalmozási bevételek</t>
  </si>
  <si>
    <t>3.) Dologi kiadások</t>
  </si>
  <si>
    <t>4.) Egyéb működési célú kiadások, pénzeszköz átadások (költségvetési szervek nélkül)</t>
  </si>
  <si>
    <t>5.) Tartalékból működésre</t>
  </si>
  <si>
    <t>7.) Ellátottak pénzbeli juttatásai</t>
  </si>
  <si>
    <t>Intézményi működési bevételek</t>
  </si>
  <si>
    <t>Felhalmozási bevételek</t>
  </si>
  <si>
    <t>Támogatások, kiegészítések, átvett pénzeszközök</t>
  </si>
  <si>
    <t>Finanszírozási bevételek</t>
  </si>
  <si>
    <t>Tartalék</t>
  </si>
  <si>
    <t>Finanszírozási kiadások</t>
  </si>
  <si>
    <t>Adatok ezer Ft</t>
  </si>
  <si>
    <t>Ebből: -Működési célú támogatásértékű kiadások ÁH-n belülre</t>
  </si>
  <si>
    <t>Felhalmozási kiadások</t>
  </si>
  <si>
    <t>013320 Köztemető-fenntartás és működtetés</t>
  </si>
  <si>
    <t>013350 Az önkormányzati vagyonnal való gazdálkodással kapcsolatos feladatok</t>
  </si>
  <si>
    <t>018010 Önkormányzatok elszámolásai a központi költségvetéssel</t>
  </si>
  <si>
    <t>045160 Közutak, hidak, alagutak üzemeltetése, fenntartása</t>
  </si>
  <si>
    <t>064010 Közvilágítás</t>
  </si>
  <si>
    <t>066020 Város-, és községgazdálkodási egyéb szolgáltatások</t>
  </si>
  <si>
    <t>072111 Háziorvosi alapellátás</t>
  </si>
  <si>
    <t>081030 Sortlétesítmények, edzőtáborok működtetése és fejlesztése</t>
  </si>
  <si>
    <t>084031 Civil szervezetek működési támogatása</t>
  </si>
  <si>
    <t>086020 Helyi, térségi közösségi tér biztosítása, működtetése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</si>
  <si>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</si>
  <si>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</si>
  <si>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</si>
  <si>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Kormányzati funkciók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</si>
  <si>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</si>
  <si>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</si>
  <si>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</si>
  <si>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</si>
  <si>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</si>
  <si>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</si>
  <si>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</si>
  <si>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pénzügyi műveletek bevételei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</si>
  <si>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</si>
  <si>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</si>
  <si>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</si>
  <si>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</si>
  <si>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</si>
  <si>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</si>
  <si>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</si>
  <si>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</si>
  <si>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</si>
  <si>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</si>
  <si>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</si>
  <si>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</si>
  <si>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</si>
  <si>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</si>
  <si>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</si>
  <si>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</si>
  <si>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</si>
  <si>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önkormányzati támogatások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</si>
  <si>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</si>
  <si>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</si>
  <si>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</si>
  <si>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</si>
  <si>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</si>
  <si>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</si>
  <si>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</si>
  <si>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</si>
  <si>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</si>
  <si>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</si>
  <si>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</si>
  <si>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</si>
  <si>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</si>
  <si>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</si>
  <si>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</si>
  <si>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</si>
  <si>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Termékek és szolgáltatások adói (B35)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</si>
  <si>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</si>
  <si>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</si>
  <si>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</si>
  <si>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</si>
  <si>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</si>
  <si>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</si>
  <si>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</si>
  <si>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</si>
  <si>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</si>
  <si>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</si>
  <si>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</si>
  <si>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</si>
  <si>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</si>
  <si>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</si>
  <si>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Adóssághoz nem kapcsolódó származékos ügyletek bevételei</t>
  </si>
  <si>
    <t>Finanszírozási bevételek (B8)</t>
  </si>
  <si>
    <t>081041 Versenysport- és utánpótlás-nevelés tevékenység és támogatása</t>
  </si>
  <si>
    <t>066010 Zöldterület-kezelés</t>
  </si>
  <si>
    <t>Eredeti</t>
  </si>
  <si>
    <t>011130 Önkormányzatok és önkormányzati hivatalok jogalkoztó 
és általános igazgatási tevékenysége</t>
  </si>
  <si>
    <t>051030 Nem veszélyes (települési) hulladék vegyes (ömlesztett) 
begyűjtése, szállítása, átrakása</t>
  </si>
  <si>
    <t>1 melléklet</t>
  </si>
  <si>
    <t>Felhalmozási célú tartalék</t>
  </si>
  <si>
    <t>Önkormányzat
Zalacséb</t>
  </si>
  <si>
    <t>Zalacséb Község Önkormányzata</t>
  </si>
  <si>
    <t>072112 Háziorvosi ügyeleti ellátás</t>
  </si>
  <si>
    <t>18.</t>
  </si>
  <si>
    <t>22.</t>
  </si>
  <si>
    <t>091211 Köznevelési intézményben tanuló nappali rendszerű nevelésének, okt.</t>
  </si>
  <si>
    <t>018030 Támogatási célú finanszírozási műveletek</t>
  </si>
  <si>
    <t>041233 Hosszabb időtartamú közfoglalkoztatás</t>
  </si>
  <si>
    <t>082091 Közművelődés - közösséi és társadalmi részvétel fejlesztése</t>
  </si>
  <si>
    <t>091110 Óvodai nevelés, ellátás szakmai feladatai</t>
  </si>
  <si>
    <t>096015 Gyermekétkeztetés köznevelési intézményekben</t>
  </si>
  <si>
    <t>900020 Önkormányzatok funkcióra nem sorolható bevételei ÁH-n kívülről</t>
  </si>
  <si>
    <t>051020 Nem veszélyes (települési) hulladék összetevőinek válogatása, elkülönített begyűjtése, válogatása</t>
  </si>
  <si>
    <t>29.</t>
  </si>
  <si>
    <t>30.</t>
  </si>
  <si>
    <t>31.</t>
  </si>
  <si>
    <t>072312  Fogorvosi ügyeleti ellátás</t>
  </si>
  <si>
    <t>082044 Könyvtári szolgáltatások</t>
  </si>
  <si>
    <t>107051 Szociális étkeztetés</t>
  </si>
  <si>
    <t>32.</t>
  </si>
  <si>
    <t>Kamatbevételek és más nyereségjellegű bevételek</t>
  </si>
  <si>
    <t>Működési célú költségvetési támogatások és kiegészítő támogatások</t>
  </si>
  <si>
    <t>Elszámolásból származó bevételek</t>
  </si>
  <si>
    <t>Elvonások és befizetések bevételei</t>
  </si>
  <si>
    <t>Adósságkonszolidációban részt nem vett települések támogatása terhére megvalósuló útfelújítás</t>
  </si>
  <si>
    <t>Feta út javítás</t>
  </si>
  <si>
    <t>Járda javítás</t>
  </si>
  <si>
    <t>Parkrendezés, tervezés, Fatemplom alapozás</t>
  </si>
  <si>
    <t>Felújítási kiadások összesen</t>
  </si>
  <si>
    <t>Urnafal kialakítása</t>
  </si>
  <si>
    <t>Gyalogos híd építése Halastói patakon</t>
  </si>
  <si>
    <t>Óvodai kalandpark létesítés</t>
  </si>
  <si>
    <t>Beruházási kiadások összesen</t>
  </si>
  <si>
    <t>074032 Ifjúság- egészségügyi gondozás</t>
  </si>
  <si>
    <t>33.</t>
  </si>
  <si>
    <t>082092 Közművelődés - hagyományos közösségi kulturális értékek gondozása</t>
  </si>
  <si>
    <t>VP pályázat kultúr és sportöltöző felújítás 50 %-a</t>
  </si>
  <si>
    <t>Útbaigazító, útjelző táblák</t>
  </si>
  <si>
    <t>Fűnyíró traktor</t>
  </si>
  <si>
    <t>2016. évi tény</t>
  </si>
  <si>
    <t>2017. évi módosított előirányzat</t>
  </si>
  <si>
    <t>2018. évi eredeti előirányzat</t>
  </si>
  <si>
    <t>Javasolt módosítás</t>
  </si>
  <si>
    <t>Módosított
összesen</t>
  </si>
  <si>
    <t>Módosított előirányzat 
összege ill. fő</t>
  </si>
  <si>
    <t>Eredeti előirányzat összege</t>
  </si>
  <si>
    <t>Ebből: - Háztartásoknak működési célú visszatérítendő
támogatás, kölcsön nyújtás</t>
  </si>
  <si>
    <t>mikrohullámú sütő, kávéfőző</t>
  </si>
  <si>
    <t>Akkus furo-csavarozo+alukoffer</t>
  </si>
  <si>
    <t>vílágítástechnika</t>
  </si>
  <si>
    <t>fűkasza beszerzés</t>
  </si>
  <si>
    <t>vezeték nélküli mikrofon</t>
  </si>
  <si>
    <t>kültéri hősugárzó</t>
  </si>
  <si>
    <t>pingpongasztal</t>
  </si>
  <si>
    <t>Teniszháló</t>
  </si>
  <si>
    <t>Vezetéknélküli mikrofon</t>
  </si>
  <si>
    <t>kültéri csőkamera, kábel, stb.</t>
  </si>
  <si>
    <t>Módosított</t>
  </si>
  <si>
    <t>2018. évi módosított előirányzat</t>
  </si>
  <si>
    <t>Sátor</t>
  </si>
  <si>
    <t>Módosított előirányzat 
összege</t>
  </si>
  <si>
    <t>Hang- és világítástechnika Kultúrban</t>
  </si>
  <si>
    <t>Sörpad garnitúra</t>
  </si>
  <si>
    <t>Eredeti 
előirányzat 
összege</t>
  </si>
  <si>
    <t>5.  melléklet</t>
  </si>
  <si>
    <t>Zalacséb Község Önkormányzata 2018. évi tervezett, módosított költségvetési bevételei forrásonként</t>
  </si>
  <si>
    <t>2. melléklet</t>
  </si>
  <si>
    <t xml:space="preserve">Zalacséb Község Önkormányzata 2018. évi tervezett, módosított működési költségvetési kiadásai és létszám - előirányzata </t>
  </si>
  <si>
    <t>Zalacséb Község Önkormányzata és költségvetési szervei - címenkénti - 2018. évi tervezett, módosított
felhalmozási kiadásai</t>
  </si>
  <si>
    <t>Zalacséb Község Önkormányzata 2018. évi módosított költségvetése feladatonként - külön tételben az általános és céltartalék</t>
  </si>
  <si>
    <t>Zalacséb Község Önkormányzat módosított költségvetési mérlege tájékoztató jelleggel</t>
  </si>
  <si>
    <t>Módosított előirányzat felhasználási ütemterve 2018. évre (tervezett adatok alapján)</t>
  </si>
  <si>
    <t>6. melléklet</t>
  </si>
  <si>
    <t>Zalacséb Község Önkormányzata 2018. évi költségvetésében tervezett, módosított</t>
  </si>
  <si>
    <t>többéves kihatással járó feladatai és előirányzatai éves bontásban</t>
  </si>
  <si>
    <t xml:space="preserve">                       </t>
  </si>
  <si>
    <t>Ezer forintban</t>
  </si>
  <si>
    <t>Sorszám</t>
  </si>
  <si>
    <t>A többéves kihatással járó feladat megnevezése</t>
  </si>
  <si>
    <t>Szöveges indoklás</t>
  </si>
  <si>
    <t>Előirányzatok éves bontásban</t>
  </si>
  <si>
    <t>2018. terv</t>
  </si>
  <si>
    <t>2019. terv</t>
  </si>
  <si>
    <t>2020. terv</t>
  </si>
  <si>
    <t>2021. terv</t>
  </si>
  <si>
    <t>2022. terv</t>
  </si>
  <si>
    <t>BURSA HUNGARICA felsőoktatási ösztöndíj pályázatok</t>
  </si>
  <si>
    <t xml:space="preserve">A típ. </t>
  </si>
  <si>
    <t>B típ.</t>
  </si>
  <si>
    <t>VP6-7.2.1-7.4.1.1-16. Településképet meghatározó épületek energetikai korszerűsítése, közösségi tér létrehozása</t>
  </si>
  <si>
    <t>2 éves felújítási ciklus</t>
  </si>
  <si>
    <t>EFOP-1.5.2-16-2017-00045 Humán szolgáltatások fejlesztése térségi szemléletben Zalalövő térségben</t>
  </si>
  <si>
    <t>2018.04.16-2020.04.16.</t>
  </si>
  <si>
    <t>TOP-5.3.1-16-ZA1-2017-00003 Közösségfejlesztés Zalaszentgyörgy, Kávás, Zalaboldogra és Zalacséb településeken</t>
  </si>
  <si>
    <t>2018.12.01-2021.03.15.</t>
  </si>
  <si>
    <t>6 fő x 5.000 Ft x 10 hó = 300.000 Ft</t>
  </si>
  <si>
    <t>a 9/2018. (XII. 15.)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</si>
</sst>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&quot;H-&quot;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.0"/>
    <numFmt numFmtId="178" formatCode="[$-40E]yyyy\.\ mmmm\ d\."/>
    <numFmt numFmtId="179" formatCode="0\1\40\3\4"/>
    <numFmt numFmtId="180" formatCode="0.0"/>
  </numFmts>
  <fonts count="4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2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0" fontId="8" fillId="0" borderId="0" xfId="0" applyFont="1" applyAlignment="1">
      <alignment/>
    </xf>
    <xf numFmtId="3" fontId="10" fillId="4" borderId="11" xfId="0" applyNumberFormat="1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3" fontId="10" fillId="4" borderId="16" xfId="0" applyNumberFormat="1" applyFont="1" applyFill="1" applyBorder="1" applyAlignment="1">
      <alignment vertical="center"/>
    </xf>
    <xf numFmtId="3" fontId="10" fillId="4" borderId="17" xfId="0" applyNumberFormat="1" applyFont="1" applyFill="1" applyBorder="1" applyAlignment="1">
      <alignment vertical="center" wrapText="1"/>
    </xf>
    <xf numFmtId="3" fontId="10" fillId="4" borderId="18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vertical="center" wrapText="1"/>
    </xf>
    <xf numFmtId="3" fontId="10" fillId="4" borderId="19" xfId="0" applyNumberFormat="1" applyFont="1" applyFill="1" applyBorder="1" applyAlignment="1">
      <alignment vertical="center" wrapText="1"/>
    </xf>
    <xf numFmtId="3" fontId="10" fillId="4" borderId="20" xfId="0" applyNumberFormat="1" applyFont="1" applyFill="1" applyBorder="1" applyAlignment="1">
      <alignment vertical="center"/>
    </xf>
    <xf numFmtId="3" fontId="10" fillId="4" borderId="20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4" fillId="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0" fillId="13" borderId="10" xfId="0" applyFill="1" applyBorder="1" applyAlignment="1">
      <alignment horizontal="left" wrapText="1"/>
    </xf>
    <xf numFmtId="3" fontId="0" fillId="13" borderId="10" xfId="0" applyNumberFormat="1" applyFill="1" applyBorder="1" applyAlignment="1">
      <alignment/>
    </xf>
    <xf numFmtId="0" fontId="4" fillId="13" borderId="10" xfId="0" applyFont="1" applyFill="1" applyBorder="1" applyAlignment="1">
      <alignment horizontal="left" wrapText="1"/>
    </xf>
    <xf numFmtId="3" fontId="4" fillId="13" borderId="10" xfId="0" applyNumberFormat="1" applyFont="1" applyFill="1" applyBorder="1" applyAlignment="1">
      <alignment/>
    </xf>
    <xf numFmtId="0" fontId="0" fillId="12" borderId="10" xfId="0" applyFont="1" applyFill="1" applyBorder="1" applyAlignment="1">
      <alignment horizontal="left" wrapText="1"/>
    </xf>
    <xf numFmtId="3" fontId="0" fillId="12" borderId="10" xfId="0" applyNumberFormat="1" applyFill="1" applyBorder="1" applyAlignment="1">
      <alignment/>
    </xf>
    <xf numFmtId="0" fontId="4" fillId="12" borderId="10" xfId="0" applyFont="1" applyFill="1" applyBorder="1" applyAlignment="1">
      <alignment horizontal="left" wrapText="1"/>
    </xf>
    <xf numFmtId="3" fontId="4" fillId="1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4" borderId="21" xfId="0" applyNumberFormat="1" applyFont="1" applyFill="1" applyBorder="1" applyAlignment="1">
      <alignment horizontal="center" vertical="center" wrapText="1"/>
    </xf>
    <xf numFmtId="0" fontId="0" fillId="0" borderId="0" xfId="56">
      <alignment/>
      <protection/>
    </xf>
    <xf numFmtId="0" fontId="11" fillId="0" borderId="0" xfId="56" applyFont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13" fillId="0" borderId="10" xfId="56" applyFont="1" applyBorder="1" applyAlignment="1">
      <alignment vertical="top" wrapText="1"/>
      <protection/>
    </xf>
    <xf numFmtId="0" fontId="14" fillId="0" borderId="10" xfId="56" applyFont="1" applyBorder="1" applyAlignment="1">
      <alignment vertical="top" wrapText="1"/>
      <protection/>
    </xf>
    <xf numFmtId="3" fontId="8" fillId="0" borderId="10" xfId="56" applyNumberFormat="1" applyFont="1" applyBorder="1" applyAlignment="1">
      <alignment horizontal="right" vertical="top" wrapText="1"/>
      <protection/>
    </xf>
    <xf numFmtId="3" fontId="8" fillId="0" borderId="22" xfId="56" applyNumberFormat="1" applyFont="1" applyBorder="1" applyAlignment="1">
      <alignment horizontal="right" vertical="top" wrapText="1"/>
      <protection/>
    </xf>
    <xf numFmtId="0" fontId="8" fillId="0" borderId="23" xfId="56" applyFont="1" applyBorder="1" applyAlignment="1">
      <alignment horizontal="center" vertical="top" wrapText="1"/>
      <protection/>
    </xf>
    <xf numFmtId="0" fontId="13" fillId="0" borderId="24" xfId="56" applyFont="1" applyBorder="1" applyAlignment="1">
      <alignment vertical="top" wrapText="1"/>
      <protection/>
    </xf>
    <xf numFmtId="0" fontId="12" fillId="0" borderId="25" xfId="56" applyFont="1" applyBorder="1" applyAlignment="1">
      <alignment horizontal="center" vertical="top" wrapText="1"/>
      <protection/>
    </xf>
    <xf numFmtId="3" fontId="8" fillId="0" borderId="15" xfId="56" applyNumberFormat="1" applyFont="1" applyBorder="1" applyAlignment="1">
      <alignment horizontal="right" vertical="top" wrapText="1"/>
      <protection/>
    </xf>
    <xf numFmtId="3" fontId="8" fillId="0" borderId="26" xfId="56" applyNumberFormat="1" applyFont="1" applyBorder="1" applyAlignment="1">
      <alignment horizontal="right" vertical="top" wrapText="1"/>
      <protection/>
    </xf>
    <xf numFmtId="0" fontId="8" fillId="0" borderId="10" xfId="56" applyFont="1" applyBorder="1" applyAlignment="1">
      <alignment horizontal="center" vertical="top" wrapText="1"/>
      <protection/>
    </xf>
    <xf numFmtId="0" fontId="12" fillId="0" borderId="10" xfId="56" applyFont="1" applyBorder="1" applyAlignment="1">
      <alignment horizontal="center" vertical="top" wrapText="1"/>
      <protection/>
    </xf>
    <xf numFmtId="0" fontId="12" fillId="0" borderId="27" xfId="56" applyFont="1" applyBorder="1" applyAlignment="1">
      <alignment vertical="top" wrapText="1"/>
      <protection/>
    </xf>
    <xf numFmtId="3" fontId="13" fillId="0" borderId="27" xfId="56" applyNumberFormat="1" applyFont="1" applyBorder="1" applyAlignment="1">
      <alignment horizontal="right" vertical="top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35" xfId="56" applyFont="1" applyBorder="1" applyAlignment="1">
      <alignment horizontal="center" vertical="top" wrapText="1"/>
      <protection/>
    </xf>
    <xf numFmtId="0" fontId="13" fillId="0" borderId="22" xfId="56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vertical="top" wrapText="1"/>
      <protection/>
    </xf>
    <xf numFmtId="3" fontId="8" fillId="0" borderId="10" xfId="56" applyNumberFormat="1" applyFont="1" applyBorder="1" applyAlignment="1">
      <alignment horizontal="right" vertical="top" wrapText="1"/>
      <protection/>
    </xf>
    <xf numFmtId="0" fontId="5" fillId="0" borderId="0" xfId="56" applyFont="1" applyAlignment="1">
      <alignment horizontal="center"/>
      <protection/>
    </xf>
    <xf numFmtId="0" fontId="13" fillId="0" borderId="36" xfId="56" applyFont="1" applyBorder="1" applyAlignment="1">
      <alignment horizontal="center" vertical="top" textRotation="90" wrapText="1"/>
      <protection/>
    </xf>
    <xf numFmtId="0" fontId="13" fillId="0" borderId="37" xfId="56" applyFont="1" applyBorder="1" applyAlignment="1">
      <alignment horizontal="center" vertical="top" textRotation="90" wrapText="1"/>
      <protection/>
    </xf>
    <xf numFmtId="0" fontId="13" fillId="0" borderId="38" xfId="56" applyFont="1" applyBorder="1" applyAlignment="1">
      <alignment horizontal="center" vertical="top" textRotation="90" wrapText="1"/>
      <protection/>
    </xf>
    <xf numFmtId="3" fontId="8" fillId="0" borderId="22" xfId="56" applyNumberFormat="1" applyFont="1" applyBorder="1" applyAlignment="1">
      <alignment horizontal="right" vertical="top" wrapText="1"/>
      <protection/>
    </xf>
    <xf numFmtId="0" fontId="12" fillId="0" borderId="15" xfId="56" applyFont="1" applyBorder="1" applyAlignment="1">
      <alignment horizontal="left" vertical="top" wrapText="1"/>
      <protection/>
    </xf>
    <xf numFmtId="0" fontId="12" fillId="0" borderId="16" xfId="56" applyFont="1" applyBorder="1" applyAlignment="1">
      <alignment horizontal="left" vertical="top" wrapText="1"/>
      <protection/>
    </xf>
    <xf numFmtId="0" fontId="12" fillId="0" borderId="15" xfId="56" applyFont="1" applyBorder="1" applyAlignment="1">
      <alignment horizontal="center" vertical="top" wrapText="1"/>
      <protection/>
    </xf>
    <xf numFmtId="0" fontId="12" fillId="0" borderId="16" xfId="56" applyFont="1" applyBorder="1" applyAlignment="1">
      <alignment horizontal="center" vertical="top" wrapText="1"/>
      <protection/>
    </xf>
    <xf numFmtId="0" fontId="13" fillId="0" borderId="39" xfId="56" applyFont="1" applyBorder="1" applyAlignment="1">
      <alignment horizontal="center" vertical="top" wrapText="1"/>
      <protection/>
    </xf>
    <xf numFmtId="0" fontId="13" fillId="0" borderId="25" xfId="56" applyFont="1" applyBorder="1" applyAlignment="1">
      <alignment horizontal="center" vertical="top" wrapText="1"/>
      <protection/>
    </xf>
    <xf numFmtId="0" fontId="13" fillId="0" borderId="16" xfId="56" applyFont="1" applyBorder="1" applyAlignment="1">
      <alignment horizontal="center" vertical="top" wrapText="1"/>
      <protection/>
    </xf>
    <xf numFmtId="0" fontId="13" fillId="0" borderId="17" xfId="56" applyFont="1" applyBorder="1" applyAlignment="1">
      <alignment horizontal="left" vertical="top" wrapText="1"/>
      <protection/>
    </xf>
    <xf numFmtId="0" fontId="13" fillId="0" borderId="40" xfId="56" applyFont="1" applyBorder="1" applyAlignment="1">
      <alignment horizontal="left" vertical="top" wrapText="1"/>
      <protection/>
    </xf>
    <xf numFmtId="0" fontId="8" fillId="0" borderId="41" xfId="56" applyFont="1" applyBorder="1" applyAlignment="1">
      <alignment horizontal="center" vertical="top" wrapText="1"/>
      <protection/>
    </xf>
    <xf numFmtId="0" fontId="8" fillId="0" borderId="23" xfId="56" applyFont="1" applyBorder="1" applyAlignment="1">
      <alignment horizontal="center" vertical="top" wrapText="1"/>
      <protection/>
    </xf>
    <xf numFmtId="0" fontId="13" fillId="0" borderId="42" xfId="56" applyFont="1" applyBorder="1" applyAlignment="1">
      <alignment horizontal="center" vertical="top" wrapText="1"/>
      <protection/>
    </xf>
    <xf numFmtId="0" fontId="13" fillId="0" borderId="43" xfId="56" applyFont="1" applyBorder="1" applyAlignment="1">
      <alignment horizontal="center" vertical="top" wrapText="1"/>
      <protection/>
    </xf>
    <xf numFmtId="0" fontId="13" fillId="0" borderId="44" xfId="56" applyFont="1" applyBorder="1" applyAlignment="1">
      <alignment horizontal="center" vertical="top" wrapText="1"/>
      <protection/>
    </xf>
    <xf numFmtId="0" fontId="13" fillId="0" borderId="32" xfId="56" applyFont="1" applyBorder="1" applyAlignment="1">
      <alignment horizontal="center" vertical="top" wrapText="1"/>
      <protection/>
    </xf>
    <xf numFmtId="0" fontId="13" fillId="0" borderId="31" xfId="56" applyFont="1" applyBorder="1" applyAlignment="1">
      <alignment horizontal="center" vertical="top" wrapText="1"/>
      <protection/>
    </xf>
    <xf numFmtId="0" fontId="13" fillId="0" borderId="33" xfId="56" applyFont="1" applyBorder="1" applyAlignment="1">
      <alignment horizontal="center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acs&#233;b\Documents\&#214;nk,K&#246;rj,&#211;v\Zcs&#233;b%20&#246;nkorm&#225;nyzat\2014\besz&#225;mol&#243;%20Zalacs&#233;b\Test&#252;leti\ZCS%20z&#225;rsz&#225;mad&#225;si%20rendelet%202014.%20&#233;ves%20teljes&#237;t&#233;shez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lacs&#233;b\Documents\&#214;nk,K&#246;rj,&#211;v\Zcs&#233;b%20&#246;nkorm&#225;nyzat\2015\el&#337;ir&#225;nyzat%20m&#243;dos&#237;t&#225;s\z&#225;r&#243;\z&#225;r&#243;%20m&#243;dos&#237;t&#225;s%20rendelethez%20t&#225;bl&#225;k%202015.%20&#233;v%20Zcs&#233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"/>
      <sheetName val="2."/>
      <sheetName val="3."/>
      <sheetName val="4."/>
      <sheetName val="5."/>
      <sheetName val="6."/>
      <sheetName val="7"/>
      <sheetName val="8.1"/>
      <sheetName val="8.2"/>
      <sheetName val="8.3"/>
      <sheetName val="10."/>
      <sheetName val="11"/>
      <sheetName val="12"/>
      <sheetName val="14.sz.m."/>
    </sheetNames>
    <sheetDataSet>
      <sheetData sheetId="0">
        <row r="57">
          <cell r="L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ód1"/>
      <sheetName val="mód2"/>
      <sheetName val="mód3."/>
      <sheetName val="mód4."/>
      <sheetName val="mód5."/>
      <sheetName val="6.m"/>
      <sheetName val="mód6."/>
      <sheetName val="8.m"/>
      <sheetName val="8a.m"/>
      <sheetName val="8b.m"/>
    </sheetNames>
    <sheetDataSet>
      <sheetData sheetId="4">
        <row r="18">
          <cell r="F18">
            <v>0</v>
          </cell>
          <cell r="M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2.140625" style="0" bestFit="1" customWidth="1"/>
    <col min="2" max="3" width="9.8515625" style="0" customWidth="1"/>
    <col min="4" max="4" width="10.421875" style="0" customWidth="1"/>
    <col min="5" max="5" width="9.7109375" style="0" customWidth="1"/>
    <col min="7" max="8" width="9.8515625" style="0" bestFit="1" customWidth="1"/>
  </cols>
  <sheetData>
    <row r="1" spans="1:8" ht="12.75">
      <c r="A1" s="114" t="s">
        <v>209</v>
      </c>
      <c r="B1" s="114"/>
      <c r="C1" s="114"/>
      <c r="D1" s="114"/>
      <c r="E1" s="114"/>
      <c r="F1" s="114"/>
      <c r="G1" s="114"/>
      <c r="H1" s="114"/>
    </row>
    <row r="2" spans="1:11" ht="12.75">
      <c r="A2" s="114" t="s">
        <v>307</v>
      </c>
      <c r="B2" s="114"/>
      <c r="C2" s="114"/>
      <c r="D2" s="114"/>
      <c r="E2" s="114"/>
      <c r="F2" s="114"/>
      <c r="G2" s="114"/>
      <c r="H2" s="114"/>
      <c r="I2" s="25"/>
      <c r="J2" s="25"/>
      <c r="K2" s="25"/>
    </row>
    <row r="3" spans="1:8" ht="12.75">
      <c r="A3" s="114" t="s">
        <v>276</v>
      </c>
      <c r="B3" s="114"/>
      <c r="C3" s="114"/>
      <c r="D3" s="114"/>
      <c r="E3" s="114"/>
      <c r="F3" s="114"/>
      <c r="G3" s="114"/>
      <c r="H3" s="114"/>
    </row>
    <row r="5" spans="7:8" ht="12.75">
      <c r="G5" s="115" t="s">
        <v>6</v>
      </c>
      <c r="H5" s="115"/>
    </row>
    <row r="6" spans="1:8" ht="12.75" customHeight="1">
      <c r="A6" s="116" t="s">
        <v>0</v>
      </c>
      <c r="B6" s="118" t="s">
        <v>4</v>
      </c>
      <c r="C6" s="119"/>
      <c r="D6" s="119"/>
      <c r="E6" s="119"/>
      <c r="F6" s="119"/>
      <c r="G6" s="119"/>
      <c r="H6" s="120"/>
    </row>
    <row r="7" spans="1:8" ht="38.25">
      <c r="A7" s="117"/>
      <c r="B7" s="11" t="s">
        <v>206</v>
      </c>
      <c r="C7" s="11" t="s">
        <v>253</v>
      </c>
      <c r="D7" s="11" t="s">
        <v>254</v>
      </c>
      <c r="E7" s="10" t="s">
        <v>2</v>
      </c>
      <c r="F7" s="10" t="s">
        <v>3</v>
      </c>
      <c r="G7" s="11" t="s">
        <v>80</v>
      </c>
      <c r="H7" s="11" t="s">
        <v>81</v>
      </c>
    </row>
    <row r="8" spans="1:10" ht="12.75">
      <c r="A8" s="1" t="s">
        <v>145</v>
      </c>
      <c r="B8" s="7"/>
      <c r="C8" s="7"/>
      <c r="D8" s="7"/>
      <c r="E8" s="7"/>
      <c r="F8" s="7"/>
      <c r="G8" s="74"/>
      <c r="H8" s="74"/>
      <c r="J8" s="34"/>
    </row>
    <row r="9" spans="1:10" ht="12.75">
      <c r="A9" s="1" t="s">
        <v>146</v>
      </c>
      <c r="B9" s="7">
        <v>471</v>
      </c>
      <c r="C9" s="7">
        <v>0</v>
      </c>
      <c r="D9" s="7">
        <f>+E9+F9</f>
        <v>471</v>
      </c>
      <c r="E9" s="7">
        <v>471</v>
      </c>
      <c r="F9" s="7"/>
      <c r="G9" s="75">
        <f>+E9</f>
        <v>471</v>
      </c>
      <c r="H9" s="75"/>
      <c r="J9" s="34"/>
    </row>
    <row r="10" spans="1:10" ht="12.75">
      <c r="A10" s="1" t="s">
        <v>147</v>
      </c>
      <c r="B10" s="7">
        <v>500</v>
      </c>
      <c r="C10" s="7">
        <v>0</v>
      </c>
      <c r="D10" s="7">
        <f>+E10+F10</f>
        <v>500</v>
      </c>
      <c r="E10" s="7">
        <v>500</v>
      </c>
      <c r="F10" s="7"/>
      <c r="G10" s="75">
        <f>+E10</f>
        <v>500</v>
      </c>
      <c r="H10" s="75"/>
      <c r="J10" s="34"/>
    </row>
    <row r="11" spans="1:10" ht="12.75">
      <c r="A11" s="1" t="s">
        <v>148</v>
      </c>
      <c r="B11" s="7">
        <v>1170</v>
      </c>
      <c r="C11" s="7">
        <v>700</v>
      </c>
      <c r="D11" s="7">
        <f>+E11+F11</f>
        <v>1870</v>
      </c>
      <c r="E11" s="7">
        <f>130+240+800+C11</f>
        <v>1870</v>
      </c>
      <c r="F11" s="7"/>
      <c r="G11" s="75">
        <f>+E11</f>
        <v>1870</v>
      </c>
      <c r="H11" s="75"/>
      <c r="J11" s="34"/>
    </row>
    <row r="12" spans="1:10" ht="12.75">
      <c r="A12" s="1" t="s">
        <v>149</v>
      </c>
      <c r="B12" s="7"/>
      <c r="C12" s="7"/>
      <c r="D12" s="7"/>
      <c r="E12" s="7"/>
      <c r="F12" s="7"/>
      <c r="G12" s="75"/>
      <c r="H12" s="74"/>
      <c r="J12" s="34"/>
    </row>
    <row r="13" spans="1:10" ht="12.75">
      <c r="A13" s="1" t="s">
        <v>150</v>
      </c>
      <c r="B13" s="7"/>
      <c r="C13" s="7"/>
      <c r="D13" s="7"/>
      <c r="E13" s="7"/>
      <c r="F13" s="7"/>
      <c r="G13" s="75"/>
      <c r="H13" s="74"/>
      <c r="J13" s="34"/>
    </row>
    <row r="14" spans="1:10" ht="12.75">
      <c r="A14" s="1" t="s">
        <v>151</v>
      </c>
      <c r="B14" s="7"/>
      <c r="C14" s="7"/>
      <c r="D14" s="7"/>
      <c r="E14" s="7"/>
      <c r="F14" s="7"/>
      <c r="G14" s="75"/>
      <c r="H14" s="75"/>
      <c r="J14" s="34"/>
    </row>
    <row r="15" spans="1:10" ht="12.75">
      <c r="A15" s="1" t="s">
        <v>231</v>
      </c>
      <c r="B15" s="7">
        <v>1</v>
      </c>
      <c r="C15" s="7"/>
      <c r="D15" s="7">
        <f>+E15+F15</f>
        <v>1</v>
      </c>
      <c r="E15" s="7">
        <v>1</v>
      </c>
      <c r="F15" s="7"/>
      <c r="G15" s="75">
        <f>+E15</f>
        <v>1</v>
      </c>
      <c r="H15" s="75"/>
      <c r="J15" s="34"/>
    </row>
    <row r="16" spans="1:10" ht="12.75">
      <c r="A16" s="1" t="s">
        <v>152</v>
      </c>
      <c r="B16" s="7"/>
      <c r="C16" s="7"/>
      <c r="D16" s="7"/>
      <c r="E16" s="7"/>
      <c r="F16" s="7"/>
      <c r="G16" s="75"/>
      <c r="H16" s="75"/>
      <c r="J16" s="34"/>
    </row>
    <row r="17" spans="1:10" ht="12.75">
      <c r="A17" s="70" t="s">
        <v>153</v>
      </c>
      <c r="B17" s="76">
        <f aca="true" t="shared" si="0" ref="B17:H17">SUM(B8:B16)</f>
        <v>2142</v>
      </c>
      <c r="C17" s="76">
        <f t="shared" si="0"/>
        <v>700</v>
      </c>
      <c r="D17" s="76">
        <f t="shared" si="0"/>
        <v>2842</v>
      </c>
      <c r="E17" s="76">
        <f t="shared" si="0"/>
        <v>2842</v>
      </c>
      <c r="F17" s="76">
        <f t="shared" si="0"/>
        <v>0</v>
      </c>
      <c r="G17" s="76">
        <f t="shared" si="0"/>
        <v>2842</v>
      </c>
      <c r="H17" s="76">
        <f t="shared" si="0"/>
        <v>0</v>
      </c>
      <c r="J17" s="34"/>
    </row>
    <row r="18" spans="1:10" ht="12.75">
      <c r="A18" s="1" t="s">
        <v>154</v>
      </c>
      <c r="B18" s="20">
        <v>1167</v>
      </c>
      <c r="C18" s="20">
        <v>0</v>
      </c>
      <c r="D18" s="75">
        <f aca="true" t="shared" si="1" ref="D18:D23">+E18+F18</f>
        <v>1167</v>
      </c>
      <c r="E18" s="75">
        <v>1167</v>
      </c>
      <c r="F18" s="75"/>
      <c r="G18" s="75">
        <f aca="true" t="shared" si="2" ref="G18:G23">+E18</f>
        <v>1167</v>
      </c>
      <c r="H18" s="75"/>
      <c r="J18" s="34"/>
    </row>
    <row r="19" spans="1:10" ht="12.75">
      <c r="A19" s="1" t="s">
        <v>155</v>
      </c>
      <c r="B19" s="20">
        <v>25568</v>
      </c>
      <c r="C19" s="20">
        <v>0</v>
      </c>
      <c r="D19" s="75">
        <f t="shared" si="1"/>
        <v>25568</v>
      </c>
      <c r="E19" s="75">
        <v>25568</v>
      </c>
      <c r="F19" s="75"/>
      <c r="G19" s="75">
        <f t="shared" si="2"/>
        <v>25568</v>
      </c>
      <c r="H19" s="75"/>
      <c r="J19" s="34"/>
    </row>
    <row r="20" spans="1:10" ht="12.75">
      <c r="A20" s="1" t="s">
        <v>156</v>
      </c>
      <c r="B20" s="20">
        <v>5641</v>
      </c>
      <c r="C20" s="20">
        <v>0</v>
      </c>
      <c r="D20" s="75">
        <f t="shared" si="1"/>
        <v>5641</v>
      </c>
      <c r="E20" s="75">
        <v>5641</v>
      </c>
      <c r="F20" s="75"/>
      <c r="G20" s="75">
        <f t="shared" si="2"/>
        <v>5641</v>
      </c>
      <c r="H20" s="74"/>
      <c r="J20" s="34"/>
    </row>
    <row r="21" spans="1:10" ht="12.75">
      <c r="A21" s="1" t="s">
        <v>157</v>
      </c>
      <c r="B21" s="20">
        <v>1800</v>
      </c>
      <c r="C21" s="20">
        <v>0</v>
      </c>
      <c r="D21" s="75">
        <f t="shared" si="1"/>
        <v>1800</v>
      </c>
      <c r="E21" s="75">
        <v>1800</v>
      </c>
      <c r="F21" s="75"/>
      <c r="G21" s="75">
        <f t="shared" si="2"/>
        <v>1800</v>
      </c>
      <c r="H21" s="75"/>
      <c r="J21" s="34"/>
    </row>
    <row r="22" spans="1:10" ht="12.75">
      <c r="A22" s="79" t="s">
        <v>232</v>
      </c>
      <c r="B22" s="91"/>
      <c r="C22" s="75">
        <v>1417</v>
      </c>
      <c r="D22" s="75">
        <f t="shared" si="1"/>
        <v>1417</v>
      </c>
      <c r="E22" s="75">
        <f>+C22</f>
        <v>1417</v>
      </c>
      <c r="F22" s="75"/>
      <c r="G22" s="75">
        <f t="shared" si="2"/>
        <v>1417</v>
      </c>
      <c r="H22" s="75"/>
      <c r="J22" s="34"/>
    </row>
    <row r="23" spans="1:10" ht="12.75">
      <c r="A23" s="71" t="s">
        <v>233</v>
      </c>
      <c r="B23" s="88"/>
      <c r="C23" s="75">
        <v>581</v>
      </c>
      <c r="D23" s="75">
        <f t="shared" si="1"/>
        <v>581</v>
      </c>
      <c r="E23" s="75">
        <f>+C23</f>
        <v>581</v>
      </c>
      <c r="F23" s="75"/>
      <c r="G23" s="75">
        <f t="shared" si="2"/>
        <v>581</v>
      </c>
      <c r="H23" s="75"/>
      <c r="J23" s="34"/>
    </row>
    <row r="24" spans="1:10" ht="12.75">
      <c r="A24" s="2" t="s">
        <v>158</v>
      </c>
      <c r="B24" s="76">
        <f aca="true" t="shared" si="3" ref="B24:H24">SUM(B18:B23)</f>
        <v>34176</v>
      </c>
      <c r="C24" s="76">
        <f t="shared" si="3"/>
        <v>1998</v>
      </c>
      <c r="D24" s="76">
        <f>SUM(D18:D23)</f>
        <v>36174</v>
      </c>
      <c r="E24" s="76">
        <f t="shared" si="3"/>
        <v>36174</v>
      </c>
      <c r="F24" s="76">
        <f t="shared" si="3"/>
        <v>0</v>
      </c>
      <c r="G24" s="76">
        <f t="shared" si="3"/>
        <v>36174</v>
      </c>
      <c r="H24" s="76">
        <f t="shared" si="3"/>
        <v>0</v>
      </c>
      <c r="J24" s="34"/>
    </row>
    <row r="25" spans="1:10" ht="14.25" customHeight="1">
      <c r="A25" s="1" t="s">
        <v>159</v>
      </c>
      <c r="B25" s="20"/>
      <c r="C25" s="20"/>
      <c r="D25" s="75"/>
      <c r="E25" s="75"/>
      <c r="F25" s="75"/>
      <c r="G25" s="74"/>
      <c r="H25" s="74"/>
      <c r="J25" s="34"/>
    </row>
    <row r="26" spans="1:10" ht="12.75">
      <c r="A26" s="1" t="s">
        <v>160</v>
      </c>
      <c r="B26" s="20">
        <v>1000</v>
      </c>
      <c r="C26" s="20">
        <v>0</v>
      </c>
      <c r="D26" s="75">
        <f>+E26+F26</f>
        <v>1000</v>
      </c>
      <c r="E26" s="75"/>
      <c r="F26" s="75">
        <v>1000</v>
      </c>
      <c r="G26" s="75">
        <f>+F26</f>
        <v>1000</v>
      </c>
      <c r="H26" s="75"/>
      <c r="J26" s="34"/>
    </row>
    <row r="27" spans="1:10" ht="12.75">
      <c r="A27" s="1" t="s">
        <v>161</v>
      </c>
      <c r="B27" s="20"/>
      <c r="C27" s="20"/>
      <c r="D27" s="75"/>
      <c r="E27" s="75"/>
      <c r="F27" s="75"/>
      <c r="G27" s="75"/>
      <c r="H27" s="75"/>
      <c r="J27" s="34"/>
    </row>
    <row r="28" spans="1:10" ht="12.75">
      <c r="A28" s="1" t="s">
        <v>162</v>
      </c>
      <c r="B28" s="20"/>
      <c r="C28" s="20"/>
      <c r="D28" s="75"/>
      <c r="E28" s="75"/>
      <c r="F28" s="75"/>
      <c r="G28" s="75"/>
      <c r="H28" s="75"/>
      <c r="J28" s="34"/>
    </row>
    <row r="29" spans="1:10" ht="12.75">
      <c r="A29" s="1" t="s">
        <v>163</v>
      </c>
      <c r="B29" s="20"/>
      <c r="C29" s="20"/>
      <c r="D29" s="75"/>
      <c r="E29" s="75"/>
      <c r="F29" s="75"/>
      <c r="G29" s="75"/>
      <c r="H29" s="75"/>
      <c r="J29" s="34"/>
    </row>
    <row r="30" spans="1:10" ht="12.75">
      <c r="A30" s="2" t="s">
        <v>164</v>
      </c>
      <c r="B30" s="76">
        <f>SUM(B25:B29)</f>
        <v>1000</v>
      </c>
      <c r="C30" s="76"/>
      <c r="D30" s="76">
        <f>SUM(D25:D29)</f>
        <v>1000</v>
      </c>
      <c r="E30" s="76">
        <f>SUM(E25:E29)</f>
        <v>0</v>
      </c>
      <c r="F30" s="76">
        <f>SUM(F25:F29)</f>
        <v>1000</v>
      </c>
      <c r="G30" s="76">
        <f>SUM(G25:G29)</f>
        <v>1000</v>
      </c>
      <c r="H30" s="76">
        <f>SUM(H25:H29)</f>
        <v>0</v>
      </c>
      <c r="J30" s="34"/>
    </row>
    <row r="31" spans="1:10" ht="12.75">
      <c r="A31" s="71" t="s">
        <v>234</v>
      </c>
      <c r="B31" s="88"/>
      <c r="C31" s="88"/>
      <c r="D31" s="75"/>
      <c r="E31" s="75"/>
      <c r="F31" s="75"/>
      <c r="G31" s="75"/>
      <c r="H31" s="75"/>
      <c r="J31" s="34"/>
    </row>
    <row r="32" spans="1:10" ht="25.5">
      <c r="A32" s="40" t="s">
        <v>165</v>
      </c>
      <c r="B32" s="93"/>
      <c r="C32" s="93"/>
      <c r="D32" s="75"/>
      <c r="E32" s="75"/>
      <c r="F32" s="75"/>
      <c r="G32" s="75"/>
      <c r="H32" s="75"/>
      <c r="J32" s="34"/>
    </row>
    <row r="33" spans="1:10" ht="25.5">
      <c r="A33" s="40" t="s">
        <v>166</v>
      </c>
      <c r="B33" s="93"/>
      <c r="C33" s="93"/>
      <c r="D33" s="75"/>
      <c r="E33" s="75"/>
      <c r="F33" s="75"/>
      <c r="G33" s="75"/>
      <c r="H33" s="75"/>
      <c r="J33" s="34"/>
    </row>
    <row r="34" spans="1:10" ht="25.5">
      <c r="A34" s="40" t="s">
        <v>167</v>
      </c>
      <c r="B34" s="93"/>
      <c r="C34" s="93"/>
      <c r="D34" s="75"/>
      <c r="E34" s="75"/>
      <c r="F34" s="75"/>
      <c r="G34" s="75"/>
      <c r="H34" s="75"/>
      <c r="J34" s="34"/>
    </row>
    <row r="35" spans="1:10" ht="12.75">
      <c r="A35" s="1" t="s">
        <v>168</v>
      </c>
      <c r="B35" s="20">
        <v>578</v>
      </c>
      <c r="C35" s="20">
        <f>13194+159+425+2</f>
        <v>13780</v>
      </c>
      <c r="D35" s="75">
        <f>+E35+F35</f>
        <v>14358</v>
      </c>
      <c r="E35" s="75">
        <f>+B35+C35-F35</f>
        <v>13384</v>
      </c>
      <c r="F35" s="75">
        <v>974</v>
      </c>
      <c r="G35" s="75">
        <f>+E35+F35</f>
        <v>14358</v>
      </c>
      <c r="H35" s="75"/>
      <c r="J35" s="34"/>
    </row>
    <row r="36" spans="1:10" ht="12.75">
      <c r="A36" s="2" t="s">
        <v>169</v>
      </c>
      <c r="B36" s="76">
        <f aca="true" t="shared" si="4" ref="B36:H36">SUM(B31:B35)</f>
        <v>578</v>
      </c>
      <c r="C36" s="76">
        <f t="shared" si="4"/>
        <v>13780</v>
      </c>
      <c r="D36" s="76">
        <f t="shared" si="4"/>
        <v>14358</v>
      </c>
      <c r="E36" s="76">
        <f t="shared" si="4"/>
        <v>13384</v>
      </c>
      <c r="F36" s="76">
        <f t="shared" si="4"/>
        <v>974</v>
      </c>
      <c r="G36" s="76">
        <f t="shared" si="4"/>
        <v>14358</v>
      </c>
      <c r="H36" s="76">
        <f t="shared" si="4"/>
        <v>0</v>
      </c>
      <c r="J36" s="34"/>
    </row>
    <row r="37" spans="1:10" ht="12.75">
      <c r="A37" s="71" t="s">
        <v>170</v>
      </c>
      <c r="B37" s="88"/>
      <c r="C37" s="88"/>
      <c r="D37" s="75"/>
      <c r="E37" s="75"/>
      <c r="F37" s="75"/>
      <c r="G37" s="75"/>
      <c r="H37" s="75"/>
      <c r="J37" s="34"/>
    </row>
    <row r="38" spans="1:10" ht="28.5" customHeight="1">
      <c r="A38" s="72" t="s">
        <v>171</v>
      </c>
      <c r="B38" s="94"/>
      <c r="C38" s="94"/>
      <c r="D38" s="75"/>
      <c r="E38" s="75"/>
      <c r="F38" s="75"/>
      <c r="G38" s="75"/>
      <c r="H38" s="75"/>
      <c r="J38" s="34"/>
    </row>
    <row r="39" spans="1:10" ht="25.5">
      <c r="A39" s="72" t="s">
        <v>172</v>
      </c>
      <c r="B39" s="94"/>
      <c r="C39" s="94"/>
      <c r="D39" s="75"/>
      <c r="E39" s="75"/>
      <c r="F39" s="75"/>
      <c r="G39" s="75"/>
      <c r="H39" s="75"/>
      <c r="J39" s="34"/>
    </row>
    <row r="40" spans="1:10" ht="26.25" customHeight="1">
      <c r="A40" s="72" t="s">
        <v>173</v>
      </c>
      <c r="B40" s="94"/>
      <c r="C40" s="94"/>
      <c r="D40" s="75"/>
      <c r="E40" s="75"/>
      <c r="F40" s="75"/>
      <c r="G40" s="75"/>
      <c r="H40" s="75"/>
      <c r="J40" s="34"/>
    </row>
    <row r="41" spans="1:13" ht="12.75">
      <c r="A41" s="71" t="s">
        <v>174</v>
      </c>
      <c r="B41" s="88">
        <v>20737</v>
      </c>
      <c r="C41" s="88">
        <v>0</v>
      </c>
      <c r="D41" s="75">
        <f>+E41+F41</f>
        <v>20737</v>
      </c>
      <c r="E41" s="75"/>
      <c r="F41" s="75">
        <v>20737</v>
      </c>
      <c r="G41" s="75">
        <f>+F41</f>
        <v>20737</v>
      </c>
      <c r="H41" s="75"/>
      <c r="J41" s="34"/>
      <c r="M41" s="32"/>
    </row>
    <row r="42" spans="1:13" ht="12.75">
      <c r="A42" s="2" t="s">
        <v>175</v>
      </c>
      <c r="B42" s="76">
        <f aca="true" t="shared" si="5" ref="B42:H42">SUM(B37:B41)</f>
        <v>20737</v>
      </c>
      <c r="C42" s="76">
        <f t="shared" si="5"/>
        <v>0</v>
      </c>
      <c r="D42" s="76">
        <f t="shared" si="5"/>
        <v>20737</v>
      </c>
      <c r="E42" s="76">
        <f t="shared" si="5"/>
        <v>0</v>
      </c>
      <c r="F42" s="76">
        <f t="shared" si="5"/>
        <v>20737</v>
      </c>
      <c r="G42" s="76">
        <f t="shared" si="5"/>
        <v>20737</v>
      </c>
      <c r="H42" s="76">
        <f t="shared" si="5"/>
        <v>0</v>
      </c>
      <c r="M42" s="32"/>
    </row>
    <row r="43" spans="1:13" ht="12.75">
      <c r="A43" s="71" t="s">
        <v>176</v>
      </c>
      <c r="B43" s="88"/>
      <c r="C43" s="88"/>
      <c r="D43" s="20"/>
      <c r="E43" s="20"/>
      <c r="F43" s="20"/>
      <c r="G43" s="77"/>
      <c r="H43" s="77"/>
      <c r="M43" s="32"/>
    </row>
    <row r="44" spans="1:13" ht="12.75">
      <c r="A44" s="71" t="s">
        <v>177</v>
      </c>
      <c r="B44" s="88"/>
      <c r="C44" s="88"/>
      <c r="D44" s="20"/>
      <c r="E44" s="20"/>
      <c r="F44" s="20"/>
      <c r="G44" s="75"/>
      <c r="H44" s="75"/>
      <c r="M44" s="32"/>
    </row>
    <row r="45" spans="1:13" ht="12.75">
      <c r="A45" s="2" t="s">
        <v>178</v>
      </c>
      <c r="B45" s="92"/>
      <c r="C45" s="92"/>
      <c r="D45" s="76">
        <v>0</v>
      </c>
      <c r="E45" s="76"/>
      <c r="F45" s="76"/>
      <c r="G45" s="76"/>
      <c r="H45" s="76"/>
      <c r="M45" s="32"/>
    </row>
    <row r="46" spans="1:13" ht="12.75">
      <c r="A46" s="71" t="s">
        <v>179</v>
      </c>
      <c r="B46" s="88"/>
      <c r="C46" s="88"/>
      <c r="D46" s="20"/>
      <c r="E46" s="20"/>
      <c r="F46" s="20"/>
      <c r="G46" s="75"/>
      <c r="H46" s="75"/>
      <c r="M46" s="32"/>
    </row>
    <row r="47" spans="1:13" ht="12.75">
      <c r="A47" s="71" t="s">
        <v>180</v>
      </c>
      <c r="B47" s="88"/>
      <c r="C47" s="88"/>
      <c r="D47" s="20"/>
      <c r="E47" s="20"/>
      <c r="F47" s="20"/>
      <c r="G47" s="75"/>
      <c r="H47" s="75"/>
      <c r="M47" s="32"/>
    </row>
    <row r="48" spans="1:13" ht="12.75">
      <c r="A48" s="71" t="s">
        <v>181</v>
      </c>
      <c r="B48" s="88">
        <v>1550</v>
      </c>
      <c r="C48" s="88">
        <v>0</v>
      </c>
      <c r="D48" s="20">
        <f aca="true" t="shared" si="6" ref="D48:D53">+E48+F48</f>
        <v>1550</v>
      </c>
      <c r="E48" s="20">
        <v>1550</v>
      </c>
      <c r="F48" s="20"/>
      <c r="G48" s="20">
        <f>+E48</f>
        <v>1550</v>
      </c>
      <c r="H48" s="20"/>
      <c r="M48" s="32"/>
    </row>
    <row r="49" spans="1:13" ht="12.75">
      <c r="A49" s="71" t="s">
        <v>182</v>
      </c>
      <c r="B49" s="88">
        <v>25000</v>
      </c>
      <c r="C49" s="88">
        <v>2500</v>
      </c>
      <c r="D49" s="20">
        <f>+E49+F49</f>
        <v>27500</v>
      </c>
      <c r="E49" s="20">
        <f>25000+C49-2000-3951-578</f>
        <v>20971</v>
      </c>
      <c r="F49" s="20">
        <f>2000+3951+578</f>
        <v>6529</v>
      </c>
      <c r="G49" s="20">
        <f>+D49-H49</f>
        <v>27500</v>
      </c>
      <c r="H49" s="20">
        <v>0</v>
      </c>
      <c r="J49" s="32"/>
      <c r="M49" s="32"/>
    </row>
    <row r="50" spans="1:13" ht="12.75">
      <c r="A50" s="71" t="s">
        <v>183</v>
      </c>
      <c r="B50" s="88"/>
      <c r="C50" s="88"/>
      <c r="D50" s="20">
        <f t="shared" si="6"/>
        <v>0</v>
      </c>
      <c r="E50" s="20"/>
      <c r="F50" s="20"/>
      <c r="G50" s="20"/>
      <c r="H50" s="20"/>
      <c r="J50" s="32"/>
      <c r="M50" s="32"/>
    </row>
    <row r="51" spans="1:8" ht="12.75">
      <c r="A51" s="71" t="s">
        <v>184</v>
      </c>
      <c r="B51" s="88"/>
      <c r="C51" s="88"/>
      <c r="D51" s="20">
        <f t="shared" si="6"/>
        <v>0</v>
      </c>
      <c r="E51" s="20"/>
      <c r="F51" s="20"/>
      <c r="G51" s="20"/>
      <c r="H51" s="20"/>
    </row>
    <row r="52" spans="1:8" ht="12.75">
      <c r="A52" s="71" t="s">
        <v>185</v>
      </c>
      <c r="B52" s="88">
        <v>1900</v>
      </c>
      <c r="C52" s="88">
        <v>0</v>
      </c>
      <c r="D52" s="20">
        <f t="shared" si="6"/>
        <v>1900</v>
      </c>
      <c r="E52" s="20">
        <v>1900</v>
      </c>
      <c r="F52" s="20"/>
      <c r="G52" s="20">
        <f>+E52</f>
        <v>1900</v>
      </c>
      <c r="H52" s="20"/>
    </row>
    <row r="53" spans="1:8" ht="12.75">
      <c r="A53" s="71" t="s">
        <v>186</v>
      </c>
      <c r="B53" s="88"/>
      <c r="C53" s="88"/>
      <c r="D53" s="20">
        <f t="shared" si="6"/>
        <v>0</v>
      </c>
      <c r="E53" s="20"/>
      <c r="F53" s="20"/>
      <c r="G53" s="20">
        <f>+E53</f>
        <v>0</v>
      </c>
      <c r="H53" s="20"/>
    </row>
    <row r="54" spans="1:10" ht="12.75">
      <c r="A54" s="2" t="s">
        <v>187</v>
      </c>
      <c r="B54" s="76">
        <f aca="true" t="shared" si="7" ref="B54:H54">SUM(B46:B53)</f>
        <v>28450</v>
      </c>
      <c r="C54" s="76">
        <f t="shared" si="7"/>
        <v>2500</v>
      </c>
      <c r="D54" s="76">
        <f t="shared" si="7"/>
        <v>30950</v>
      </c>
      <c r="E54" s="76">
        <f t="shared" si="7"/>
        <v>24421</v>
      </c>
      <c r="F54" s="76">
        <f t="shared" si="7"/>
        <v>6529</v>
      </c>
      <c r="G54" s="76">
        <f t="shared" si="7"/>
        <v>30950</v>
      </c>
      <c r="H54" s="76">
        <f t="shared" si="7"/>
        <v>0</v>
      </c>
      <c r="J54" s="32"/>
    </row>
    <row r="55" spans="1:8" ht="12.75">
      <c r="A55" s="71" t="s">
        <v>82</v>
      </c>
      <c r="B55" s="88">
        <v>150</v>
      </c>
      <c r="C55" s="88">
        <v>0</v>
      </c>
      <c r="D55" s="20">
        <f>+E55</f>
        <v>150</v>
      </c>
      <c r="E55" s="20">
        <f>100+50</f>
        <v>150</v>
      </c>
      <c r="F55" s="20"/>
      <c r="G55" s="20">
        <f>+E55</f>
        <v>150</v>
      </c>
      <c r="H55" s="20"/>
    </row>
    <row r="56" spans="1:8" ht="12.75">
      <c r="A56" s="2" t="s">
        <v>188</v>
      </c>
      <c r="B56" s="76">
        <f aca="true" t="shared" si="8" ref="B56:H56">+B54+B55</f>
        <v>28600</v>
      </c>
      <c r="C56" s="76">
        <f t="shared" si="8"/>
        <v>2500</v>
      </c>
      <c r="D56" s="76">
        <f t="shared" si="8"/>
        <v>31100</v>
      </c>
      <c r="E56" s="76">
        <f t="shared" si="8"/>
        <v>24571</v>
      </c>
      <c r="F56" s="76">
        <f t="shared" si="8"/>
        <v>6529</v>
      </c>
      <c r="G56" s="76">
        <f t="shared" si="8"/>
        <v>31100</v>
      </c>
      <c r="H56" s="76">
        <f t="shared" si="8"/>
        <v>0</v>
      </c>
    </row>
    <row r="57" spans="1:8" ht="25.5">
      <c r="A57" s="72" t="s">
        <v>189</v>
      </c>
      <c r="B57" s="94"/>
      <c r="C57" s="94"/>
      <c r="D57" s="20"/>
      <c r="E57" s="20"/>
      <c r="F57" s="20"/>
      <c r="G57" s="20"/>
      <c r="H57" s="20"/>
    </row>
    <row r="58" spans="1:8" ht="25.5">
      <c r="A58" s="72" t="s">
        <v>190</v>
      </c>
      <c r="B58" s="94">
        <v>240</v>
      </c>
      <c r="C58" s="94">
        <v>25</v>
      </c>
      <c r="D58" s="20">
        <f>+E58+F58</f>
        <v>265</v>
      </c>
      <c r="E58" s="20">
        <f>240+25</f>
        <v>265</v>
      </c>
      <c r="F58" s="20"/>
      <c r="G58" s="20">
        <f>+E58</f>
        <v>265</v>
      </c>
      <c r="H58" s="20">
        <v>0</v>
      </c>
    </row>
    <row r="59" spans="1:8" ht="12.75">
      <c r="A59" s="71" t="s">
        <v>191</v>
      </c>
      <c r="B59" s="88"/>
      <c r="C59" s="88"/>
      <c r="D59" s="20"/>
      <c r="E59" s="20"/>
      <c r="F59" s="20"/>
      <c r="G59" s="20"/>
      <c r="H59" s="20"/>
    </row>
    <row r="60" spans="1:8" ht="12.75">
      <c r="A60" s="2" t="s">
        <v>192</v>
      </c>
      <c r="B60" s="76">
        <f aca="true" t="shared" si="9" ref="B60:H60">SUM(B57:B59)</f>
        <v>240</v>
      </c>
      <c r="C60" s="76">
        <f t="shared" si="9"/>
        <v>25</v>
      </c>
      <c r="D60" s="76">
        <f t="shared" si="9"/>
        <v>265</v>
      </c>
      <c r="E60" s="76">
        <f t="shared" si="9"/>
        <v>265</v>
      </c>
      <c r="F60" s="76">
        <f t="shared" si="9"/>
        <v>0</v>
      </c>
      <c r="G60" s="76">
        <f t="shared" si="9"/>
        <v>265</v>
      </c>
      <c r="H60" s="76">
        <f t="shared" si="9"/>
        <v>0</v>
      </c>
    </row>
    <row r="61" spans="1:8" ht="26.25" customHeight="1">
      <c r="A61" s="72" t="s">
        <v>193</v>
      </c>
      <c r="B61" s="94"/>
      <c r="C61" s="94"/>
      <c r="D61" s="20"/>
      <c r="E61" s="20"/>
      <c r="F61" s="20"/>
      <c r="G61" s="20"/>
      <c r="H61" s="20"/>
    </row>
    <row r="62" spans="1:8" ht="25.5">
      <c r="A62" s="72" t="s">
        <v>194</v>
      </c>
      <c r="B62" s="94"/>
      <c r="C62" s="94"/>
      <c r="D62" s="20"/>
      <c r="E62" s="20"/>
      <c r="F62" s="20"/>
      <c r="G62" s="20"/>
      <c r="H62" s="20">
        <v>0</v>
      </c>
    </row>
    <row r="63" spans="1:8" ht="12.75">
      <c r="A63" s="71" t="s">
        <v>195</v>
      </c>
      <c r="B63" s="88"/>
      <c r="C63" s="88"/>
      <c r="D63" s="20"/>
      <c r="E63" s="20"/>
      <c r="F63" s="20"/>
      <c r="G63" s="20"/>
      <c r="H63" s="20"/>
    </row>
    <row r="64" spans="1:8" ht="12.75">
      <c r="A64" s="2" t="s">
        <v>196</v>
      </c>
      <c r="B64" s="92"/>
      <c r="C64" s="92"/>
      <c r="D64" s="76">
        <f>SUM(D61:D63)</f>
        <v>0</v>
      </c>
      <c r="E64" s="76">
        <f>SUM(E61:E63)</f>
        <v>0</v>
      </c>
      <c r="F64" s="76">
        <f>SUM(F61:F63)</f>
        <v>0</v>
      </c>
      <c r="G64" s="76">
        <f>SUM(G61:G63)</f>
        <v>0</v>
      </c>
      <c r="H64" s="76">
        <f>SUM(H61:H63)</f>
        <v>0</v>
      </c>
    </row>
    <row r="65" spans="1:8" ht="12.75">
      <c r="A65" s="71" t="s">
        <v>197</v>
      </c>
      <c r="B65" s="88"/>
      <c r="C65" s="88"/>
      <c r="D65" s="20"/>
      <c r="E65" s="20"/>
      <c r="F65" s="20"/>
      <c r="G65" s="20"/>
      <c r="H65" s="20"/>
    </row>
    <row r="66" spans="1:8" ht="12.75">
      <c r="A66" s="71" t="s">
        <v>198</v>
      </c>
      <c r="B66" s="88">
        <v>10342</v>
      </c>
      <c r="C66" s="88">
        <v>-8275</v>
      </c>
      <c r="D66" s="20">
        <f>+E66+F66</f>
        <v>2067</v>
      </c>
      <c r="E66" s="20">
        <v>0</v>
      </c>
      <c r="F66" s="20">
        <f>1428+639</f>
        <v>2067</v>
      </c>
      <c r="G66" s="20">
        <f>+D66</f>
        <v>2067</v>
      </c>
      <c r="H66" s="20">
        <v>0</v>
      </c>
    </row>
    <row r="67" spans="1:8" ht="12.75">
      <c r="A67" s="71" t="s">
        <v>199</v>
      </c>
      <c r="B67" s="88">
        <v>10240</v>
      </c>
      <c r="C67" s="88">
        <v>-639</v>
      </c>
      <c r="D67" s="20">
        <f>+E67+F67</f>
        <v>9601</v>
      </c>
      <c r="E67" s="88">
        <v>0</v>
      </c>
      <c r="F67" s="20">
        <f>10240-639</f>
        <v>9601</v>
      </c>
      <c r="G67" s="20">
        <f>+D67</f>
        <v>9601</v>
      </c>
      <c r="H67" s="20"/>
    </row>
    <row r="68" spans="1:8" ht="12.75">
      <c r="A68" s="71" t="s">
        <v>200</v>
      </c>
      <c r="B68" s="88"/>
      <c r="C68" s="88"/>
      <c r="D68" s="20">
        <f>+E68+F68</f>
        <v>0</v>
      </c>
      <c r="E68" s="20"/>
      <c r="F68" s="20"/>
      <c r="G68" s="20">
        <f>+E68</f>
        <v>0</v>
      </c>
      <c r="H68" s="20"/>
    </row>
    <row r="69" spans="1:8" ht="12.75">
      <c r="A69" s="71" t="s">
        <v>201</v>
      </c>
      <c r="B69" s="88"/>
      <c r="C69" s="88"/>
      <c r="D69" s="20"/>
      <c r="E69" s="20"/>
      <c r="F69" s="20"/>
      <c r="G69" s="20"/>
      <c r="H69" s="20"/>
    </row>
    <row r="70" spans="1:8" ht="12.75">
      <c r="A70" s="71" t="s">
        <v>202</v>
      </c>
      <c r="B70" s="88"/>
      <c r="C70" s="88"/>
      <c r="D70" s="20"/>
      <c r="E70" s="20"/>
      <c r="F70" s="20"/>
      <c r="G70" s="20"/>
      <c r="H70" s="20"/>
    </row>
    <row r="71" spans="1:10" ht="12.75">
      <c r="A71" s="3" t="s">
        <v>203</v>
      </c>
      <c r="B71" s="76">
        <f aca="true" t="shared" si="10" ref="B71:H71">SUM(B65:B70)</f>
        <v>20582</v>
      </c>
      <c r="C71" s="76">
        <f t="shared" si="10"/>
        <v>-8914</v>
      </c>
      <c r="D71" s="76">
        <f t="shared" si="10"/>
        <v>11668</v>
      </c>
      <c r="E71" s="76">
        <f t="shared" si="10"/>
        <v>0</v>
      </c>
      <c r="F71" s="76">
        <f t="shared" si="10"/>
        <v>11668</v>
      </c>
      <c r="G71" s="76">
        <f t="shared" si="10"/>
        <v>11668</v>
      </c>
      <c r="H71" s="76">
        <f t="shared" si="10"/>
        <v>0</v>
      </c>
      <c r="J71" s="32"/>
    </row>
    <row r="72" spans="1:8" ht="12.75">
      <c r="A72" s="73" t="s">
        <v>7</v>
      </c>
      <c r="B72" s="78">
        <f aca="true" t="shared" si="11" ref="B72:H72">+B71+B64+B60+B56+B45+B42+B36+B30+B24+B17</f>
        <v>108055</v>
      </c>
      <c r="C72" s="78">
        <f t="shared" si="11"/>
        <v>10089</v>
      </c>
      <c r="D72" s="78">
        <f t="shared" si="11"/>
        <v>118144</v>
      </c>
      <c r="E72" s="78">
        <f t="shared" si="11"/>
        <v>77236</v>
      </c>
      <c r="F72" s="78">
        <f t="shared" si="11"/>
        <v>40908</v>
      </c>
      <c r="G72" s="78">
        <f t="shared" si="11"/>
        <v>118144</v>
      </c>
      <c r="H72" s="78">
        <f t="shared" si="11"/>
        <v>0</v>
      </c>
    </row>
    <row r="75" spans="6:8" ht="12.75">
      <c r="F75" s="32"/>
      <c r="G75" s="32"/>
      <c r="H75" s="32"/>
    </row>
    <row r="77" ht="12.75">
      <c r="E77" s="32"/>
    </row>
  </sheetData>
  <sheetProtection/>
  <mergeCells count="6">
    <mergeCell ref="A1:H1"/>
    <mergeCell ref="A3:H3"/>
    <mergeCell ref="G5:H5"/>
    <mergeCell ref="A6:A7"/>
    <mergeCell ref="A2:H2"/>
    <mergeCell ref="B6:H6"/>
  </mergeCells>
  <printOptions/>
  <pageMargins left="0.7874015748031497" right="0.7874015748031497" top="0.5905511811023623" bottom="0.5905511811023623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7109375" style="0" bestFit="1" customWidth="1"/>
    <col min="2" max="2" width="19.8515625" style="0" bestFit="1" customWidth="1"/>
    <col min="3" max="3" width="12.28125" style="0" bestFit="1" customWidth="1"/>
    <col min="4" max="4" width="47.140625" style="0" bestFit="1" customWidth="1"/>
    <col min="5" max="5" width="10.00390625" style="32" bestFit="1" customWidth="1"/>
    <col min="6" max="6" width="10.00390625" style="0" customWidth="1"/>
    <col min="7" max="7" width="13.140625" style="0" customWidth="1"/>
    <col min="8" max="8" width="9.421875" style="0" bestFit="1" customWidth="1"/>
    <col min="9" max="9" width="9.57421875" style="0" bestFit="1" customWidth="1"/>
    <col min="11" max="11" width="9.28125" style="0" bestFit="1" customWidth="1"/>
  </cols>
  <sheetData>
    <row r="1" spans="2:9" ht="12.75">
      <c r="B1" s="114" t="s">
        <v>277</v>
      </c>
      <c r="C1" s="114"/>
      <c r="D1" s="114"/>
      <c r="E1" s="114"/>
      <c r="F1" s="114"/>
      <c r="G1" s="114"/>
      <c r="H1" s="114"/>
      <c r="I1" s="114"/>
    </row>
    <row r="2" spans="1:9" ht="12.75">
      <c r="A2" s="114" t="s">
        <v>307</v>
      </c>
      <c r="B2" s="114"/>
      <c r="C2" s="114"/>
      <c r="D2" s="114"/>
      <c r="E2" s="114"/>
      <c r="F2" s="114"/>
      <c r="G2" s="114"/>
      <c r="H2" s="114"/>
      <c r="I2" s="114"/>
    </row>
    <row r="3" spans="2:9" ht="12.75">
      <c r="B3" s="136" t="s">
        <v>278</v>
      </c>
      <c r="C3" s="114"/>
      <c r="D3" s="114"/>
      <c r="E3" s="114"/>
      <c r="F3" s="114"/>
      <c r="G3" s="114"/>
      <c r="H3" s="114"/>
      <c r="I3" s="114"/>
    </row>
    <row r="5" spans="8:9" ht="12.75" customHeight="1">
      <c r="H5" s="125" t="s">
        <v>6</v>
      </c>
      <c r="I5" s="125"/>
    </row>
    <row r="6" spans="1:9" ht="12.75" customHeight="1">
      <c r="A6" s="121" t="s">
        <v>8</v>
      </c>
      <c r="B6" s="121"/>
      <c r="C6" s="122" t="s">
        <v>14</v>
      </c>
      <c r="D6" s="122" t="s">
        <v>18</v>
      </c>
      <c r="E6" s="130" t="s">
        <v>274</v>
      </c>
      <c r="F6" s="126" t="s">
        <v>253</v>
      </c>
      <c r="G6" s="126" t="s">
        <v>255</v>
      </c>
      <c r="H6" s="129" t="s">
        <v>5</v>
      </c>
      <c r="I6" s="129"/>
    </row>
    <row r="7" spans="1:9" ht="25.5" customHeight="1">
      <c r="A7" s="121"/>
      <c r="B7" s="121"/>
      <c r="C7" s="134"/>
      <c r="D7" s="123"/>
      <c r="E7" s="131"/>
      <c r="F7" s="127"/>
      <c r="G7" s="127"/>
      <c r="H7" s="129"/>
      <c r="I7" s="129"/>
    </row>
    <row r="8" spans="1:9" ht="12.75">
      <c r="A8" s="121"/>
      <c r="B8" s="121"/>
      <c r="C8" s="134"/>
      <c r="D8" s="123"/>
      <c r="E8" s="131"/>
      <c r="F8" s="127"/>
      <c r="G8" s="127"/>
      <c r="H8" s="133" t="s">
        <v>80</v>
      </c>
      <c r="I8" s="133" t="s">
        <v>81</v>
      </c>
    </row>
    <row r="9" spans="1:9" ht="28.5" customHeight="1">
      <c r="A9" s="13" t="s">
        <v>9</v>
      </c>
      <c r="B9" s="13" t="s">
        <v>17</v>
      </c>
      <c r="C9" s="135"/>
      <c r="D9" s="124"/>
      <c r="E9" s="132"/>
      <c r="F9" s="128"/>
      <c r="G9" s="128"/>
      <c r="H9" s="133"/>
      <c r="I9" s="133"/>
    </row>
    <row r="10" spans="1:11" ht="25.5">
      <c r="A10" s="9">
        <v>1</v>
      </c>
      <c r="B10" s="14" t="s">
        <v>212</v>
      </c>
      <c r="C10" s="14" t="s">
        <v>15</v>
      </c>
      <c r="D10" s="26" t="s">
        <v>11</v>
      </c>
      <c r="E10" s="19">
        <f>+E11+E12+E13+E14+E19+E20</f>
        <v>70121</v>
      </c>
      <c r="F10" s="12">
        <f>+F11+F12+F13+F14+F19+F20</f>
        <v>7115</v>
      </c>
      <c r="G10" s="12">
        <f>+G11+G12+G13+G14+G19+G20</f>
        <v>77236</v>
      </c>
      <c r="H10" s="12">
        <f>+H11+H12+H13+H14+H19+H20</f>
        <v>77236</v>
      </c>
      <c r="I10" s="12">
        <f>+I11+I12+I13+I14+I19</f>
        <v>0</v>
      </c>
      <c r="K10" s="34"/>
    </row>
    <row r="11" spans="1:11" ht="12.75">
      <c r="A11" s="4"/>
      <c r="B11" s="4"/>
      <c r="C11" s="4"/>
      <c r="D11" s="23" t="s">
        <v>45</v>
      </c>
      <c r="E11" s="7">
        <v>10850</v>
      </c>
      <c r="F11" s="7">
        <v>6000</v>
      </c>
      <c r="G11" s="7">
        <f>+H11+I11</f>
        <v>16850</v>
      </c>
      <c r="H11" s="7">
        <f>1537+2910+490+3088+250+200+2374+1+F11</f>
        <v>16850</v>
      </c>
      <c r="I11" s="7"/>
      <c r="K11" s="34"/>
    </row>
    <row r="12" spans="1:11" ht="25.5">
      <c r="A12" s="4"/>
      <c r="B12" s="4"/>
      <c r="C12" s="4"/>
      <c r="D12" s="35" t="s">
        <v>75</v>
      </c>
      <c r="E12" s="7">
        <v>2306</v>
      </c>
      <c r="F12" s="7">
        <v>350</v>
      </c>
      <c r="G12" s="7">
        <f>+H12+I12</f>
        <v>2656</v>
      </c>
      <c r="H12" s="7">
        <f>950+68+678+50+560+350</f>
        <v>2656</v>
      </c>
      <c r="I12" s="7"/>
      <c r="K12" s="34"/>
    </row>
    <row r="13" spans="1:11" ht="12.75">
      <c r="A13" s="4"/>
      <c r="B13" s="4"/>
      <c r="C13" s="4"/>
      <c r="D13" s="23" t="s">
        <v>83</v>
      </c>
      <c r="E13" s="7">
        <v>15876</v>
      </c>
      <c r="F13" s="7">
        <v>740</v>
      </c>
      <c r="G13" s="7">
        <f>+H13+I13</f>
        <v>16616</v>
      </c>
      <c r="H13" s="7">
        <f>15876+F13</f>
        <v>16616</v>
      </c>
      <c r="I13" s="7"/>
      <c r="K13" s="34"/>
    </row>
    <row r="14" spans="1:11" ht="12.75">
      <c r="A14" s="4"/>
      <c r="B14" s="4"/>
      <c r="C14" s="4"/>
      <c r="D14" s="23" t="s">
        <v>73</v>
      </c>
      <c r="E14" s="7">
        <f>+E15+E16+E18</f>
        <v>39048</v>
      </c>
      <c r="F14" s="7">
        <f>+F15+F16+F18+F17</f>
        <v>25</v>
      </c>
      <c r="G14" s="7">
        <f>+G15+G16+G18+G17</f>
        <v>39073</v>
      </c>
      <c r="H14" s="7">
        <f>+H15+H16+H18+H17</f>
        <v>39073</v>
      </c>
      <c r="I14" s="7">
        <v>0</v>
      </c>
      <c r="K14" s="34"/>
    </row>
    <row r="15" spans="1:11" ht="25.5">
      <c r="A15" s="4"/>
      <c r="B15" s="4"/>
      <c r="C15" s="4"/>
      <c r="D15" s="27" t="s">
        <v>129</v>
      </c>
      <c r="E15" s="37">
        <v>36715</v>
      </c>
      <c r="F15" s="37"/>
      <c r="G15" s="37">
        <f aca="true" t="shared" si="0" ref="G15:G20">+H15+I15</f>
        <v>36715</v>
      </c>
      <c r="H15" s="37">
        <v>36715</v>
      </c>
      <c r="I15" s="37">
        <v>0</v>
      </c>
      <c r="K15" s="34"/>
    </row>
    <row r="16" spans="1:11" ht="12.75">
      <c r="A16" s="4"/>
      <c r="B16" s="4"/>
      <c r="C16" s="4"/>
      <c r="D16" s="38" t="s">
        <v>74</v>
      </c>
      <c r="E16" s="37">
        <v>1820</v>
      </c>
      <c r="F16" s="37"/>
      <c r="G16" s="37">
        <f t="shared" si="0"/>
        <v>1820</v>
      </c>
      <c r="H16" s="37">
        <v>1820</v>
      </c>
      <c r="I16" s="37"/>
      <c r="K16" s="34"/>
    </row>
    <row r="17" spans="1:11" ht="38.25">
      <c r="A17" s="4"/>
      <c r="B17" s="4"/>
      <c r="C17" s="4"/>
      <c r="D17" s="27" t="s">
        <v>257</v>
      </c>
      <c r="E17" s="37"/>
      <c r="F17" s="37">
        <v>25</v>
      </c>
      <c r="G17" s="37">
        <f t="shared" si="0"/>
        <v>25</v>
      </c>
      <c r="H17" s="37">
        <v>25</v>
      </c>
      <c r="I17" s="37"/>
      <c r="K17" s="34"/>
    </row>
    <row r="18" spans="1:11" ht="15" customHeight="1">
      <c r="A18" s="4"/>
      <c r="B18" s="4"/>
      <c r="C18" s="4"/>
      <c r="D18" s="27" t="s">
        <v>86</v>
      </c>
      <c r="E18" s="37">
        <v>513</v>
      </c>
      <c r="F18" s="37"/>
      <c r="G18" s="37">
        <f t="shared" si="0"/>
        <v>513</v>
      </c>
      <c r="H18" s="37">
        <v>513</v>
      </c>
      <c r="I18" s="37"/>
      <c r="K18" s="34"/>
    </row>
    <row r="19" spans="1:11" ht="12.75">
      <c r="A19" s="4"/>
      <c r="B19" s="4"/>
      <c r="C19" s="4"/>
      <c r="D19" s="23" t="s">
        <v>72</v>
      </c>
      <c r="E19" s="7">
        <v>1000</v>
      </c>
      <c r="F19" s="7"/>
      <c r="G19" s="7">
        <f t="shared" si="0"/>
        <v>1000</v>
      </c>
      <c r="H19" s="7">
        <v>1000</v>
      </c>
      <c r="I19" s="7"/>
      <c r="K19" s="34"/>
    </row>
    <row r="20" spans="1:11" ht="12.75">
      <c r="A20" s="4"/>
      <c r="B20" s="4"/>
      <c r="C20" s="4"/>
      <c r="D20" s="23" t="s">
        <v>127</v>
      </c>
      <c r="E20" s="7">
        <v>1041</v>
      </c>
      <c r="F20" s="7"/>
      <c r="G20" s="7">
        <f t="shared" si="0"/>
        <v>1041</v>
      </c>
      <c r="H20" s="7">
        <v>1041</v>
      </c>
      <c r="I20" s="7"/>
      <c r="K20" s="34"/>
    </row>
    <row r="21" spans="1:9" ht="25.5">
      <c r="A21" s="4"/>
      <c r="B21" s="4"/>
      <c r="C21" s="4"/>
      <c r="D21" s="39" t="s">
        <v>69</v>
      </c>
      <c r="E21" s="7">
        <v>3</v>
      </c>
      <c r="F21" s="7"/>
      <c r="G21" s="36">
        <v>3</v>
      </c>
      <c r="H21" s="36">
        <f>+G21</f>
        <v>3</v>
      </c>
      <c r="I21" s="36"/>
    </row>
    <row r="22" spans="1:9" ht="25.5">
      <c r="A22" s="4"/>
      <c r="B22" s="4"/>
      <c r="C22" s="4"/>
      <c r="D22" s="39" t="s">
        <v>68</v>
      </c>
      <c r="E22" s="7">
        <v>3</v>
      </c>
      <c r="F22" s="7"/>
      <c r="G22" s="36">
        <v>3</v>
      </c>
      <c r="H22" s="36">
        <f>+G22</f>
        <v>3</v>
      </c>
      <c r="I22" s="36"/>
    </row>
    <row r="23" spans="1:9" ht="25.5">
      <c r="A23" s="4"/>
      <c r="B23" s="4"/>
      <c r="C23" s="4"/>
      <c r="D23" s="39" t="s">
        <v>70</v>
      </c>
      <c r="E23" s="7">
        <v>1</v>
      </c>
      <c r="F23" s="7"/>
      <c r="G23" s="36">
        <v>1</v>
      </c>
      <c r="H23" s="36">
        <v>1</v>
      </c>
      <c r="I23" s="36"/>
    </row>
    <row r="24" spans="1:9" ht="12.75">
      <c r="A24" s="4"/>
      <c r="B24" s="4"/>
      <c r="C24" s="4"/>
      <c r="D24" s="39" t="s">
        <v>71</v>
      </c>
      <c r="E24" s="7">
        <v>1</v>
      </c>
      <c r="F24" s="39"/>
      <c r="G24" s="36">
        <v>1</v>
      </c>
      <c r="H24" s="36">
        <v>1</v>
      </c>
      <c r="I24" s="36"/>
    </row>
  </sheetData>
  <sheetProtection/>
  <mergeCells count="13">
    <mergeCell ref="A2:I2"/>
    <mergeCell ref="C6:C9"/>
    <mergeCell ref="B3:I3"/>
    <mergeCell ref="B1:I1"/>
    <mergeCell ref="A6:B8"/>
    <mergeCell ref="D6:D9"/>
    <mergeCell ref="H5:I5"/>
    <mergeCell ref="G6:G9"/>
    <mergeCell ref="H6:I7"/>
    <mergeCell ref="E6:E9"/>
    <mergeCell ref="F6:F9"/>
    <mergeCell ref="H8:H9"/>
    <mergeCell ref="I8:I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57421875" style="0" bestFit="1" customWidth="1"/>
    <col min="2" max="2" width="16.28125" style="0" customWidth="1"/>
    <col min="3" max="3" width="14.421875" style="0" customWidth="1"/>
    <col min="4" max="4" width="32.421875" style="0" bestFit="1" customWidth="1"/>
    <col min="5" max="6" width="12.140625" style="0" customWidth="1"/>
    <col min="7" max="7" width="10.00390625" style="0" customWidth="1"/>
  </cols>
  <sheetData>
    <row r="1" spans="1:9" ht="12.75">
      <c r="A1" s="114" t="s">
        <v>77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307</v>
      </c>
      <c r="B2" s="114"/>
      <c r="C2" s="114"/>
      <c r="D2" s="114"/>
      <c r="E2" s="114"/>
      <c r="F2" s="114"/>
      <c r="G2" s="114"/>
      <c r="H2" s="114"/>
      <c r="I2" s="114"/>
    </row>
    <row r="3" spans="1:9" ht="25.5" customHeight="1">
      <c r="A3" s="136" t="s">
        <v>279</v>
      </c>
      <c r="B3" s="114"/>
      <c r="C3" s="114"/>
      <c r="D3" s="114"/>
      <c r="E3" s="114"/>
      <c r="F3" s="114"/>
      <c r="G3" s="114"/>
      <c r="H3" s="114"/>
      <c r="I3" s="114"/>
    </row>
    <row r="5" spans="8:9" ht="12.75">
      <c r="H5" s="139" t="s">
        <v>6</v>
      </c>
      <c r="I5" s="139"/>
    </row>
    <row r="6" spans="1:9" ht="12.75" customHeight="1">
      <c r="A6" s="140" t="s">
        <v>8</v>
      </c>
      <c r="B6" s="141"/>
      <c r="C6" s="122" t="s">
        <v>16</v>
      </c>
      <c r="D6" s="122" t="s">
        <v>50</v>
      </c>
      <c r="E6" s="126" t="s">
        <v>256</v>
      </c>
      <c r="F6" s="126" t="s">
        <v>253</v>
      </c>
      <c r="G6" s="126" t="s">
        <v>271</v>
      </c>
      <c r="H6" s="137" t="s">
        <v>5</v>
      </c>
      <c r="I6" s="138"/>
    </row>
    <row r="7" spans="1:9" ht="22.5" customHeight="1">
      <c r="A7" s="142"/>
      <c r="B7" s="143"/>
      <c r="C7" s="123"/>
      <c r="D7" s="123"/>
      <c r="E7" s="123"/>
      <c r="F7" s="127"/>
      <c r="G7" s="127"/>
      <c r="H7" s="133" t="s">
        <v>80</v>
      </c>
      <c r="I7" s="133" t="s">
        <v>81</v>
      </c>
    </row>
    <row r="8" spans="1:9" ht="21.75" customHeight="1">
      <c r="A8" s="13" t="s">
        <v>9</v>
      </c>
      <c r="B8" s="13" t="s">
        <v>17</v>
      </c>
      <c r="C8" s="124"/>
      <c r="D8" s="124"/>
      <c r="E8" s="124"/>
      <c r="F8" s="128"/>
      <c r="G8" s="128"/>
      <c r="H8" s="133"/>
      <c r="I8" s="133"/>
    </row>
    <row r="9" spans="1:9" ht="38.25">
      <c r="A9" s="18">
        <v>1</v>
      </c>
      <c r="B9" s="15" t="s">
        <v>211</v>
      </c>
      <c r="C9" s="16" t="s">
        <v>15</v>
      </c>
      <c r="D9" s="80" t="s">
        <v>235</v>
      </c>
      <c r="E9" s="81">
        <v>2501</v>
      </c>
      <c r="F9" s="80"/>
      <c r="G9" s="81">
        <f>+H9+I9</f>
        <v>2501</v>
      </c>
      <c r="H9" s="81">
        <f>1969+532</f>
        <v>2501</v>
      </c>
      <c r="I9" s="81">
        <v>0</v>
      </c>
    </row>
    <row r="10" spans="1:9" ht="25.5">
      <c r="A10" s="18"/>
      <c r="B10" s="15"/>
      <c r="C10" s="16"/>
      <c r="D10" s="80" t="s">
        <v>247</v>
      </c>
      <c r="E10" s="81">
        <v>28004</v>
      </c>
      <c r="F10" s="80"/>
      <c r="G10" s="81">
        <f>+H10+I10</f>
        <v>28004</v>
      </c>
      <c r="H10" s="81">
        <f>22050+5954</f>
        <v>28004</v>
      </c>
      <c r="I10" s="81"/>
    </row>
    <row r="11" spans="1:9" ht="12.75">
      <c r="A11" s="18"/>
      <c r="B11" s="15"/>
      <c r="C11" s="16"/>
      <c r="D11" s="80" t="s">
        <v>236</v>
      </c>
      <c r="E11" s="81">
        <v>635</v>
      </c>
      <c r="F11" s="80"/>
      <c r="G11" s="81">
        <f>+H11+I11</f>
        <v>635</v>
      </c>
      <c r="H11" s="81">
        <f>500+135</f>
        <v>635</v>
      </c>
      <c r="I11" s="81"/>
    </row>
    <row r="12" spans="1:9" ht="12.75">
      <c r="A12" s="18"/>
      <c r="B12" s="15"/>
      <c r="C12" s="16"/>
      <c r="D12" s="80" t="s">
        <v>237</v>
      </c>
      <c r="E12" s="81">
        <v>501</v>
      </c>
      <c r="F12" s="80"/>
      <c r="G12" s="81">
        <f>+H12+I12</f>
        <v>501</v>
      </c>
      <c r="H12" s="81">
        <f>394+107</f>
        <v>501</v>
      </c>
      <c r="I12" s="81"/>
    </row>
    <row r="13" spans="1:9" ht="12.75">
      <c r="A13" s="18"/>
      <c r="B13" s="15"/>
      <c r="C13" s="16"/>
      <c r="D13" s="82" t="s">
        <v>239</v>
      </c>
      <c r="E13" s="83">
        <f>SUM(E9:E12)</f>
        <v>31641</v>
      </c>
      <c r="F13" s="83">
        <f>SUM(F9:F12)</f>
        <v>0</v>
      </c>
      <c r="G13" s="83">
        <f>SUM(G9:G12)</f>
        <v>31641</v>
      </c>
      <c r="H13" s="83">
        <f>SUM(H9:H12)</f>
        <v>31641</v>
      </c>
      <c r="I13" s="83">
        <f>SUM(I9:I12)</f>
        <v>0</v>
      </c>
    </row>
    <row r="14" spans="1:9" ht="12.75">
      <c r="A14" s="18"/>
      <c r="B14" s="15"/>
      <c r="C14" s="16"/>
      <c r="D14" s="84" t="s">
        <v>248</v>
      </c>
      <c r="E14" s="85">
        <v>254</v>
      </c>
      <c r="F14" s="85"/>
      <c r="G14" s="85">
        <f aca="true" t="shared" si="0" ref="G14:G19">+H14+I14</f>
        <v>254</v>
      </c>
      <c r="H14" s="85">
        <f>200+54</f>
        <v>254</v>
      </c>
      <c r="I14" s="85"/>
    </row>
    <row r="15" spans="1:9" ht="12.75">
      <c r="A15" s="18"/>
      <c r="B15" s="15"/>
      <c r="C15" s="16"/>
      <c r="D15" s="84" t="s">
        <v>240</v>
      </c>
      <c r="E15" s="85">
        <v>1270</v>
      </c>
      <c r="F15" s="85"/>
      <c r="G15" s="85">
        <f t="shared" si="0"/>
        <v>1270</v>
      </c>
      <c r="H15" s="85">
        <f>1000+270</f>
        <v>1270</v>
      </c>
      <c r="I15" s="85"/>
    </row>
    <row r="16" spans="1:9" ht="25.5">
      <c r="A16" s="18"/>
      <c r="B16" s="15"/>
      <c r="C16" s="16"/>
      <c r="D16" s="84" t="s">
        <v>241</v>
      </c>
      <c r="E16" s="85">
        <v>1001</v>
      </c>
      <c r="F16" s="85"/>
      <c r="G16" s="85">
        <f t="shared" si="0"/>
        <v>1001</v>
      </c>
      <c r="H16" s="85">
        <f>788+213</f>
        <v>1001</v>
      </c>
      <c r="I16" s="85"/>
    </row>
    <row r="17" spans="1:9" ht="12.75">
      <c r="A17" s="18"/>
      <c r="B17" s="15"/>
      <c r="C17" s="16"/>
      <c r="D17" s="84" t="s">
        <v>242</v>
      </c>
      <c r="E17" s="85">
        <v>762</v>
      </c>
      <c r="F17" s="85"/>
      <c r="G17" s="85">
        <f t="shared" si="0"/>
        <v>762</v>
      </c>
      <c r="H17" s="85">
        <f>600+162</f>
        <v>762</v>
      </c>
      <c r="I17" s="85"/>
    </row>
    <row r="18" spans="1:9" ht="12.75">
      <c r="A18" s="18"/>
      <c r="B18" s="15"/>
      <c r="C18" s="16"/>
      <c r="D18" s="84" t="s">
        <v>249</v>
      </c>
      <c r="E18" s="85">
        <v>601</v>
      </c>
      <c r="F18" s="85"/>
      <c r="G18" s="85">
        <f t="shared" si="0"/>
        <v>601</v>
      </c>
      <c r="H18" s="85">
        <f>473+128</f>
        <v>601</v>
      </c>
      <c r="I18" s="85"/>
    </row>
    <row r="19" spans="1:9" ht="25.5">
      <c r="A19" s="18"/>
      <c r="B19" s="15"/>
      <c r="C19" s="16"/>
      <c r="D19" s="84" t="s">
        <v>238</v>
      </c>
      <c r="E19" s="85">
        <v>1905</v>
      </c>
      <c r="F19" s="85"/>
      <c r="G19" s="85">
        <f t="shared" si="0"/>
        <v>1905</v>
      </c>
      <c r="H19" s="85">
        <f>1500+405</f>
        <v>1905</v>
      </c>
      <c r="I19" s="85"/>
    </row>
    <row r="20" spans="1:12" ht="12.75">
      <c r="A20" s="18"/>
      <c r="B20" s="15"/>
      <c r="C20" s="16"/>
      <c r="D20" s="84" t="s">
        <v>258</v>
      </c>
      <c r="E20" s="85"/>
      <c r="F20" s="85">
        <f>26+7</f>
        <v>33</v>
      </c>
      <c r="G20" s="85">
        <f>+F20+E20</f>
        <v>33</v>
      </c>
      <c r="H20" s="85">
        <f>+G20</f>
        <v>33</v>
      </c>
      <c r="I20" s="85"/>
      <c r="L20" s="95"/>
    </row>
    <row r="21" spans="1:12" ht="12.75">
      <c r="A21" s="18"/>
      <c r="B21" s="15"/>
      <c r="C21" s="16"/>
      <c r="D21" s="84" t="s">
        <v>259</v>
      </c>
      <c r="E21" s="85"/>
      <c r="F21" s="85">
        <f>47+13</f>
        <v>60</v>
      </c>
      <c r="G21" s="85">
        <f aca="true" t="shared" si="1" ref="G21:G27">+F21+E21</f>
        <v>60</v>
      </c>
      <c r="H21" s="85">
        <f aca="true" t="shared" si="2" ref="H21:H27">+G21</f>
        <v>60</v>
      </c>
      <c r="I21" s="85"/>
      <c r="L21" s="95"/>
    </row>
    <row r="22" spans="1:12" ht="12.75">
      <c r="A22" s="18"/>
      <c r="B22" s="15"/>
      <c r="C22" s="16"/>
      <c r="D22" s="84" t="s">
        <v>260</v>
      </c>
      <c r="E22" s="85"/>
      <c r="F22" s="85">
        <f>99+27</f>
        <v>126</v>
      </c>
      <c r="G22" s="85">
        <f t="shared" si="1"/>
        <v>126</v>
      </c>
      <c r="H22" s="85">
        <f t="shared" si="2"/>
        <v>126</v>
      </c>
      <c r="I22" s="85"/>
      <c r="L22" s="95"/>
    </row>
    <row r="23" spans="1:12" ht="12.75">
      <c r="A23" s="18"/>
      <c r="B23" s="15"/>
      <c r="C23" s="16"/>
      <c r="D23" s="84" t="s">
        <v>261</v>
      </c>
      <c r="E23" s="85"/>
      <c r="F23" s="85">
        <f>87+24</f>
        <v>111</v>
      </c>
      <c r="G23" s="85">
        <f t="shared" si="1"/>
        <v>111</v>
      </c>
      <c r="H23" s="85">
        <f t="shared" si="2"/>
        <v>111</v>
      </c>
      <c r="I23" s="85"/>
      <c r="L23" s="95"/>
    </row>
    <row r="24" spans="1:12" ht="12.75">
      <c r="A24" s="18"/>
      <c r="B24" s="15"/>
      <c r="C24" s="16"/>
      <c r="D24" s="84" t="s">
        <v>262</v>
      </c>
      <c r="E24" s="85"/>
      <c r="F24" s="85">
        <f>47+13</f>
        <v>60</v>
      </c>
      <c r="G24" s="85">
        <f t="shared" si="1"/>
        <v>60</v>
      </c>
      <c r="H24" s="85">
        <f t="shared" si="2"/>
        <v>60</v>
      </c>
      <c r="I24" s="85"/>
      <c r="L24" s="95"/>
    </row>
    <row r="25" spans="1:12" ht="12.75">
      <c r="A25" s="18"/>
      <c r="B25" s="15"/>
      <c r="C25" s="16"/>
      <c r="D25" s="84" t="s">
        <v>263</v>
      </c>
      <c r="E25" s="85"/>
      <c r="F25" s="85">
        <f>44+12</f>
        <v>56</v>
      </c>
      <c r="G25" s="85">
        <f t="shared" si="1"/>
        <v>56</v>
      </c>
      <c r="H25" s="85">
        <f t="shared" si="2"/>
        <v>56</v>
      </c>
      <c r="I25" s="85"/>
      <c r="L25" s="95"/>
    </row>
    <row r="26" spans="1:12" ht="12.75">
      <c r="A26" s="18"/>
      <c r="B26" s="15"/>
      <c r="C26" s="16"/>
      <c r="D26" s="84" t="s">
        <v>264</v>
      </c>
      <c r="E26" s="85"/>
      <c r="F26" s="85">
        <f>150+40</f>
        <v>190</v>
      </c>
      <c r="G26" s="85">
        <f t="shared" si="1"/>
        <v>190</v>
      </c>
      <c r="H26" s="85">
        <f t="shared" si="2"/>
        <v>190</v>
      </c>
      <c r="I26" s="85"/>
      <c r="L26" s="95"/>
    </row>
    <row r="27" spans="1:14" ht="12.75">
      <c r="A27" s="18"/>
      <c r="B27" s="15"/>
      <c r="C27" s="16"/>
      <c r="D27" s="84" t="s">
        <v>265</v>
      </c>
      <c r="E27" s="85"/>
      <c r="F27" s="85">
        <f>47+13</f>
        <v>60</v>
      </c>
      <c r="G27" s="85">
        <f t="shared" si="1"/>
        <v>60</v>
      </c>
      <c r="H27" s="85">
        <f t="shared" si="2"/>
        <v>60</v>
      </c>
      <c r="I27" s="85"/>
      <c r="L27" s="96"/>
      <c r="N27" s="32"/>
    </row>
    <row r="28" spans="1:12" ht="12.75">
      <c r="A28" s="18"/>
      <c r="B28" s="15"/>
      <c r="C28" s="16"/>
      <c r="D28" s="84" t="s">
        <v>266</v>
      </c>
      <c r="E28" s="85"/>
      <c r="F28" s="85">
        <f>102+28</f>
        <v>130</v>
      </c>
      <c r="G28" s="85">
        <f>+F28+E28</f>
        <v>130</v>
      </c>
      <c r="H28" s="85">
        <f>+G28</f>
        <v>130</v>
      </c>
      <c r="I28" s="85"/>
      <c r="L28" s="96"/>
    </row>
    <row r="29" spans="1:12" ht="12.75">
      <c r="A29" s="18"/>
      <c r="B29" s="15"/>
      <c r="C29" s="16"/>
      <c r="D29" s="84" t="s">
        <v>270</v>
      </c>
      <c r="E29" s="85"/>
      <c r="F29" s="85">
        <v>342</v>
      </c>
      <c r="G29" s="85">
        <f>+F29+E29</f>
        <v>342</v>
      </c>
      <c r="H29" s="85">
        <f>+G29</f>
        <v>342</v>
      </c>
      <c r="I29" s="85"/>
      <c r="L29" s="95"/>
    </row>
    <row r="30" spans="1:12" ht="12.75">
      <c r="A30" s="18"/>
      <c r="B30" s="15"/>
      <c r="C30" s="16"/>
      <c r="D30" s="84" t="s">
        <v>273</v>
      </c>
      <c r="E30" s="85"/>
      <c r="F30" s="85">
        <v>252</v>
      </c>
      <c r="G30" s="85">
        <f>+F30+E30</f>
        <v>252</v>
      </c>
      <c r="H30" s="85">
        <f>+G30</f>
        <v>252</v>
      </c>
      <c r="I30" s="85"/>
      <c r="L30" s="95"/>
    </row>
    <row r="31" spans="1:12" ht="12.75">
      <c r="A31" s="18"/>
      <c r="B31" s="15"/>
      <c r="C31" s="16"/>
      <c r="D31" s="84" t="s">
        <v>272</v>
      </c>
      <c r="E31" s="85"/>
      <c r="F31" s="85">
        <v>1517</v>
      </c>
      <c r="G31" s="85">
        <f>+F31+E31</f>
        <v>1517</v>
      </c>
      <c r="H31" s="85">
        <f>+G31</f>
        <v>1517</v>
      </c>
      <c r="I31" s="85"/>
      <c r="L31" s="95"/>
    </row>
    <row r="32" spans="1:9" ht="12.75">
      <c r="A32" s="4"/>
      <c r="B32" s="4"/>
      <c r="C32" s="4"/>
      <c r="D32" s="84" t="s">
        <v>267</v>
      </c>
      <c r="E32" s="85"/>
      <c r="F32" s="85">
        <f>29+8</f>
        <v>37</v>
      </c>
      <c r="G32" s="85">
        <f>+F32+E32</f>
        <v>37</v>
      </c>
      <c r="H32" s="85">
        <f>+G32</f>
        <v>37</v>
      </c>
      <c r="I32" s="85"/>
    </row>
    <row r="33" spans="1:9" ht="12.75">
      <c r="A33" s="18"/>
      <c r="B33" s="15"/>
      <c r="C33" s="16"/>
      <c r="D33" s="86" t="s">
        <v>243</v>
      </c>
      <c r="E33" s="87">
        <f>SUM(E14:E19)</f>
        <v>5793</v>
      </c>
      <c r="F33" s="87">
        <f>SUM(F14:F32)</f>
        <v>2974</v>
      </c>
      <c r="G33" s="87">
        <f>SUM(G14:G32)</f>
        <v>8767</v>
      </c>
      <c r="H33" s="87">
        <f>SUM(H14:H32)</f>
        <v>8767</v>
      </c>
      <c r="I33" s="87">
        <f>SUM(I14:I32)</f>
        <v>0</v>
      </c>
    </row>
    <row r="34" spans="1:9" ht="12.75">
      <c r="A34" s="18"/>
      <c r="B34" s="15"/>
      <c r="C34" s="16"/>
      <c r="D34" s="35" t="s">
        <v>210</v>
      </c>
      <c r="E34" s="20">
        <v>500</v>
      </c>
      <c r="F34" s="20">
        <v>0</v>
      </c>
      <c r="G34" s="20">
        <f>+H34+I34</f>
        <v>500</v>
      </c>
      <c r="H34" s="20">
        <v>500</v>
      </c>
      <c r="I34" s="20"/>
    </row>
    <row r="35" spans="1:11" ht="12.75">
      <c r="A35" s="5"/>
      <c r="B35" s="4"/>
      <c r="C35" s="5"/>
      <c r="D35" s="26" t="s">
        <v>11</v>
      </c>
      <c r="E35" s="19">
        <f>+E13+E33+E34</f>
        <v>37934</v>
      </c>
      <c r="F35" s="19">
        <f>+F13+F33+F34</f>
        <v>2974</v>
      </c>
      <c r="G35" s="19">
        <f>+G13+G33+G34</f>
        <v>40908</v>
      </c>
      <c r="H35" s="19">
        <f>+H13+H33+H34</f>
        <v>40908</v>
      </c>
      <c r="I35" s="19">
        <f>SUM(I9:I34)</f>
        <v>0</v>
      </c>
      <c r="K35" s="32"/>
    </row>
    <row r="38" ht="12.75">
      <c r="H38" s="32">
        <f>+H35+I35</f>
        <v>40908</v>
      </c>
    </row>
  </sheetData>
  <sheetProtection/>
  <mergeCells count="13">
    <mergeCell ref="C6:C8"/>
    <mergeCell ref="D6:D8"/>
    <mergeCell ref="G6:G8"/>
    <mergeCell ref="A2:I2"/>
    <mergeCell ref="A3:I3"/>
    <mergeCell ref="A1:I1"/>
    <mergeCell ref="H6:I6"/>
    <mergeCell ref="H7:H8"/>
    <mergeCell ref="I7:I8"/>
    <mergeCell ref="H5:I5"/>
    <mergeCell ref="A6:B7"/>
    <mergeCell ref="E6:E8"/>
    <mergeCell ref="F6:F8"/>
  </mergeCells>
  <printOptions/>
  <pageMargins left="0.5905511811023623" right="0.5905511811023623" top="0.5905511811023623" bottom="0.5905511811023623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7.140625" style="0" bestFit="1" customWidth="1"/>
    <col min="2" max="2" width="69.00390625" style="0" bestFit="1" customWidth="1"/>
    <col min="3" max="3" width="9.8515625" style="0" customWidth="1"/>
    <col min="4" max="4" width="11.00390625" style="0" bestFit="1" customWidth="1"/>
    <col min="5" max="5" width="9.28125" style="0" bestFit="1" customWidth="1"/>
    <col min="6" max="6" width="7.7109375" style="0" bestFit="1" customWidth="1"/>
    <col min="7" max="7" width="7.8515625" style="0" bestFit="1" customWidth="1"/>
    <col min="8" max="8" width="11.00390625" style="0" bestFit="1" customWidth="1"/>
    <col min="9" max="9" width="9.28125" style="0" bestFit="1" customWidth="1"/>
    <col min="10" max="10" width="7.7109375" style="0" bestFit="1" customWidth="1"/>
  </cols>
  <sheetData>
    <row r="1" spans="1:10" ht="12.75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4" t="s">
        <v>307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4" t="s">
        <v>280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8:10" ht="12.75">
      <c r="H4" s="139" t="s">
        <v>6</v>
      </c>
      <c r="I4" s="139"/>
      <c r="J4" s="139"/>
    </row>
    <row r="5" spans="1:10" ht="12.75">
      <c r="A5" s="17" t="s">
        <v>43</v>
      </c>
      <c r="B5" s="18" t="s">
        <v>144</v>
      </c>
      <c r="C5" s="148" t="s">
        <v>41</v>
      </c>
      <c r="D5" s="149"/>
      <c r="E5" s="149"/>
      <c r="F5" s="150"/>
      <c r="G5" s="148" t="s">
        <v>42</v>
      </c>
      <c r="H5" s="149"/>
      <c r="I5" s="149"/>
      <c r="J5" s="150"/>
    </row>
    <row r="6" spans="1:10" ht="25.5">
      <c r="A6" s="144" t="s">
        <v>39</v>
      </c>
      <c r="B6" s="144"/>
      <c r="C6" s="90" t="s">
        <v>206</v>
      </c>
      <c r="D6" s="18" t="s">
        <v>268</v>
      </c>
      <c r="E6" s="18" t="s">
        <v>84</v>
      </c>
      <c r="F6" s="16" t="s">
        <v>85</v>
      </c>
      <c r="G6" s="16" t="s">
        <v>206</v>
      </c>
      <c r="H6" s="18" t="s">
        <v>268</v>
      </c>
      <c r="I6" s="18" t="s">
        <v>84</v>
      </c>
      <c r="J6" s="16" t="s">
        <v>85</v>
      </c>
    </row>
    <row r="7" spans="1:10" ht="12.75">
      <c r="A7" s="144"/>
      <c r="B7" s="144"/>
      <c r="C7" s="148" t="s">
        <v>40</v>
      </c>
      <c r="D7" s="149"/>
      <c r="E7" s="149"/>
      <c r="F7" s="150"/>
      <c r="G7" s="148" t="s">
        <v>40</v>
      </c>
      <c r="H7" s="149"/>
      <c r="I7" s="149"/>
      <c r="J7" s="150"/>
    </row>
    <row r="8" spans="1:12" ht="25.5">
      <c r="A8" s="21" t="s">
        <v>10</v>
      </c>
      <c r="B8" s="35" t="s">
        <v>207</v>
      </c>
      <c r="C8" s="20">
        <v>20978</v>
      </c>
      <c r="D8" s="20">
        <f>+E8+F8</f>
        <v>20978</v>
      </c>
      <c r="E8" s="20">
        <v>20978</v>
      </c>
      <c r="F8" s="20"/>
      <c r="G8" s="20">
        <v>42236</v>
      </c>
      <c r="H8" s="20">
        <f>+I8+J8</f>
        <v>42236</v>
      </c>
      <c r="I8" s="20">
        <v>42236</v>
      </c>
      <c r="J8" s="20"/>
      <c r="L8" s="32"/>
    </row>
    <row r="9" spans="1:12" ht="12.75">
      <c r="A9" s="21" t="s">
        <v>12</v>
      </c>
      <c r="B9" s="4" t="s">
        <v>131</v>
      </c>
      <c r="C9" s="20"/>
      <c r="D9" s="20"/>
      <c r="E9" s="20"/>
      <c r="F9" s="20"/>
      <c r="G9" s="20">
        <v>1768</v>
      </c>
      <c r="H9" s="20">
        <f aca="true" t="shared" si="0" ref="H9:H38">+I9+J9</f>
        <v>1768</v>
      </c>
      <c r="I9" s="20">
        <v>1768</v>
      </c>
      <c r="J9" s="20"/>
      <c r="L9" s="32"/>
    </row>
    <row r="10" spans="1:12" ht="12.75">
      <c r="A10" s="21" t="s">
        <v>13</v>
      </c>
      <c r="B10" s="4" t="s">
        <v>132</v>
      </c>
      <c r="C10" s="20">
        <v>2670</v>
      </c>
      <c r="D10" s="20">
        <f>+E10+F10</f>
        <v>3370</v>
      </c>
      <c r="E10" s="20">
        <f>2670+700</f>
        <v>3370</v>
      </c>
      <c r="F10" s="20"/>
      <c r="G10" s="20">
        <v>704</v>
      </c>
      <c r="H10" s="20">
        <f t="shared" si="0"/>
        <v>704</v>
      </c>
      <c r="I10" s="20">
        <v>704</v>
      </c>
      <c r="J10" s="20"/>
      <c r="L10" s="32"/>
    </row>
    <row r="11" spans="1:12" ht="12.75">
      <c r="A11" s="21" t="s">
        <v>19</v>
      </c>
      <c r="B11" s="4" t="s">
        <v>133</v>
      </c>
      <c r="C11" s="20">
        <v>34176</v>
      </c>
      <c r="D11" s="20">
        <f>+E11+F11</f>
        <v>36174</v>
      </c>
      <c r="E11" s="20">
        <f>34176+1417+581</f>
        <v>36174</v>
      </c>
      <c r="F11" s="20"/>
      <c r="G11" s="20">
        <v>1041</v>
      </c>
      <c r="H11" s="20">
        <f t="shared" si="0"/>
        <v>1041</v>
      </c>
      <c r="I11" s="20">
        <v>1041</v>
      </c>
      <c r="J11" s="20"/>
      <c r="L11" s="32"/>
    </row>
    <row r="12" spans="1:12" ht="12.75">
      <c r="A12" s="21" t="s">
        <v>20</v>
      </c>
      <c r="B12" s="4" t="s">
        <v>217</v>
      </c>
      <c r="C12" s="20">
        <v>10240</v>
      </c>
      <c r="D12" s="20">
        <f>+E12+F12</f>
        <v>10240</v>
      </c>
      <c r="E12" s="20">
        <v>10240</v>
      </c>
      <c r="F12" s="20"/>
      <c r="G12" s="20">
        <v>0</v>
      </c>
      <c r="H12" s="20">
        <f t="shared" si="0"/>
        <v>0</v>
      </c>
      <c r="I12" s="20"/>
      <c r="J12" s="20"/>
      <c r="L12" s="32"/>
    </row>
    <row r="13" spans="1:12" ht="12.75">
      <c r="A13" s="21" t="s">
        <v>21</v>
      </c>
      <c r="B13" s="4" t="s">
        <v>218</v>
      </c>
      <c r="C13" s="20">
        <v>559</v>
      </c>
      <c r="D13" s="20">
        <f>+E13+F13</f>
        <v>559</v>
      </c>
      <c r="E13" s="20">
        <v>559</v>
      </c>
      <c r="F13" s="20"/>
      <c r="G13" s="20">
        <v>559</v>
      </c>
      <c r="H13" s="20">
        <f t="shared" si="0"/>
        <v>559</v>
      </c>
      <c r="I13" s="20">
        <v>559</v>
      </c>
      <c r="J13" s="20"/>
      <c r="L13" s="32"/>
    </row>
    <row r="14" spans="1:12" ht="12.75">
      <c r="A14" s="21" t="s">
        <v>22</v>
      </c>
      <c r="B14" s="20" t="s">
        <v>134</v>
      </c>
      <c r="C14" s="20"/>
      <c r="D14" s="20"/>
      <c r="E14" s="20"/>
      <c r="F14" s="20"/>
      <c r="G14" s="20">
        <v>3343</v>
      </c>
      <c r="H14" s="20">
        <f t="shared" si="0"/>
        <v>3343</v>
      </c>
      <c r="I14" s="20">
        <v>3343</v>
      </c>
      <c r="J14" s="20"/>
      <c r="L14" s="32"/>
    </row>
    <row r="15" spans="1:12" ht="25.5">
      <c r="A15" s="21" t="s">
        <v>23</v>
      </c>
      <c r="B15" s="6" t="s">
        <v>223</v>
      </c>
      <c r="C15" s="93"/>
      <c r="D15" s="20"/>
      <c r="E15" s="20"/>
      <c r="F15" s="20"/>
      <c r="G15" s="20">
        <v>762</v>
      </c>
      <c r="H15" s="20">
        <f t="shared" si="0"/>
        <v>762</v>
      </c>
      <c r="I15" s="20">
        <v>762</v>
      </c>
      <c r="J15" s="20"/>
      <c r="L15" s="32"/>
    </row>
    <row r="16" spans="1:12" ht="25.5">
      <c r="A16" s="21" t="s">
        <v>24</v>
      </c>
      <c r="B16" s="6" t="s">
        <v>208</v>
      </c>
      <c r="C16" s="93"/>
      <c r="D16" s="20"/>
      <c r="E16" s="20"/>
      <c r="F16" s="20"/>
      <c r="G16" s="20">
        <v>1270</v>
      </c>
      <c r="H16" s="20">
        <f t="shared" si="0"/>
        <v>1270</v>
      </c>
      <c r="I16" s="20">
        <v>1270</v>
      </c>
      <c r="J16" s="20"/>
      <c r="L16" s="32"/>
    </row>
    <row r="17" spans="1:12" ht="12.75">
      <c r="A17" s="21" t="s">
        <v>25</v>
      </c>
      <c r="B17" s="4" t="s">
        <v>135</v>
      </c>
      <c r="C17" s="20"/>
      <c r="D17" s="20"/>
      <c r="E17" s="20"/>
      <c r="F17" s="20"/>
      <c r="G17" s="20">
        <v>1206</v>
      </c>
      <c r="H17" s="20">
        <f t="shared" si="0"/>
        <v>1206</v>
      </c>
      <c r="I17" s="20">
        <v>1206</v>
      </c>
      <c r="J17" s="20"/>
      <c r="L17" s="32"/>
    </row>
    <row r="18" spans="1:12" ht="12.75">
      <c r="A18" s="21" t="s">
        <v>26</v>
      </c>
      <c r="B18" s="4" t="s">
        <v>205</v>
      </c>
      <c r="C18" s="20">
        <v>471</v>
      </c>
      <c r="D18" s="20">
        <f>+E18+F18</f>
        <v>471</v>
      </c>
      <c r="E18" s="20">
        <v>471</v>
      </c>
      <c r="F18" s="20"/>
      <c r="G18" s="20">
        <v>8686</v>
      </c>
      <c r="H18" s="20">
        <f t="shared" si="0"/>
        <v>8857</v>
      </c>
      <c r="I18" s="20">
        <f>8686+60+111</f>
        <v>8857</v>
      </c>
      <c r="J18" s="20"/>
      <c r="L18" s="32"/>
    </row>
    <row r="19" spans="1:12" ht="12.75">
      <c r="A19" s="21" t="s">
        <v>27</v>
      </c>
      <c r="B19" s="4" t="s">
        <v>136</v>
      </c>
      <c r="C19" s="20"/>
      <c r="D19" s="20"/>
      <c r="E19" s="20"/>
      <c r="F19" s="20"/>
      <c r="G19" s="20">
        <v>1721</v>
      </c>
      <c r="H19" s="20">
        <f t="shared" si="0"/>
        <v>2721</v>
      </c>
      <c r="I19" s="20">
        <f>1721+1000</f>
        <v>2721</v>
      </c>
      <c r="J19" s="20"/>
      <c r="L19" s="32"/>
    </row>
    <row r="20" spans="1:12" ht="12.75">
      <c r="A20" s="21" t="s">
        <v>28</v>
      </c>
      <c r="B20" s="4" t="s">
        <v>137</v>
      </c>
      <c r="C20" s="20"/>
      <c r="D20" s="20"/>
      <c r="E20" s="20"/>
      <c r="F20" s="20"/>
      <c r="G20" s="20">
        <v>19</v>
      </c>
      <c r="H20" s="20">
        <f t="shared" si="0"/>
        <v>19</v>
      </c>
      <c r="I20" s="20">
        <v>19</v>
      </c>
      <c r="J20" s="20"/>
      <c r="L20" s="32"/>
    </row>
    <row r="21" spans="1:12" ht="12.75">
      <c r="A21" s="21" t="s">
        <v>29</v>
      </c>
      <c r="B21" s="4" t="s">
        <v>213</v>
      </c>
      <c r="C21" s="20"/>
      <c r="D21" s="20"/>
      <c r="E21" s="20"/>
      <c r="F21" s="20"/>
      <c r="G21" s="20">
        <v>403</v>
      </c>
      <c r="H21" s="20">
        <f t="shared" si="0"/>
        <v>403</v>
      </c>
      <c r="I21" s="20">
        <v>403</v>
      </c>
      <c r="J21" s="20"/>
      <c r="L21" s="32"/>
    </row>
    <row r="22" spans="1:12" ht="12.75">
      <c r="A22" s="21" t="s">
        <v>30</v>
      </c>
      <c r="B22" s="4" t="s">
        <v>227</v>
      </c>
      <c r="C22" s="20"/>
      <c r="D22" s="20"/>
      <c r="E22" s="20"/>
      <c r="F22" s="20"/>
      <c r="G22" s="20">
        <v>40</v>
      </c>
      <c r="H22" s="20">
        <f t="shared" si="0"/>
        <v>40</v>
      </c>
      <c r="I22" s="20">
        <v>40</v>
      </c>
      <c r="J22" s="20"/>
      <c r="L22" s="32"/>
    </row>
    <row r="23" spans="1:12" ht="12.75">
      <c r="A23" s="21" t="s">
        <v>31</v>
      </c>
      <c r="B23" s="89" t="s">
        <v>244</v>
      </c>
      <c r="C23" s="88">
        <v>19</v>
      </c>
      <c r="D23" s="20">
        <f>+E23+F23</f>
        <v>19</v>
      </c>
      <c r="E23" s="20">
        <v>19</v>
      </c>
      <c r="F23" s="20"/>
      <c r="G23" s="20"/>
      <c r="H23" s="20"/>
      <c r="I23" s="20"/>
      <c r="J23" s="20"/>
      <c r="L23" s="32"/>
    </row>
    <row r="24" spans="1:12" ht="12.75">
      <c r="A24" s="21" t="s">
        <v>32</v>
      </c>
      <c r="B24" s="4" t="s">
        <v>204</v>
      </c>
      <c r="C24" s="20"/>
      <c r="D24" s="20"/>
      <c r="E24" s="20"/>
      <c r="F24" s="20"/>
      <c r="G24" s="20">
        <v>1000</v>
      </c>
      <c r="H24" s="20">
        <f t="shared" si="0"/>
        <v>1000</v>
      </c>
      <c r="I24" s="20">
        <v>1000</v>
      </c>
      <c r="J24" s="20"/>
      <c r="L24" s="32"/>
    </row>
    <row r="25" spans="1:12" ht="12.75">
      <c r="A25" s="21" t="s">
        <v>214</v>
      </c>
      <c r="B25" s="4" t="s">
        <v>138</v>
      </c>
      <c r="C25" s="20"/>
      <c r="D25" s="20"/>
      <c r="E25" s="20"/>
      <c r="F25" s="20"/>
      <c r="G25" s="20">
        <v>578</v>
      </c>
      <c r="H25" s="20">
        <f t="shared" si="0"/>
        <v>578</v>
      </c>
      <c r="I25" s="20">
        <v>578</v>
      </c>
      <c r="J25" s="20"/>
      <c r="L25" s="32"/>
    </row>
    <row r="26" spans="1:12" ht="12.75">
      <c r="A26" s="21" t="s">
        <v>33</v>
      </c>
      <c r="B26" s="4" t="s">
        <v>228</v>
      </c>
      <c r="C26" s="20"/>
      <c r="D26" s="20"/>
      <c r="E26" s="20"/>
      <c r="F26" s="20"/>
      <c r="G26" s="20">
        <v>592</v>
      </c>
      <c r="H26" s="20">
        <f t="shared" si="0"/>
        <v>592</v>
      </c>
      <c r="I26" s="20">
        <v>592</v>
      </c>
      <c r="J26" s="20"/>
      <c r="L26" s="32"/>
    </row>
    <row r="27" spans="1:12" ht="12.75">
      <c r="A27" s="21" t="s">
        <v>34</v>
      </c>
      <c r="B27" s="4" t="s">
        <v>219</v>
      </c>
      <c r="C27" s="20"/>
      <c r="D27" s="20">
        <f>+E27</f>
        <v>13780</v>
      </c>
      <c r="E27" s="20">
        <v>13780</v>
      </c>
      <c r="F27" s="20"/>
      <c r="G27" s="20">
        <v>1160</v>
      </c>
      <c r="H27" s="20">
        <f t="shared" si="0"/>
        <v>9313</v>
      </c>
      <c r="I27" s="20">
        <f>1160+5000+350+2974-171</f>
        <v>9313</v>
      </c>
      <c r="J27" s="20"/>
      <c r="L27" s="32"/>
    </row>
    <row r="28" spans="1:12" ht="12.75">
      <c r="A28" s="21" t="s">
        <v>35</v>
      </c>
      <c r="B28" s="4" t="s">
        <v>139</v>
      </c>
      <c r="C28" s="20"/>
      <c r="D28" s="20"/>
      <c r="E28" s="20"/>
      <c r="F28" s="20"/>
      <c r="G28" s="20">
        <v>480</v>
      </c>
      <c r="H28" s="20">
        <f t="shared" si="0"/>
        <v>480</v>
      </c>
      <c r="I28" s="20">
        <v>480</v>
      </c>
      <c r="J28" s="20"/>
      <c r="L28" s="32"/>
    </row>
    <row r="29" spans="1:12" ht="12.75">
      <c r="A29" s="21" t="s">
        <v>215</v>
      </c>
      <c r="B29" s="89" t="s">
        <v>246</v>
      </c>
      <c r="C29" s="88"/>
      <c r="D29" s="20"/>
      <c r="E29" s="20"/>
      <c r="F29" s="20"/>
      <c r="G29" s="20">
        <v>737</v>
      </c>
      <c r="H29" s="20">
        <f t="shared" si="0"/>
        <v>1477</v>
      </c>
      <c r="I29" s="20">
        <f>737+740</f>
        <v>1477</v>
      </c>
      <c r="J29" s="20"/>
      <c r="L29" s="32"/>
    </row>
    <row r="30" spans="1:12" ht="12.75">
      <c r="A30" s="21" t="s">
        <v>46</v>
      </c>
      <c r="B30" s="4" t="s">
        <v>140</v>
      </c>
      <c r="C30" s="20"/>
      <c r="D30" s="20"/>
      <c r="E30" s="20"/>
      <c r="F30" s="20"/>
      <c r="G30" s="20">
        <v>660</v>
      </c>
      <c r="H30" s="20">
        <f t="shared" si="0"/>
        <v>660</v>
      </c>
      <c r="I30" s="20">
        <v>660</v>
      </c>
      <c r="J30" s="20"/>
      <c r="L30" s="32"/>
    </row>
    <row r="31" spans="1:12" ht="12.75">
      <c r="A31" s="21" t="s">
        <v>47</v>
      </c>
      <c r="B31" s="4" t="s">
        <v>220</v>
      </c>
      <c r="C31" s="20"/>
      <c r="D31" s="20"/>
      <c r="E31" s="20"/>
      <c r="F31" s="20"/>
      <c r="G31" s="20">
        <v>33167</v>
      </c>
      <c r="H31" s="20">
        <f t="shared" si="0"/>
        <v>33167</v>
      </c>
      <c r="I31" s="20">
        <v>33167</v>
      </c>
      <c r="J31" s="20"/>
      <c r="L31" s="32"/>
    </row>
    <row r="32" spans="1:12" ht="12.75">
      <c r="A32" s="21" t="s">
        <v>48</v>
      </c>
      <c r="B32" s="4" t="s">
        <v>221</v>
      </c>
      <c r="C32" s="20"/>
      <c r="D32" s="20"/>
      <c r="E32" s="20"/>
      <c r="F32" s="20"/>
      <c r="G32" s="20">
        <v>0</v>
      </c>
      <c r="H32" s="20">
        <f t="shared" si="0"/>
        <v>0</v>
      </c>
      <c r="I32" s="20"/>
      <c r="J32" s="20"/>
      <c r="L32" s="32"/>
    </row>
    <row r="33" spans="1:12" ht="12.75">
      <c r="A33" s="21" t="s">
        <v>49</v>
      </c>
      <c r="B33" s="4" t="s">
        <v>216</v>
      </c>
      <c r="C33" s="20"/>
      <c r="D33" s="20"/>
      <c r="E33" s="20"/>
      <c r="F33" s="20"/>
      <c r="G33" s="20">
        <v>600</v>
      </c>
      <c r="H33" s="20">
        <f t="shared" si="0"/>
        <v>600</v>
      </c>
      <c r="I33" s="20">
        <v>600</v>
      </c>
      <c r="J33" s="20"/>
      <c r="L33" s="32"/>
    </row>
    <row r="34" spans="1:12" ht="12.75">
      <c r="A34" s="21" t="s">
        <v>224</v>
      </c>
      <c r="B34" s="4" t="s">
        <v>229</v>
      </c>
      <c r="C34" s="20"/>
      <c r="D34" s="20"/>
      <c r="E34" s="20"/>
      <c r="F34" s="20"/>
      <c r="G34" s="20">
        <v>13</v>
      </c>
      <c r="H34" s="20">
        <f t="shared" si="0"/>
        <v>13</v>
      </c>
      <c r="I34" s="20">
        <v>13</v>
      </c>
      <c r="J34" s="20"/>
      <c r="L34" s="32"/>
    </row>
    <row r="35" spans="1:12" ht="12.75">
      <c r="A35" s="21" t="s">
        <v>225</v>
      </c>
      <c r="B35" s="4" t="s">
        <v>141</v>
      </c>
      <c r="C35" s="20"/>
      <c r="D35" s="20"/>
      <c r="E35" s="20"/>
      <c r="F35" s="20"/>
      <c r="G35" s="20">
        <v>3990</v>
      </c>
      <c r="H35" s="20">
        <f t="shared" si="0"/>
        <v>3990</v>
      </c>
      <c r="I35" s="20">
        <v>3990</v>
      </c>
      <c r="J35" s="20"/>
      <c r="L35" s="32"/>
    </row>
    <row r="36" spans="1:12" ht="12.75">
      <c r="A36" s="21" t="s">
        <v>226</v>
      </c>
      <c r="B36" s="4" t="s">
        <v>142</v>
      </c>
      <c r="C36" s="20"/>
      <c r="D36" s="20">
        <f>+E36</f>
        <v>25</v>
      </c>
      <c r="E36" s="20">
        <v>25</v>
      </c>
      <c r="F36" s="20"/>
      <c r="G36" s="20">
        <v>1320</v>
      </c>
      <c r="H36" s="20">
        <f t="shared" si="0"/>
        <v>1345</v>
      </c>
      <c r="I36" s="20">
        <f>1320+25</f>
        <v>1345</v>
      </c>
      <c r="J36" s="20"/>
      <c r="L36" s="32"/>
    </row>
    <row r="37" spans="1:12" ht="12.75">
      <c r="A37" s="21" t="s">
        <v>230</v>
      </c>
      <c r="B37" s="4" t="s">
        <v>222</v>
      </c>
      <c r="C37" s="20">
        <v>28600</v>
      </c>
      <c r="D37" s="20">
        <f>+E37+F37</f>
        <v>31100</v>
      </c>
      <c r="E37" s="20">
        <f>28600+2500</f>
        <v>31100</v>
      </c>
      <c r="F37" s="20"/>
      <c r="G37" s="20"/>
      <c r="H37" s="20">
        <f t="shared" si="0"/>
        <v>0</v>
      </c>
      <c r="I37" s="20"/>
      <c r="J37" s="20"/>
      <c r="L37" s="32"/>
    </row>
    <row r="38" spans="1:12" ht="12.75">
      <c r="A38" s="21" t="s">
        <v>245</v>
      </c>
      <c r="B38" s="4" t="s">
        <v>143</v>
      </c>
      <c r="C38" s="20">
        <v>10342</v>
      </c>
      <c r="D38" s="20">
        <f>+E38+F38</f>
        <v>1428</v>
      </c>
      <c r="E38" s="20">
        <v>1428</v>
      </c>
      <c r="F38" s="20"/>
      <c r="G38" s="20"/>
      <c r="H38" s="20">
        <f t="shared" si="0"/>
        <v>0</v>
      </c>
      <c r="I38" s="20"/>
      <c r="J38" s="20"/>
      <c r="L38" s="32"/>
    </row>
    <row r="39" spans="1:12" ht="12.75">
      <c r="A39" s="22"/>
      <c r="B39" s="9" t="s">
        <v>11</v>
      </c>
      <c r="C39" s="19">
        <f aca="true" t="shared" si="1" ref="C39:J39">SUM(C8:C38)</f>
        <v>108055</v>
      </c>
      <c r="D39" s="19">
        <f t="shared" si="1"/>
        <v>118144</v>
      </c>
      <c r="E39" s="19">
        <f t="shared" si="1"/>
        <v>118144</v>
      </c>
      <c r="F39" s="19">
        <f t="shared" si="1"/>
        <v>0</v>
      </c>
      <c r="G39" s="19">
        <f t="shared" si="1"/>
        <v>108055</v>
      </c>
      <c r="H39" s="19">
        <f t="shared" si="1"/>
        <v>118144</v>
      </c>
      <c r="I39" s="19">
        <f t="shared" si="1"/>
        <v>118144</v>
      </c>
      <c r="J39" s="19">
        <f t="shared" si="1"/>
        <v>0</v>
      </c>
      <c r="L39" s="32"/>
    </row>
    <row r="40" spans="1:10" ht="12.75">
      <c r="A40" s="21"/>
      <c r="B40" s="4"/>
      <c r="C40" s="20"/>
      <c r="D40" s="4"/>
      <c r="E40" s="4"/>
      <c r="F40" s="4"/>
      <c r="G40" s="20"/>
      <c r="H40" s="4"/>
      <c r="I40" s="4"/>
      <c r="J40" s="4"/>
    </row>
    <row r="41" spans="1:10" ht="12.75">
      <c r="A41" s="145" t="s">
        <v>36</v>
      </c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2.75">
      <c r="A42" s="21"/>
      <c r="B42" s="4" t="s">
        <v>37</v>
      </c>
      <c r="C42" s="4"/>
      <c r="D42" s="20"/>
      <c r="E42" s="20"/>
      <c r="F42" s="20"/>
      <c r="G42" s="20"/>
      <c r="H42" s="20">
        <f>+I42</f>
        <v>513</v>
      </c>
      <c r="I42" s="20">
        <v>513</v>
      </c>
      <c r="J42" s="20"/>
    </row>
    <row r="43" spans="1:10" ht="12.75">
      <c r="A43" s="21"/>
      <c r="B43" s="4" t="s">
        <v>38</v>
      </c>
      <c r="C43" s="4"/>
      <c r="D43" s="20"/>
      <c r="E43" s="20"/>
      <c r="F43" s="20"/>
      <c r="G43" s="20"/>
      <c r="H43" s="20">
        <f>+I43</f>
        <v>500</v>
      </c>
      <c r="I43" s="20">
        <v>500</v>
      </c>
      <c r="J43" s="20"/>
    </row>
    <row r="46" spans="9:10" ht="12.75">
      <c r="I46" s="32"/>
      <c r="J46" s="32"/>
    </row>
    <row r="48" spans="6:7" ht="12.75">
      <c r="F48" s="32"/>
      <c r="G48" s="32"/>
    </row>
  </sheetData>
  <sheetProtection/>
  <mergeCells count="10">
    <mergeCell ref="A1:J1"/>
    <mergeCell ref="A3:J3"/>
    <mergeCell ref="A6:B7"/>
    <mergeCell ref="A2:J2"/>
    <mergeCell ref="A41:J41"/>
    <mergeCell ref="H4:J4"/>
    <mergeCell ref="C5:F5"/>
    <mergeCell ref="G5:J5"/>
    <mergeCell ref="C7:F7"/>
    <mergeCell ref="G7:J7"/>
  </mergeCells>
  <printOptions/>
  <pageMargins left="0.5905511811023623" right="0.3937007874015748" top="0.25" bottom="0.27" header="0" footer="0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7.7109375" style="0" customWidth="1"/>
    <col min="2" max="2" width="9.57421875" style="0" bestFit="1" customWidth="1"/>
    <col min="3" max="3" width="9.28125" style="0" bestFit="1" customWidth="1"/>
    <col min="4" max="5" width="9.28125" style="0" customWidth="1"/>
    <col min="6" max="6" width="5.57421875" style="0" customWidth="1"/>
    <col min="7" max="7" width="32.00390625" style="0" bestFit="1" customWidth="1"/>
    <col min="8" max="9" width="9.28125" style="0" bestFit="1" customWidth="1"/>
    <col min="10" max="10" width="9.421875" style="0" bestFit="1" customWidth="1"/>
  </cols>
  <sheetData>
    <row r="1" spans="1:8" ht="15.75" customHeight="1">
      <c r="A1" s="114" t="s">
        <v>275</v>
      </c>
      <c r="B1" s="114"/>
      <c r="C1" s="114"/>
      <c r="D1" s="114"/>
      <c r="E1" s="114"/>
      <c r="F1" s="114"/>
      <c r="G1" s="114"/>
      <c r="H1" s="114"/>
    </row>
    <row r="2" spans="1:8" ht="16.5" customHeight="1">
      <c r="A2" s="114" t="s">
        <v>307</v>
      </c>
      <c r="B2" s="114"/>
      <c r="C2" s="114"/>
      <c r="D2" s="114"/>
      <c r="E2" s="114"/>
      <c r="F2" s="114"/>
      <c r="G2" s="114"/>
      <c r="H2" s="114"/>
    </row>
    <row r="3" spans="1:8" ht="12.75">
      <c r="A3" s="114" t="s">
        <v>281</v>
      </c>
      <c r="B3" s="114"/>
      <c r="C3" s="114"/>
      <c r="D3" s="114"/>
      <c r="E3" s="114"/>
      <c r="F3" s="114"/>
      <c r="G3" s="114"/>
      <c r="H3" s="114"/>
    </row>
    <row r="4" ht="12.75" customHeight="1"/>
    <row r="5" spans="9:11" ht="12.75" customHeight="1" thickBot="1">
      <c r="I5" s="151" t="s">
        <v>128</v>
      </c>
      <c r="J5" s="151"/>
      <c r="K5" s="151"/>
    </row>
    <row r="6" spans="1:11" ht="36.75" thickBot="1">
      <c r="A6" s="42"/>
      <c r="B6" s="43" t="s">
        <v>250</v>
      </c>
      <c r="C6" s="43" t="s">
        <v>251</v>
      </c>
      <c r="D6" s="97" t="s">
        <v>252</v>
      </c>
      <c r="E6" s="44" t="s">
        <v>269</v>
      </c>
      <c r="F6" s="45"/>
      <c r="G6" s="42" t="s">
        <v>44</v>
      </c>
      <c r="H6" s="43" t="s">
        <v>250</v>
      </c>
      <c r="I6" s="43" t="s">
        <v>251</v>
      </c>
      <c r="J6" s="97" t="s">
        <v>252</v>
      </c>
      <c r="K6" s="44" t="s">
        <v>269</v>
      </c>
    </row>
    <row r="7" spans="1:11" ht="12.75">
      <c r="A7" s="46" t="s">
        <v>87</v>
      </c>
      <c r="B7" s="47"/>
      <c r="C7" s="47"/>
      <c r="D7" s="48"/>
      <c r="E7" s="48"/>
      <c r="F7" s="49"/>
      <c r="G7" s="46" t="s">
        <v>88</v>
      </c>
      <c r="H7" s="46"/>
      <c r="I7" s="46"/>
      <c r="J7" s="50"/>
      <c r="K7" s="50"/>
    </row>
    <row r="8" spans="1:11" ht="12.75">
      <c r="A8" s="51" t="s">
        <v>104</v>
      </c>
      <c r="B8" s="51">
        <v>2827</v>
      </c>
      <c r="C8" s="51">
        <v>2062</v>
      </c>
      <c r="D8" s="52">
        <v>2142</v>
      </c>
      <c r="E8" s="52">
        <f>+'mód 1.'!E17</f>
        <v>2842</v>
      </c>
      <c r="F8" s="53"/>
      <c r="G8" s="51" t="s">
        <v>108</v>
      </c>
      <c r="H8" s="51">
        <v>9945</v>
      </c>
      <c r="I8" s="51">
        <v>11166</v>
      </c>
      <c r="J8" s="52">
        <v>10850</v>
      </c>
      <c r="K8" s="52">
        <f>+'mód 2.'!H11</f>
        <v>16850</v>
      </c>
    </row>
    <row r="9" spans="1:11" ht="24">
      <c r="A9" s="51" t="s">
        <v>105</v>
      </c>
      <c r="B9" s="51">
        <v>31239</v>
      </c>
      <c r="C9" s="51">
        <v>19052</v>
      </c>
      <c r="D9" s="52">
        <v>28600</v>
      </c>
      <c r="E9" s="52">
        <f>+'mód 1.'!E56</f>
        <v>24571</v>
      </c>
      <c r="F9" s="53"/>
      <c r="G9" s="54" t="s">
        <v>109</v>
      </c>
      <c r="H9" s="51">
        <v>2388</v>
      </c>
      <c r="I9" s="51">
        <v>2531</v>
      </c>
      <c r="J9" s="52">
        <v>2306</v>
      </c>
      <c r="K9" s="52">
        <f>+'mód 2.'!H12</f>
        <v>2656</v>
      </c>
    </row>
    <row r="10" spans="1:11" ht="12.75">
      <c r="A10" s="51"/>
      <c r="B10" s="51"/>
      <c r="C10" s="51"/>
      <c r="D10" s="52"/>
      <c r="E10" s="52"/>
      <c r="F10" s="53"/>
      <c r="G10" s="54" t="s">
        <v>118</v>
      </c>
      <c r="H10" s="51">
        <v>13114</v>
      </c>
      <c r="I10" s="51">
        <v>16588</v>
      </c>
      <c r="J10" s="52">
        <v>15876</v>
      </c>
      <c r="K10" s="52">
        <f>+'mód 2.'!H13</f>
        <v>16616</v>
      </c>
    </row>
    <row r="11" spans="1:11" ht="36">
      <c r="A11" s="51" t="s">
        <v>106</v>
      </c>
      <c r="B11" s="51">
        <v>40117</v>
      </c>
      <c r="C11" s="51">
        <v>36084</v>
      </c>
      <c r="D11" s="52">
        <v>34994</v>
      </c>
      <c r="E11" s="52">
        <f>+'mód 1.'!E24+'mód 1.'!E36+'mód 1.'!F60+'mód 1.'!E60</f>
        <v>49823</v>
      </c>
      <c r="F11" s="53"/>
      <c r="G11" s="51" t="s">
        <v>119</v>
      </c>
      <c r="H11" s="51">
        <v>39093</v>
      </c>
      <c r="I11" s="51">
        <v>37058</v>
      </c>
      <c r="J11" s="57">
        <v>38535</v>
      </c>
      <c r="K11" s="57">
        <f>+'mód 2.'!H14-'mód 2.'!H18</f>
        <v>38560</v>
      </c>
    </row>
    <row r="12" spans="1:11" ht="12.75">
      <c r="A12" s="55" t="s">
        <v>107</v>
      </c>
      <c r="B12" s="55">
        <v>1543</v>
      </c>
      <c r="C12" s="55">
        <v>12653</v>
      </c>
      <c r="D12" s="56">
        <v>4385</v>
      </c>
      <c r="E12" s="56">
        <f>+'mód 1.'!E71</f>
        <v>0</v>
      </c>
      <c r="F12" s="53"/>
      <c r="G12" s="51" t="s">
        <v>120</v>
      </c>
      <c r="H12" s="51"/>
      <c r="I12" s="51">
        <v>446</v>
      </c>
      <c r="J12" s="52">
        <f>+'mód 2.'!G18</f>
        <v>513</v>
      </c>
      <c r="K12" s="52">
        <f>+'mód 2.'!H18</f>
        <v>513</v>
      </c>
    </row>
    <row r="13" spans="1:11" ht="24">
      <c r="A13" s="58" t="s">
        <v>89</v>
      </c>
      <c r="B13" s="58">
        <f>SUM(B8:B12)</f>
        <v>75726</v>
      </c>
      <c r="C13" s="58">
        <f>SUM(C8:C12)</f>
        <v>69851</v>
      </c>
      <c r="D13" s="58">
        <f>SUM(D8:D12)</f>
        <v>70121</v>
      </c>
      <c r="E13" s="58">
        <f>SUM(E8:E12)</f>
        <v>77236</v>
      </c>
      <c r="F13" s="53"/>
      <c r="G13" s="54" t="s">
        <v>110</v>
      </c>
      <c r="H13" s="51">
        <v>1119</v>
      </c>
      <c r="I13" s="51">
        <v>1062</v>
      </c>
      <c r="J13" s="52">
        <v>1041</v>
      </c>
      <c r="K13" s="52">
        <f>+'mód 2.'!H20</f>
        <v>1041</v>
      </c>
    </row>
    <row r="14" spans="1:11" ht="12.75">
      <c r="A14" s="58"/>
      <c r="B14" s="68"/>
      <c r="C14" s="68"/>
      <c r="D14" s="68"/>
      <c r="E14" s="68"/>
      <c r="F14" s="53"/>
      <c r="G14" s="54" t="s">
        <v>121</v>
      </c>
      <c r="H14" s="51">
        <v>1068</v>
      </c>
      <c r="I14" s="51">
        <v>1000</v>
      </c>
      <c r="J14" s="52">
        <f>+'mód 2.'!H19</f>
        <v>1000</v>
      </c>
      <c r="K14" s="52">
        <f>+'mód 2.'!G19</f>
        <v>1000</v>
      </c>
    </row>
    <row r="15" spans="1:11" ht="12.75">
      <c r="A15" s="58"/>
      <c r="B15" s="68"/>
      <c r="C15" s="68"/>
      <c r="D15" s="68"/>
      <c r="E15" s="68"/>
      <c r="F15" s="53"/>
      <c r="G15" s="58" t="s">
        <v>90</v>
      </c>
      <c r="H15" s="46">
        <f>SUM(H8:H14)</f>
        <v>66727</v>
      </c>
      <c r="I15" s="46">
        <f>SUM(I8:I14)</f>
        <v>69851</v>
      </c>
      <c r="J15" s="46">
        <f>SUM(J8:J14)</f>
        <v>70121</v>
      </c>
      <c r="K15" s="46">
        <f>SUM(K8:K14)</f>
        <v>77236</v>
      </c>
    </row>
    <row r="16" spans="1:11" ht="24">
      <c r="A16" s="69" t="s">
        <v>94</v>
      </c>
      <c r="B16" s="61">
        <f>SUM(B13:B13)</f>
        <v>75726</v>
      </c>
      <c r="C16" s="61">
        <f>SUM(C13:C13)</f>
        <v>69851</v>
      </c>
      <c r="D16" s="61">
        <f>SUM(D13:D13)</f>
        <v>70121</v>
      </c>
      <c r="E16" s="61">
        <f>SUM(E13:E13)</f>
        <v>77236</v>
      </c>
      <c r="F16" s="53"/>
      <c r="G16" s="59" t="s">
        <v>91</v>
      </c>
      <c r="H16" s="59">
        <f>SUM(H15:H15)</f>
        <v>66727</v>
      </c>
      <c r="I16" s="59">
        <f>SUM(I15:I15)</f>
        <v>69851</v>
      </c>
      <c r="J16" s="59">
        <f>SUM(J15:J15)</f>
        <v>70121</v>
      </c>
      <c r="K16" s="59">
        <f>SUM(K15:K15)</f>
        <v>77236</v>
      </c>
    </row>
    <row r="17" spans="1:11" ht="12.75">
      <c r="A17" s="46" t="s">
        <v>95</v>
      </c>
      <c r="B17" s="46"/>
      <c r="C17" s="46"/>
      <c r="D17" s="52"/>
      <c r="E17" s="52"/>
      <c r="F17" s="53"/>
      <c r="G17" s="46" t="s">
        <v>92</v>
      </c>
      <c r="H17" s="46"/>
      <c r="I17" s="46"/>
      <c r="J17" s="58"/>
      <c r="K17" s="58"/>
    </row>
    <row r="18" spans="1:11" ht="24">
      <c r="A18" s="51" t="s">
        <v>112</v>
      </c>
      <c r="B18" s="51">
        <v>0</v>
      </c>
      <c r="C18" s="51">
        <f>+'[2]mód5.'!$F$18</f>
        <v>0</v>
      </c>
      <c r="D18" s="52">
        <f>+'mód 1.'!H30</f>
        <v>0</v>
      </c>
      <c r="E18" s="52">
        <f>+'mód 1.'!I30</f>
        <v>0</v>
      </c>
      <c r="F18" s="53"/>
      <c r="G18" s="51" t="s">
        <v>93</v>
      </c>
      <c r="H18" s="51">
        <f>+'[1]6.'!$H$18</f>
        <v>0</v>
      </c>
      <c r="I18" s="51">
        <f>+'[2]mód5.'!$M$18</f>
        <v>0</v>
      </c>
      <c r="J18" s="51">
        <v>0</v>
      </c>
      <c r="K18" s="51">
        <v>0</v>
      </c>
    </row>
    <row r="19" spans="1:11" ht="24">
      <c r="A19" s="51" t="s">
        <v>113</v>
      </c>
      <c r="B19" s="51">
        <f>+'[1]1.sz.m.'!$L$57</f>
        <v>0</v>
      </c>
      <c r="C19" s="51">
        <v>8248</v>
      </c>
      <c r="D19" s="52">
        <v>0</v>
      </c>
      <c r="E19" s="52">
        <f>+'mód 1.'!F56</f>
        <v>6529</v>
      </c>
      <c r="F19" s="53"/>
      <c r="G19" s="51" t="s">
        <v>96</v>
      </c>
      <c r="H19" s="51">
        <v>748</v>
      </c>
      <c r="I19" s="51">
        <v>2657</v>
      </c>
      <c r="J19" s="52">
        <v>5793</v>
      </c>
      <c r="K19" s="52">
        <f>+'mód 3.'!H33</f>
        <v>8767</v>
      </c>
    </row>
    <row r="20" spans="1:11" ht="24">
      <c r="A20" s="51" t="s">
        <v>114</v>
      </c>
      <c r="B20" s="51">
        <v>10020</v>
      </c>
      <c r="C20" s="51">
        <v>0</v>
      </c>
      <c r="D20" s="60">
        <v>21737</v>
      </c>
      <c r="E20" s="60">
        <f>+'mód 1.'!F42+'mód 1.'!F36</f>
        <v>21711</v>
      </c>
      <c r="F20" s="53"/>
      <c r="G20" s="51" t="s">
        <v>97</v>
      </c>
      <c r="H20" s="51">
        <v>1902</v>
      </c>
      <c r="I20" s="51">
        <v>16180</v>
      </c>
      <c r="J20" s="52">
        <v>31641</v>
      </c>
      <c r="K20" s="52">
        <f>+'mód 3.'!H13</f>
        <v>31641</v>
      </c>
    </row>
    <row r="21" spans="1:11" ht="24">
      <c r="A21" s="55" t="s">
        <v>115</v>
      </c>
      <c r="B21" s="51">
        <v>0</v>
      </c>
      <c r="C21" s="51">
        <v>12480</v>
      </c>
      <c r="D21" s="60">
        <v>16197</v>
      </c>
      <c r="E21" s="60">
        <f>+'mód 1.'!F71</f>
        <v>11668</v>
      </c>
      <c r="F21" s="53"/>
      <c r="G21" s="51" t="s">
        <v>111</v>
      </c>
      <c r="H21" s="51">
        <f>+'[1]6.'!$K$21</f>
        <v>0</v>
      </c>
      <c r="I21" s="51">
        <v>3891</v>
      </c>
      <c r="J21" s="52">
        <f>+'mód 3.'!G34</f>
        <v>500</v>
      </c>
      <c r="K21" s="52">
        <f>+'mód 3.'!H34</f>
        <v>500</v>
      </c>
    </row>
    <row r="22" spans="1:11" ht="12.75">
      <c r="A22" s="51" t="s">
        <v>117</v>
      </c>
      <c r="B22" s="51">
        <v>0</v>
      </c>
      <c r="C22" s="51">
        <v>2000</v>
      </c>
      <c r="D22" s="60">
        <f>+'mód 1.'!F23</f>
        <v>0</v>
      </c>
      <c r="E22" s="60">
        <f>+'mód 1.'!F30</f>
        <v>1000</v>
      </c>
      <c r="F22" s="53"/>
      <c r="G22" s="51" t="s">
        <v>99</v>
      </c>
      <c r="H22" s="51">
        <v>0</v>
      </c>
      <c r="I22" s="51">
        <v>0</v>
      </c>
      <c r="J22" s="52"/>
      <c r="K22" s="52"/>
    </row>
    <row r="23" spans="1:11" ht="24">
      <c r="A23" s="58" t="s">
        <v>98</v>
      </c>
      <c r="B23" s="46">
        <f>SUM(B18:B22)</f>
        <v>10020</v>
      </c>
      <c r="C23" s="46">
        <f>SUM(C18:C22)</f>
        <v>22728</v>
      </c>
      <c r="D23" s="46">
        <f>SUM(D18:D22)</f>
        <v>37934</v>
      </c>
      <c r="E23" s="46">
        <f>SUM(E18:E22)</f>
        <v>40908</v>
      </c>
      <c r="F23" s="53"/>
      <c r="G23" s="51" t="s">
        <v>116</v>
      </c>
      <c r="H23" s="51">
        <v>0</v>
      </c>
      <c r="I23" s="51">
        <v>0</v>
      </c>
      <c r="J23" s="52">
        <v>0</v>
      </c>
      <c r="K23" s="52">
        <v>0</v>
      </c>
    </row>
    <row r="24" spans="1:11" ht="24">
      <c r="A24" s="58"/>
      <c r="B24" s="46"/>
      <c r="C24" s="46"/>
      <c r="D24" s="46"/>
      <c r="E24" s="46"/>
      <c r="F24" s="53"/>
      <c r="G24" s="58" t="s">
        <v>100</v>
      </c>
      <c r="H24" s="46">
        <f>SUM(H18:H23)</f>
        <v>2650</v>
      </c>
      <c r="I24" s="46">
        <f>SUM(I18:I23)</f>
        <v>22728</v>
      </c>
      <c r="J24" s="46">
        <f>SUM(J18:J23)</f>
        <v>37934</v>
      </c>
      <c r="K24" s="46">
        <f>SUM(K18:K23)</f>
        <v>40908</v>
      </c>
    </row>
    <row r="25" spans="1:11" ht="24.75" thickBot="1">
      <c r="A25" s="62" t="s">
        <v>101</v>
      </c>
      <c r="B25" s="63">
        <f>SUM(B23:B23)</f>
        <v>10020</v>
      </c>
      <c r="C25" s="63">
        <f>SUM(C23:C23)</f>
        <v>22728</v>
      </c>
      <c r="D25" s="63">
        <f>SUM(D23:D23)</f>
        <v>37934</v>
      </c>
      <c r="E25" s="63">
        <f>SUM(E23:E23)</f>
        <v>40908</v>
      </c>
      <c r="F25" s="53"/>
      <c r="G25" s="64" t="s">
        <v>102</v>
      </c>
      <c r="H25" s="63">
        <f>SUM(H24:H24)</f>
        <v>2650</v>
      </c>
      <c r="I25" s="63">
        <f>SUM(I24:I24)</f>
        <v>22728</v>
      </c>
      <c r="J25" s="63">
        <f>SUM(J24:J24)</f>
        <v>37934</v>
      </c>
      <c r="K25" s="63">
        <f>SUM(K24:K24)</f>
        <v>40908</v>
      </c>
    </row>
    <row r="26" spans="1:11" ht="13.5" thickBot="1">
      <c r="A26" s="65" t="s">
        <v>103</v>
      </c>
      <c r="B26" s="66">
        <f>SUM(B16+B25)</f>
        <v>85746</v>
      </c>
      <c r="C26" s="66">
        <f>SUM(C16+C25)</f>
        <v>92579</v>
      </c>
      <c r="D26" s="66">
        <f>SUM(D16+D25)</f>
        <v>108055</v>
      </c>
      <c r="E26" s="66">
        <f>SUM(E16+E25)</f>
        <v>118144</v>
      </c>
      <c r="F26" s="53"/>
      <c r="G26" s="65" t="s">
        <v>103</v>
      </c>
      <c r="H26" s="67">
        <f>SUM(H16+H25)</f>
        <v>69377</v>
      </c>
      <c r="I26" s="67">
        <f>SUM(I16+I25)</f>
        <v>92579</v>
      </c>
      <c r="J26" s="67">
        <f>SUM(J16+J25)</f>
        <v>108055</v>
      </c>
      <c r="K26" s="67">
        <f>SUM(K16+K25)</f>
        <v>118144</v>
      </c>
    </row>
    <row r="35" ht="12.75" customHeight="1"/>
    <row r="66" ht="15.75">
      <c r="A66" s="41"/>
    </row>
  </sheetData>
  <sheetProtection/>
  <mergeCells count="4">
    <mergeCell ref="A2:H2"/>
    <mergeCell ref="A1:H1"/>
    <mergeCell ref="A3:H3"/>
    <mergeCell ref="I5:K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&amp;C11. sz. melléklet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5.7109375" style="98" customWidth="1"/>
    <col min="2" max="2" width="36.57421875" style="98" customWidth="1"/>
    <col min="3" max="3" width="12.7109375" style="98" customWidth="1"/>
    <col min="4" max="7" width="9.140625" style="98" customWidth="1"/>
    <col min="8" max="8" width="8.57421875" style="98" customWidth="1"/>
    <col min="9" max="9" width="12.7109375" style="98" bestFit="1" customWidth="1"/>
    <col min="10" max="16384" width="9.140625" style="98" customWidth="1"/>
  </cols>
  <sheetData>
    <row r="1" spans="1:9" ht="12.75">
      <c r="A1" s="157" t="s">
        <v>283</v>
      </c>
      <c r="B1" s="157"/>
      <c r="C1" s="157"/>
      <c r="D1" s="157"/>
      <c r="E1" s="157"/>
      <c r="F1" s="157"/>
      <c r="G1" s="157"/>
      <c r="H1" s="157"/>
      <c r="I1" s="157"/>
    </row>
    <row r="2" spans="1:9" ht="12.75">
      <c r="A2" s="157" t="s">
        <v>307</v>
      </c>
      <c r="B2" s="157"/>
      <c r="C2" s="157"/>
      <c r="D2" s="157"/>
      <c r="E2" s="157"/>
      <c r="F2" s="157"/>
      <c r="G2" s="157"/>
      <c r="H2" s="157"/>
      <c r="I2" s="157"/>
    </row>
    <row r="3" spans="1:9" ht="12.75">
      <c r="A3" s="157" t="s">
        <v>284</v>
      </c>
      <c r="B3" s="157"/>
      <c r="C3" s="157"/>
      <c r="D3" s="157"/>
      <c r="E3" s="157"/>
      <c r="F3" s="157"/>
      <c r="G3" s="157"/>
      <c r="H3" s="157"/>
      <c r="I3" s="157"/>
    </row>
    <row r="4" spans="1:9" ht="12.75">
      <c r="A4" s="157" t="s">
        <v>285</v>
      </c>
      <c r="B4" s="157"/>
      <c r="C4" s="157"/>
      <c r="D4" s="157"/>
      <c r="E4" s="157"/>
      <c r="F4" s="157"/>
      <c r="G4" s="157"/>
      <c r="H4" s="157"/>
      <c r="I4" s="157"/>
    </row>
    <row r="5" ht="18.75">
      <c r="A5" s="99"/>
    </row>
    <row r="6" spans="1:9" ht="13.5" thickBot="1">
      <c r="A6" s="100" t="s">
        <v>286</v>
      </c>
      <c r="D6" s="100"/>
      <c r="I6" s="100" t="s">
        <v>287</v>
      </c>
    </row>
    <row r="7" spans="1:9" ht="46.5" customHeight="1">
      <c r="A7" s="158" t="s">
        <v>288</v>
      </c>
      <c r="B7" s="166" t="s">
        <v>289</v>
      </c>
      <c r="C7" s="166" t="s">
        <v>290</v>
      </c>
      <c r="D7" s="173" t="s">
        <v>291</v>
      </c>
      <c r="E7" s="174"/>
      <c r="F7" s="174"/>
      <c r="G7" s="174"/>
      <c r="H7" s="175"/>
      <c r="I7" s="152" t="s">
        <v>1</v>
      </c>
    </row>
    <row r="8" spans="1:9" ht="15.75" customHeight="1">
      <c r="A8" s="159"/>
      <c r="B8" s="167"/>
      <c r="C8" s="167"/>
      <c r="D8" s="176"/>
      <c r="E8" s="177"/>
      <c r="F8" s="177"/>
      <c r="G8" s="177"/>
      <c r="H8" s="178"/>
      <c r="I8" s="153"/>
    </row>
    <row r="9" spans="1:9" ht="30.75" customHeight="1">
      <c r="A9" s="159"/>
      <c r="B9" s="167"/>
      <c r="C9" s="167"/>
      <c r="D9" s="154" t="s">
        <v>292</v>
      </c>
      <c r="E9" s="154" t="s">
        <v>293</v>
      </c>
      <c r="F9" s="154" t="s">
        <v>294</v>
      </c>
      <c r="G9" s="154" t="s">
        <v>295</v>
      </c>
      <c r="H9" s="154" t="s">
        <v>296</v>
      </c>
      <c r="I9" s="153"/>
    </row>
    <row r="10" spans="1:9" ht="16.5" customHeight="1">
      <c r="A10" s="160"/>
      <c r="B10" s="168"/>
      <c r="C10" s="168"/>
      <c r="D10" s="154"/>
      <c r="E10" s="154"/>
      <c r="F10" s="154"/>
      <c r="G10" s="154"/>
      <c r="H10" s="154"/>
      <c r="I10" s="153"/>
    </row>
    <row r="11" spans="1:9" ht="12.75" customHeight="1">
      <c r="A11" s="171" t="s">
        <v>10</v>
      </c>
      <c r="B11" s="155" t="s">
        <v>297</v>
      </c>
      <c r="C11" s="102" t="s">
        <v>298</v>
      </c>
      <c r="D11" s="156">
        <v>300</v>
      </c>
      <c r="E11" s="156">
        <v>300</v>
      </c>
      <c r="F11" s="156">
        <v>280</v>
      </c>
      <c r="G11" s="156">
        <v>280</v>
      </c>
      <c r="H11" s="156">
        <v>280</v>
      </c>
      <c r="I11" s="161">
        <f>SUM(D11:H16)</f>
        <v>1440</v>
      </c>
    </row>
    <row r="12" spans="1:9" ht="27.75" customHeight="1">
      <c r="A12" s="171"/>
      <c r="B12" s="155"/>
      <c r="C12" s="162" t="s">
        <v>306</v>
      </c>
      <c r="D12" s="156"/>
      <c r="E12" s="156"/>
      <c r="F12" s="156"/>
      <c r="G12" s="156"/>
      <c r="H12" s="156"/>
      <c r="I12" s="161"/>
    </row>
    <row r="13" spans="1:9" ht="12.75" customHeight="1">
      <c r="A13" s="171"/>
      <c r="B13" s="155"/>
      <c r="C13" s="163"/>
      <c r="D13" s="156"/>
      <c r="E13" s="156"/>
      <c r="F13" s="156"/>
      <c r="G13" s="156"/>
      <c r="H13" s="156"/>
      <c r="I13" s="161"/>
    </row>
    <row r="14" spans="1:9" ht="11.25" customHeight="1">
      <c r="A14" s="171"/>
      <c r="B14" s="155"/>
      <c r="C14" s="102" t="s">
        <v>299</v>
      </c>
      <c r="D14" s="156"/>
      <c r="E14" s="156"/>
      <c r="F14" s="156"/>
      <c r="G14" s="156"/>
      <c r="H14" s="156"/>
      <c r="I14" s="161"/>
    </row>
    <row r="15" spans="1:9" ht="38.25" customHeight="1" hidden="1">
      <c r="A15" s="171"/>
      <c r="B15" s="155"/>
      <c r="C15" s="164"/>
      <c r="D15" s="156"/>
      <c r="E15" s="156"/>
      <c r="F15" s="156"/>
      <c r="G15" s="156"/>
      <c r="H15" s="156"/>
      <c r="I15" s="161"/>
    </row>
    <row r="16" spans="1:9" ht="15.75" customHeight="1" hidden="1">
      <c r="A16" s="172"/>
      <c r="B16" s="155"/>
      <c r="C16" s="165"/>
      <c r="D16" s="156"/>
      <c r="E16" s="156"/>
      <c r="F16" s="156"/>
      <c r="G16" s="156"/>
      <c r="H16" s="156"/>
      <c r="I16" s="161"/>
    </row>
    <row r="17" spans="1:9" ht="63">
      <c r="A17" s="105" t="s">
        <v>12</v>
      </c>
      <c r="B17" s="106" t="s">
        <v>300</v>
      </c>
      <c r="C17" s="107" t="s">
        <v>301</v>
      </c>
      <c r="D17" s="108">
        <f>22050+5954</f>
        <v>28004</v>
      </c>
      <c r="E17" s="108">
        <f>+D17</f>
        <v>28004</v>
      </c>
      <c r="F17" s="108"/>
      <c r="G17" s="108"/>
      <c r="H17" s="108"/>
      <c r="I17" s="109">
        <f>SUM(D17:H17)</f>
        <v>56008</v>
      </c>
    </row>
    <row r="18" spans="1:9" ht="47.25">
      <c r="A18" s="110" t="s">
        <v>13</v>
      </c>
      <c r="B18" s="101" t="s">
        <v>302</v>
      </c>
      <c r="C18" s="111" t="s">
        <v>303</v>
      </c>
      <c r="D18" s="103">
        <v>11874</v>
      </c>
      <c r="E18" s="103">
        <v>15832</v>
      </c>
      <c r="F18" s="103">
        <v>3958</v>
      </c>
      <c r="G18" s="103"/>
      <c r="H18" s="103"/>
      <c r="I18" s="104">
        <f>SUM(D18:H18)</f>
        <v>31664</v>
      </c>
    </row>
    <row r="19" spans="1:9" ht="63">
      <c r="A19" s="110" t="s">
        <v>19</v>
      </c>
      <c r="B19" s="101" t="s">
        <v>304</v>
      </c>
      <c r="C19" s="111" t="s">
        <v>305</v>
      </c>
      <c r="D19" s="103">
        <v>0</v>
      </c>
      <c r="E19" s="103">
        <v>6800</v>
      </c>
      <c r="F19" s="103">
        <v>6800</v>
      </c>
      <c r="G19" s="103">
        <v>119</v>
      </c>
      <c r="H19" s="103"/>
      <c r="I19" s="104">
        <f>SUM(D19:H19)</f>
        <v>13719</v>
      </c>
    </row>
    <row r="20" spans="1:9" ht="16.5" thickBot="1">
      <c r="A20" s="169" t="s">
        <v>1</v>
      </c>
      <c r="B20" s="170"/>
      <c r="C20" s="112"/>
      <c r="D20" s="113">
        <f aca="true" t="shared" si="0" ref="D20:I20">SUM(D11:D19)</f>
        <v>40178</v>
      </c>
      <c r="E20" s="113">
        <f t="shared" si="0"/>
        <v>50936</v>
      </c>
      <c r="F20" s="113">
        <f t="shared" si="0"/>
        <v>11038</v>
      </c>
      <c r="G20" s="113">
        <f t="shared" si="0"/>
        <v>399</v>
      </c>
      <c r="H20" s="113">
        <f t="shared" si="0"/>
        <v>280</v>
      </c>
      <c r="I20" s="113">
        <f t="shared" si="0"/>
        <v>102831</v>
      </c>
    </row>
  </sheetData>
  <sheetProtection/>
  <mergeCells count="25">
    <mergeCell ref="A20:B20"/>
    <mergeCell ref="E9:E10"/>
    <mergeCell ref="F9:F10"/>
    <mergeCell ref="G9:G10"/>
    <mergeCell ref="H9:H10"/>
    <mergeCell ref="A11:A16"/>
    <mergeCell ref="C7:C10"/>
    <mergeCell ref="D7:H8"/>
    <mergeCell ref="A1:I1"/>
    <mergeCell ref="A2:I2"/>
    <mergeCell ref="A3:I3"/>
    <mergeCell ref="A4:I4"/>
    <mergeCell ref="A7:A10"/>
    <mergeCell ref="H11:H16"/>
    <mergeCell ref="I11:I16"/>
    <mergeCell ref="C12:C13"/>
    <mergeCell ref="C15:C16"/>
    <mergeCell ref="B7:B10"/>
    <mergeCell ref="I7:I10"/>
    <mergeCell ref="D9:D10"/>
    <mergeCell ref="B11:B16"/>
    <mergeCell ref="D11:D16"/>
    <mergeCell ref="E11:E16"/>
    <mergeCell ref="F11:F16"/>
    <mergeCell ref="G11:G16"/>
  </mergeCells>
  <printOptions/>
  <pageMargins left="0.47" right="0.4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28125" style="0" customWidth="1"/>
    <col min="2" max="2" width="29.421875" style="0" bestFit="1" customWidth="1"/>
    <col min="3" max="3" width="7.28125" style="0" bestFit="1" customWidth="1"/>
    <col min="4" max="4" width="8.140625" style="0" bestFit="1" customWidth="1"/>
    <col min="5" max="5" width="8.00390625" style="0" bestFit="1" customWidth="1"/>
    <col min="6" max="6" width="7.140625" style="0" bestFit="1" customWidth="1"/>
    <col min="7" max="7" width="6.28125" style="0" bestFit="1" customWidth="1"/>
    <col min="8" max="8" width="6.8515625" style="0" bestFit="1" customWidth="1"/>
    <col min="9" max="9" width="7.140625" style="0" bestFit="1" customWidth="1"/>
    <col min="10" max="10" width="10.140625" style="0" bestFit="1" customWidth="1"/>
    <col min="11" max="11" width="12.00390625" style="0" bestFit="1" customWidth="1"/>
    <col min="12" max="12" width="8.140625" style="0" bestFit="1" customWidth="1"/>
    <col min="13" max="14" width="10.28125" style="0" bestFit="1" customWidth="1"/>
    <col min="15" max="15" width="9.421875" style="0" bestFit="1" customWidth="1"/>
  </cols>
  <sheetData>
    <row r="1" spans="1:15" ht="12.75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2.75">
      <c r="A2" s="114" t="s">
        <v>307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.75">
      <c r="A3" s="114" t="s">
        <v>67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2.75">
      <c r="A4" s="114" t="s">
        <v>282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4:15" ht="12.75">
      <c r="N5" s="139" t="s">
        <v>6</v>
      </c>
      <c r="O5" s="139"/>
    </row>
    <row r="6" spans="1:15" ht="12.75">
      <c r="A6" s="9" t="s">
        <v>43</v>
      </c>
      <c r="B6" s="9" t="s">
        <v>44</v>
      </c>
      <c r="C6" s="8" t="s">
        <v>55</v>
      </c>
      <c r="D6" s="8" t="s">
        <v>56</v>
      </c>
      <c r="E6" s="8" t="s">
        <v>57</v>
      </c>
      <c r="F6" s="8" t="s">
        <v>58</v>
      </c>
      <c r="G6" s="8" t="s">
        <v>59</v>
      </c>
      <c r="H6" s="8" t="s">
        <v>60</v>
      </c>
      <c r="I6" s="8" t="s">
        <v>61</v>
      </c>
      <c r="J6" s="8" t="s">
        <v>62</v>
      </c>
      <c r="K6" s="8" t="s">
        <v>63</v>
      </c>
      <c r="L6" s="8" t="s">
        <v>64</v>
      </c>
      <c r="M6" s="8" t="s">
        <v>65</v>
      </c>
      <c r="N6" s="8" t="s">
        <v>66</v>
      </c>
      <c r="O6" s="8" t="s">
        <v>1</v>
      </c>
    </row>
    <row r="7" spans="1:18" ht="12.75">
      <c r="A7" s="5"/>
      <c r="B7" s="9" t="s">
        <v>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R7" s="24"/>
    </row>
    <row r="8" spans="1:18" ht="12.75">
      <c r="A8" s="5" t="s">
        <v>10</v>
      </c>
      <c r="B8" s="6" t="s">
        <v>122</v>
      </c>
      <c r="C8" s="20">
        <f>120+50</f>
        <v>170</v>
      </c>
      <c r="D8" s="20">
        <v>70</v>
      </c>
      <c r="E8" s="20">
        <v>62</v>
      </c>
      <c r="F8" s="20">
        <f>120+50</f>
        <v>170</v>
      </c>
      <c r="G8" s="20">
        <v>45</v>
      </c>
      <c r="H8" s="20">
        <v>45</v>
      </c>
      <c r="I8" s="20">
        <v>300</v>
      </c>
      <c r="J8" s="20">
        <f>120+95+150</f>
        <v>365</v>
      </c>
      <c r="K8" s="20">
        <f>125+700</f>
        <v>825</v>
      </c>
      <c r="L8" s="20">
        <v>700</v>
      </c>
      <c r="M8" s="20">
        <v>45</v>
      </c>
      <c r="N8" s="20">
        <v>45</v>
      </c>
      <c r="O8" s="19">
        <f aca="true" t="shared" si="0" ref="O8:O13">SUM(C8:N8)</f>
        <v>2842</v>
      </c>
      <c r="R8" s="24"/>
    </row>
    <row r="9" spans="1:15" ht="12.75">
      <c r="A9" s="5" t="s">
        <v>12</v>
      </c>
      <c r="B9" s="6" t="s">
        <v>76</v>
      </c>
      <c r="C9" s="20">
        <f>3770+301</f>
        <v>4071</v>
      </c>
      <c r="D9" s="20">
        <v>13</v>
      </c>
      <c r="E9" s="20">
        <v>13500</v>
      </c>
      <c r="F9" s="20">
        <v>13</v>
      </c>
      <c r="G9" s="20">
        <v>13</v>
      </c>
      <c r="H9" s="20">
        <v>50</v>
      </c>
      <c r="I9" s="20">
        <v>50</v>
      </c>
      <c r="J9" s="20">
        <f>13+50</f>
        <v>63</v>
      </c>
      <c r="K9" s="20">
        <f>2600+50-200-364+6000+1026+1300+2500</f>
        <v>12912</v>
      </c>
      <c r="L9" s="20">
        <f>26+364</f>
        <v>390</v>
      </c>
      <c r="M9" s="20">
        <v>12</v>
      </c>
      <c r="N9" s="20">
        <v>13</v>
      </c>
      <c r="O9" s="19">
        <f t="shared" si="0"/>
        <v>31100</v>
      </c>
    </row>
    <row r="10" spans="1:15" ht="12.75">
      <c r="A10" s="5" t="s">
        <v>13</v>
      </c>
      <c r="B10" s="6" t="s">
        <v>123</v>
      </c>
      <c r="C10" s="20"/>
      <c r="D10" s="20">
        <v>1000</v>
      </c>
      <c r="E10" s="20"/>
      <c r="F10" s="20"/>
      <c r="G10" s="20"/>
      <c r="H10" s="20"/>
      <c r="I10" s="20">
        <v>20737</v>
      </c>
      <c r="J10" s="20"/>
      <c r="K10" s="20"/>
      <c r="L10" s="20"/>
      <c r="M10" s="20"/>
      <c r="N10" s="20"/>
      <c r="O10" s="19">
        <f t="shared" si="0"/>
        <v>21737</v>
      </c>
    </row>
    <row r="11" spans="1:15" ht="25.5">
      <c r="A11" s="5" t="s">
        <v>19</v>
      </c>
      <c r="B11" s="6" t="s">
        <v>124</v>
      </c>
      <c r="C11" s="20">
        <f>216+2950-1035</f>
        <v>2131</v>
      </c>
      <c r="D11" s="20">
        <v>2100</v>
      </c>
      <c r="E11" s="20">
        <v>3100</v>
      </c>
      <c r="F11" s="20">
        <v>3105</v>
      </c>
      <c r="G11" s="20">
        <v>3110</v>
      </c>
      <c r="H11" s="20">
        <v>3121</v>
      </c>
      <c r="I11" s="20">
        <f>2950+216-20-587</f>
        <v>2559</v>
      </c>
      <c r="J11" s="20">
        <f>2950+216-20+13780</f>
        <v>16926</v>
      </c>
      <c r="K11" s="20">
        <f>2950+216-20</f>
        <v>3146</v>
      </c>
      <c r="L11" s="20">
        <f>2950+216-20+25</f>
        <v>3171</v>
      </c>
      <c r="M11" s="20">
        <f>3165+1998</f>
        <v>5163</v>
      </c>
      <c r="N11" s="20">
        <v>3165</v>
      </c>
      <c r="O11" s="19">
        <f t="shared" si="0"/>
        <v>50797</v>
      </c>
    </row>
    <row r="12" spans="1:15" ht="12.75">
      <c r="A12" s="5" t="s">
        <v>20</v>
      </c>
      <c r="B12" s="6" t="s">
        <v>125</v>
      </c>
      <c r="C12" s="20">
        <v>11668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>
        <f t="shared" si="0"/>
        <v>11668</v>
      </c>
    </row>
    <row r="13" spans="1:15" ht="12.75">
      <c r="A13" s="5"/>
      <c r="B13" s="33" t="s">
        <v>52</v>
      </c>
      <c r="C13" s="19">
        <f>SUM(C8:C12)</f>
        <v>18040</v>
      </c>
      <c r="D13" s="19">
        <f aca="true" t="shared" si="1" ref="D13:M13">SUM(D8:D12)</f>
        <v>3183</v>
      </c>
      <c r="E13" s="19">
        <f t="shared" si="1"/>
        <v>16662</v>
      </c>
      <c r="F13" s="19">
        <f t="shared" si="1"/>
        <v>3288</v>
      </c>
      <c r="G13" s="19">
        <f t="shared" si="1"/>
        <v>3168</v>
      </c>
      <c r="H13" s="19">
        <f t="shared" si="1"/>
        <v>3216</v>
      </c>
      <c r="I13" s="19">
        <f t="shared" si="1"/>
        <v>23646</v>
      </c>
      <c r="J13" s="19">
        <f t="shared" si="1"/>
        <v>17354</v>
      </c>
      <c r="K13" s="19">
        <f>SUM(K8:K12)</f>
        <v>16883</v>
      </c>
      <c r="L13" s="19">
        <f t="shared" si="1"/>
        <v>4261</v>
      </c>
      <c r="M13" s="19">
        <f t="shared" si="1"/>
        <v>5220</v>
      </c>
      <c r="N13" s="19">
        <f>SUM(N8:N12)</f>
        <v>3223</v>
      </c>
      <c r="O13" s="19">
        <f t="shared" si="0"/>
        <v>118144</v>
      </c>
    </row>
    <row r="14" spans="1:17" ht="12.75">
      <c r="A14" s="28"/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2"/>
    </row>
    <row r="15" spans="1:15" ht="12.75">
      <c r="A15" s="28"/>
      <c r="B15" s="2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>
      <c r="A16" s="5"/>
      <c r="B16" s="33" t="s">
        <v>54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6" ht="12.75">
      <c r="A17" s="5" t="s">
        <v>21</v>
      </c>
      <c r="B17" s="23" t="s">
        <v>45</v>
      </c>
      <c r="C17" s="20">
        <f>913-102</f>
        <v>811</v>
      </c>
      <c r="D17" s="20">
        <v>913</v>
      </c>
      <c r="E17" s="20">
        <v>913</v>
      </c>
      <c r="F17" s="20">
        <v>913</v>
      </c>
      <c r="G17" s="20">
        <f>913+625</f>
        <v>1538</v>
      </c>
      <c r="H17" s="20">
        <f>913+625</f>
        <v>1538</v>
      </c>
      <c r="I17" s="20">
        <f>913+625+498</f>
        <v>2036</v>
      </c>
      <c r="J17" s="20">
        <f>913+625+498</f>
        <v>2036</v>
      </c>
      <c r="K17" s="20">
        <f>913+625</f>
        <v>1538</v>
      </c>
      <c r="L17" s="20">
        <f>913+625</f>
        <v>1538</v>
      </c>
      <c r="M17" s="20">
        <f>913+625</f>
        <v>1538</v>
      </c>
      <c r="N17" s="20">
        <f>913+625</f>
        <v>1538</v>
      </c>
      <c r="O17" s="19">
        <f aca="true" t="shared" si="2" ref="O17:O23">SUM(C17:N17)</f>
        <v>16850</v>
      </c>
      <c r="P17" s="30"/>
    </row>
    <row r="18" spans="1:16" ht="28.5" customHeight="1">
      <c r="A18" s="5" t="s">
        <v>22</v>
      </c>
      <c r="B18" s="35" t="s">
        <v>75</v>
      </c>
      <c r="C18" s="20">
        <v>111</v>
      </c>
      <c r="D18" s="20">
        <v>198</v>
      </c>
      <c r="E18" s="20">
        <v>198</v>
      </c>
      <c r="F18" s="20">
        <v>199</v>
      </c>
      <c r="G18" s="20">
        <v>200</v>
      </c>
      <c r="H18" s="20">
        <v>200</v>
      </c>
      <c r="I18" s="20">
        <v>200</v>
      </c>
      <c r="J18" s="20">
        <f>100+200</f>
        <v>300</v>
      </c>
      <c r="K18" s="20">
        <f>200+250</f>
        <v>450</v>
      </c>
      <c r="L18" s="20">
        <v>200</v>
      </c>
      <c r="M18" s="20">
        <v>200</v>
      </c>
      <c r="N18" s="20">
        <v>200</v>
      </c>
      <c r="O18" s="19">
        <f t="shared" si="2"/>
        <v>2656</v>
      </c>
      <c r="P18" s="30"/>
    </row>
    <row r="19" spans="1:16" ht="12.75">
      <c r="A19" s="5" t="s">
        <v>23</v>
      </c>
      <c r="B19" s="23" t="s">
        <v>83</v>
      </c>
      <c r="C19" s="20">
        <v>1334</v>
      </c>
      <c r="D19" s="20">
        <v>1234</v>
      </c>
      <c r="E19" s="20">
        <v>1304</v>
      </c>
      <c r="F19" s="20">
        <v>1330</v>
      </c>
      <c r="G19" s="20">
        <v>1336</v>
      </c>
      <c r="H19" s="20">
        <v>1334</v>
      </c>
      <c r="I19" s="20">
        <v>1334</v>
      </c>
      <c r="J19" s="20">
        <f>200+1334</f>
        <v>1534</v>
      </c>
      <c r="K19" s="20">
        <f>200+1334</f>
        <v>1534</v>
      </c>
      <c r="L19" s="20">
        <f>200+1334</f>
        <v>1534</v>
      </c>
      <c r="M19" s="20">
        <f>140+1334</f>
        <v>1474</v>
      </c>
      <c r="N19" s="20">
        <v>1334</v>
      </c>
      <c r="O19" s="19">
        <f t="shared" si="2"/>
        <v>16616</v>
      </c>
      <c r="P19" s="30"/>
    </row>
    <row r="20" spans="1:16" ht="12.75">
      <c r="A20" s="5" t="s">
        <v>24</v>
      </c>
      <c r="B20" s="6" t="s">
        <v>73</v>
      </c>
      <c r="C20" s="20">
        <f>699+3002</f>
        <v>3701</v>
      </c>
      <c r="D20" s="20">
        <f>-699+3000+1000</f>
        <v>3301</v>
      </c>
      <c r="E20" s="20">
        <v>3102</v>
      </c>
      <c r="F20" s="20">
        <v>3102</v>
      </c>
      <c r="G20" s="20">
        <v>3102</v>
      </c>
      <c r="H20" s="20">
        <v>3102</v>
      </c>
      <c r="I20" s="20">
        <f>3002+32</f>
        <v>3034</v>
      </c>
      <c r="J20" s="20">
        <v>3002</v>
      </c>
      <c r="K20" s="20">
        <f>3002+500</f>
        <v>3502</v>
      </c>
      <c r="L20" s="20">
        <v>3502</v>
      </c>
      <c r="M20" s="20">
        <f>3002+81+25</f>
        <v>3108</v>
      </c>
      <c r="N20" s="20">
        <v>3002</v>
      </c>
      <c r="O20" s="19">
        <f t="shared" si="2"/>
        <v>38560</v>
      </c>
      <c r="P20" s="30"/>
    </row>
    <row r="21" spans="1:16" ht="12.75">
      <c r="A21" s="5" t="s">
        <v>25</v>
      </c>
      <c r="B21" s="6" t="s">
        <v>72</v>
      </c>
      <c r="C21" s="20">
        <v>10</v>
      </c>
      <c r="D21" s="20">
        <v>10</v>
      </c>
      <c r="E21" s="20">
        <v>330</v>
      </c>
      <c r="F21" s="20">
        <f>161+46</f>
        <v>207</v>
      </c>
      <c r="G21" s="20">
        <v>45</v>
      </c>
      <c r="H21" s="20">
        <v>46</v>
      </c>
      <c r="I21" s="20">
        <v>45</v>
      </c>
      <c r="J21" s="20">
        <v>46</v>
      </c>
      <c r="K21" s="20">
        <f>5+161</f>
        <v>166</v>
      </c>
      <c r="L21" s="20">
        <v>46</v>
      </c>
      <c r="M21" s="20">
        <f>10+39</f>
        <v>49</v>
      </c>
      <c r="N21" s="20"/>
      <c r="O21" s="19">
        <f t="shared" si="2"/>
        <v>1000</v>
      </c>
      <c r="P21" s="30"/>
    </row>
    <row r="22" spans="1:16" ht="12.75">
      <c r="A22" s="5" t="s">
        <v>26</v>
      </c>
      <c r="B22" s="6" t="s">
        <v>130</v>
      </c>
      <c r="C22" s="20"/>
      <c r="D22" s="20"/>
      <c r="E22" s="20"/>
      <c r="F22" s="20"/>
      <c r="G22" s="20"/>
      <c r="H22" s="20"/>
      <c r="I22" s="20">
        <v>31641</v>
      </c>
      <c r="J22" s="20">
        <v>5793</v>
      </c>
      <c r="K22" s="20">
        <v>483</v>
      </c>
      <c r="L22" s="20">
        <v>974</v>
      </c>
      <c r="M22" s="20"/>
      <c r="N22" s="20">
        <v>1517</v>
      </c>
      <c r="O22" s="19">
        <f t="shared" si="2"/>
        <v>40408</v>
      </c>
      <c r="P22" s="30"/>
    </row>
    <row r="23" spans="1:16" ht="12.75">
      <c r="A23" s="5" t="s">
        <v>27</v>
      </c>
      <c r="B23" s="6" t="s">
        <v>126</v>
      </c>
      <c r="C23" s="20"/>
      <c r="D23" s="20"/>
      <c r="E23" s="20"/>
      <c r="F23" s="20"/>
      <c r="G23" s="20"/>
      <c r="H23" s="20"/>
      <c r="I23" s="20"/>
      <c r="J23" s="20"/>
      <c r="K23" s="20"/>
      <c r="L23" s="20">
        <f>513+500</f>
        <v>1013</v>
      </c>
      <c r="M23" s="20"/>
      <c r="N23" s="20"/>
      <c r="O23" s="19">
        <f t="shared" si="2"/>
        <v>1013</v>
      </c>
      <c r="P23" s="30"/>
    </row>
    <row r="24" spans="1:16" ht="12.75">
      <c r="A24" s="5" t="s">
        <v>28</v>
      </c>
      <c r="B24" s="6" t="s">
        <v>127</v>
      </c>
      <c r="C24" s="20">
        <v>1041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f>SUM(C24:N24)</f>
        <v>1041</v>
      </c>
      <c r="P24" s="30"/>
    </row>
    <row r="25" spans="1:15" ht="12.75">
      <c r="A25" s="5"/>
      <c r="B25" s="33" t="s">
        <v>53</v>
      </c>
      <c r="C25" s="19">
        <f>SUM(C17:C24)</f>
        <v>7008</v>
      </c>
      <c r="D25" s="19">
        <f aca="true" t="shared" si="3" ref="D25:N25">SUM(D17:D24)</f>
        <v>5656</v>
      </c>
      <c r="E25" s="19">
        <f t="shared" si="3"/>
        <v>5847</v>
      </c>
      <c r="F25" s="19">
        <f t="shared" si="3"/>
        <v>5751</v>
      </c>
      <c r="G25" s="19">
        <f t="shared" si="3"/>
        <v>6221</v>
      </c>
      <c r="H25" s="19">
        <f t="shared" si="3"/>
        <v>6220</v>
      </c>
      <c r="I25" s="19">
        <f t="shared" si="3"/>
        <v>38290</v>
      </c>
      <c r="J25" s="19">
        <f t="shared" si="3"/>
        <v>12711</v>
      </c>
      <c r="K25" s="19">
        <f t="shared" si="3"/>
        <v>7673</v>
      </c>
      <c r="L25" s="19">
        <f>SUM(L17:L24)</f>
        <v>8807</v>
      </c>
      <c r="M25" s="19">
        <f t="shared" si="3"/>
        <v>6369</v>
      </c>
      <c r="N25" s="19">
        <f t="shared" si="3"/>
        <v>7591</v>
      </c>
      <c r="O25" s="19">
        <f>SUM(O17:O24)</f>
        <v>118144</v>
      </c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Q27" s="32"/>
    </row>
    <row r="28" spans="5:16" ht="12.75">
      <c r="E28" s="32"/>
      <c r="J28" s="32"/>
      <c r="P28" s="32"/>
    </row>
    <row r="30" spans="3:14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</sheetData>
  <sheetProtection/>
  <mergeCells count="5">
    <mergeCell ref="N5:O5"/>
    <mergeCell ref="A1:O1"/>
    <mergeCell ref="A4:O4"/>
    <mergeCell ref="A3:O3"/>
    <mergeCell ref="A2:O2"/>
  </mergeCells>
  <printOptions/>
  <pageMargins left="0.45" right="0.45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Gyöngyi</cp:lastModifiedBy>
  <cp:lastPrinted>2018-12-06T09:54:57Z</cp:lastPrinted>
  <dcterms:created xsi:type="dcterms:W3CDTF">2006-09-13T08:14:51Z</dcterms:created>
  <dcterms:modified xsi:type="dcterms:W3CDTF">2018-12-15T09:42:50Z</dcterms:modified>
  <cp:category/>
  <cp:version/>
  <cp:contentType/>
  <cp:contentStatus/>
</cp:coreProperties>
</file>