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945" tabRatio="895" activeTab="0"/>
  </bookViews>
  <sheets>
    <sheet name="1. bevételek" sheetId="1" r:id="rId1"/>
    <sheet name="2. kiadások " sheetId="2" r:id="rId2"/>
    <sheet name="3.műk.-felh." sheetId="3" r:id="rId3"/>
    <sheet name="4.önkorm.kiad.feladat" sheetId="4" r:id="rId4"/>
    <sheet name="5. Óvoda, Kult. kiad. feladat" sheetId="5" r:id="rId5"/>
    <sheet name="6. kiadások megbontása" sheetId="6" r:id="rId6"/>
    <sheet name="7. források sz. bontás" sheetId="7" r:id="rId7"/>
    <sheet name="8. létszámok" sheetId="8" r:id="rId8"/>
    <sheet name="9.felhki" sheetId="9" r:id="rId9"/>
    <sheet name="10.tartalékok" sheetId="10" r:id="rId10"/>
    <sheet name="11.normatívák" sheetId="11" r:id="rId11"/>
    <sheet name="12. EU projektek" sheetId="12" r:id="rId12"/>
    <sheet name="Munka1" sheetId="13" r:id="rId13"/>
  </sheets>
  <externalReferences>
    <externalReference r:id="rId16"/>
  </externalReferences>
  <definedNames>
    <definedName name="_xlnm.Print_Titles" localSheetId="0">'1. bevételek'!$5:$6</definedName>
    <definedName name="_xlnm.Print_Titles" localSheetId="11">'12. EU projektek'!$8:$11</definedName>
    <definedName name="_xlnm.Print_Titles" localSheetId="3">'4.önkorm.kiad.feladat'!$4:$7</definedName>
    <definedName name="_xlnm.Print_Titles" localSheetId="5">'6. kiadások megbontása'!$5:$8</definedName>
    <definedName name="_xlnm.Print_Titles" localSheetId="7">'8. létszámok'!$7:$7</definedName>
    <definedName name="_xlnm.Print_Titles" localSheetId="8">'9.felhki'!$6:$7</definedName>
    <definedName name="_xlnm.Print_Area" localSheetId="0">'1. bevételek'!$A$1:$J$200</definedName>
    <definedName name="_xlnm.Print_Area" localSheetId="10">'11.normatívák'!$A$1:$L$52</definedName>
    <definedName name="_xlnm.Print_Area" localSheetId="1">'2. kiadások '!$A$1:$J$55</definedName>
    <definedName name="_xlnm.Print_Area" localSheetId="3">'4.önkorm.kiad.feladat'!$D$1:$Z$56</definedName>
    <definedName name="_xlnm.Print_Area" localSheetId="4">'5. Óvoda, Kult. kiad. feladat'!$A$1:$L$35</definedName>
    <definedName name="_xlnm.Print_Area" localSheetId="5">'6. kiadások megbontása'!$A$1:$M$89</definedName>
    <definedName name="_xlnm.Print_Area" localSheetId="6">'7. források sz. bontás'!$A$1:$AC$61</definedName>
    <definedName name="_xlnm.Print_Area" localSheetId="7">'8. létszámok'!$A$1:$M$106</definedName>
    <definedName name="_xlnm.Print_Area" localSheetId="8">'9.felhki'!$A$1:$D$66</definedName>
  </definedNames>
  <calcPr fullCalcOnLoad="1"/>
</workbook>
</file>

<file path=xl/sharedStrings.xml><?xml version="1.0" encoding="utf-8"?>
<sst xmlns="http://schemas.openxmlformats.org/spreadsheetml/2006/main" count="2004" uniqueCount="1151">
  <si>
    <t>Rovatok megnevezése</t>
  </si>
  <si>
    <t>K1</t>
  </si>
  <si>
    <t>ebből:</t>
  </si>
  <si>
    <t>K2</t>
  </si>
  <si>
    <t>Munkaadókat terhelő járulékok és szoc. hozzájárulási adó</t>
  </si>
  <si>
    <t>K3</t>
  </si>
  <si>
    <t>Dologi kiadások</t>
  </si>
  <si>
    <t>államháztartáson belül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</si>
  <si>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</si>
  <si>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</si>
  <si>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</si>
  <si>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</si>
  <si>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</si>
  <si>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</si>
  <si>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Intézményi ellátottak pénzbeli juttatásai</t>
  </si>
  <si>
    <t>ebből működési</t>
  </si>
  <si>
    <t>ebből felhalmozási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</si>
  <si>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</si>
  <si>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</si>
  <si>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</si>
  <si>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</si>
  <si>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</si>
  <si>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</si>
  <si>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</si>
  <si>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</si>
  <si>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</si>
  <si>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</si>
  <si>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</si>
  <si>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</si>
  <si>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</si>
  <si>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</si>
  <si>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</si>
  <si>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</si>
  <si>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</si>
  <si>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</si>
  <si>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</si>
  <si>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</si>
  <si>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</si>
  <si>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</si>
  <si>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</si>
  <si>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</si>
  <si>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102030</t>
  </si>
  <si>
    <t>107051</t>
  </si>
  <si>
    <t>107054</t>
  </si>
  <si>
    <t>104060</t>
  </si>
  <si>
    <t>107060</t>
  </si>
  <si>
    <t>082044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</si>
  <si>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</si>
  <si>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</si>
  <si>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</si>
  <si>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</si>
  <si>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Múzeumi, gyűjteményi tevékenység</t>
  </si>
  <si>
    <t xml:space="preserve">működési </t>
  </si>
  <si>
    <t>felhalmozási</t>
  </si>
  <si>
    <t>össz.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</si>
  <si>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</si>
  <si>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</si>
  <si>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</si>
  <si>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</si>
  <si>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</si>
  <si>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</si>
  <si>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</si>
  <si>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</si>
  <si>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</si>
  <si>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</si>
  <si>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</si>
  <si>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</si>
  <si>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</si>
  <si>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</si>
  <si>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</si>
  <si>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</si>
  <si>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</si>
  <si>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</si>
  <si>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</si>
  <si>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</si>
  <si>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</si>
  <si>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</si>
  <si>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</si>
  <si>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</si>
  <si>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Felhalmozás célú támogatás államháztartáson kívülre</t>
  </si>
  <si>
    <t>A települési önkormányzatok egyes köznevelési feladatainak támogatása</t>
  </si>
  <si>
    <t>Óvodapedagógusok, és az óvodapedagógusok nevelő munkáját közvetlenül segítők bértámogatása</t>
  </si>
  <si>
    <t>A települési önkormányzatok szociális, gyermekjóléti és gyermekétkeztetési feladatainak támogatása</t>
  </si>
  <si>
    <t>III.5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</si>
  <si>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</si>
  <si>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</si>
  <si>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</si>
  <si>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</si>
  <si>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</si>
  <si>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</si>
  <si>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</si>
  <si>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</si>
  <si>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</si>
  <si>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</si>
  <si>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</si>
  <si>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</si>
  <si>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K43</t>
  </si>
  <si>
    <t>Pénzbeli kárpótlások, kártérítések</t>
  </si>
  <si>
    <t>K44</t>
  </si>
  <si>
    <t>Betegséggel kapcsolatos (nem TB) ellátások</t>
  </si>
  <si>
    <t>K45</t>
  </si>
  <si>
    <t>Foglalkoztatással, munkanélküliséggel kapcs. ellátások</t>
  </si>
  <si>
    <t>K46</t>
  </si>
  <si>
    <t>Lakhatással kapcsolatos ellátások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</si>
  <si>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</si>
  <si>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</si>
  <si>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</si>
  <si>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</si>
  <si>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</si>
  <si>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</si>
  <si>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</si>
  <si>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</si>
  <si>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</si>
  <si>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</si>
  <si>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</si>
  <si>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</si>
  <si>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</si>
  <si>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</si>
  <si>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</si>
  <si>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</si>
  <si>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</si>
  <si>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</si>
  <si>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</si>
  <si>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</si>
  <si>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</si>
  <si>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</si>
  <si>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</si>
  <si>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</si>
  <si>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</si>
  <si>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</si>
  <si>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</si>
  <si>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</si>
  <si>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</si>
  <si>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</si>
  <si>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</si>
  <si>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</si>
  <si>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</si>
  <si>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</si>
  <si>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</si>
  <si>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</si>
  <si>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</si>
  <si>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</si>
  <si>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</si>
  <si>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</si>
  <si>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</si>
  <si>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</si>
  <si>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</si>
  <si>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</si>
  <si>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</si>
  <si>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</si>
  <si>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</si>
  <si>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</si>
  <si>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</si>
  <si>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</si>
  <si>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</si>
  <si>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</si>
  <si>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</si>
  <si>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</si>
  <si>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</si>
  <si>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</si>
  <si>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</si>
  <si>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</si>
  <si>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 xml:space="preserve">    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</si>
  <si>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</si>
  <si>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</si>
  <si>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</si>
  <si>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</si>
  <si>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</si>
  <si>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</si>
  <si>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</si>
  <si>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</si>
  <si>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</si>
  <si>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</si>
  <si>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</si>
  <si>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</si>
  <si>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</si>
  <si>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</si>
  <si>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</si>
  <si>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</si>
  <si>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</si>
  <si>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</si>
  <si>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</si>
  <si>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</si>
  <si>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</si>
  <si>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</si>
  <si>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B113</t>
  </si>
  <si>
    <t>B114</t>
  </si>
  <si>
    <t>B115</t>
  </si>
  <si>
    <t>B116</t>
  </si>
  <si>
    <t>B12</t>
  </si>
  <si>
    <t>Elvonások és befizetések bevételei</t>
  </si>
  <si>
    <t>B13</t>
  </si>
  <si>
    <t>B14</t>
  </si>
  <si>
    <t>fejezeti kezelésű ei EU-s pr. és azok hazai társfinanszírozása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</si>
  <si>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</si>
  <si>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</si>
  <si>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</si>
  <si>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</si>
  <si>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</si>
  <si>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</si>
  <si>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</si>
  <si>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</si>
  <si>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</si>
  <si>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</si>
  <si>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</si>
  <si>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</si>
  <si>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</si>
  <si>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</si>
  <si>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</si>
  <si>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</si>
  <si>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</si>
  <si>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</si>
  <si>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</si>
  <si>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</si>
  <si>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</si>
  <si>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</si>
  <si>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</si>
  <si>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</si>
  <si>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B352</t>
  </si>
  <si>
    <t>B353</t>
  </si>
  <si>
    <t>Pü-i monopóliumok nyereségét terhelő adók</t>
  </si>
  <si>
    <t>B354</t>
  </si>
  <si>
    <t>Gépjárműadók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</si>
  <si>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</si>
  <si>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</si>
  <si>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</si>
  <si>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</si>
  <si>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</si>
  <si>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</si>
  <si>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</si>
  <si>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</si>
  <si>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</si>
  <si>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környezetvédelmi bírság</t>
  </si>
  <si>
    <t>építésügyi bírság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</si>
  <si>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</si>
  <si>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</si>
  <si>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</si>
  <si>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</si>
  <si>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</si>
  <si>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</si>
  <si>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</si>
  <si>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</si>
  <si>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</si>
  <si>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</si>
  <si>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</si>
  <si>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</si>
  <si>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</si>
  <si>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</si>
  <si>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</si>
  <si>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</si>
  <si>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</si>
  <si>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</si>
  <si>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</si>
  <si>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</si>
  <si>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</si>
  <si>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</si>
  <si>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</si>
  <si>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</si>
  <si>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</si>
  <si>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</si>
  <si>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</si>
  <si>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</si>
  <si>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</si>
  <si>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</si>
  <si>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</si>
  <si>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</si>
  <si>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</si>
  <si>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</si>
  <si>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</si>
  <si>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</si>
  <si>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B62</t>
  </si>
  <si>
    <t>B63</t>
  </si>
  <si>
    <t>B7</t>
  </si>
  <si>
    <t>Felhalmozási célú átvett pénzeszközök</t>
  </si>
  <si>
    <t>B71</t>
  </si>
  <si>
    <t>B72</t>
  </si>
  <si>
    <t>B73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</si>
  <si>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</si>
  <si>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</si>
  <si>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</si>
  <si>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</si>
  <si>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</si>
  <si>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</si>
  <si>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</si>
  <si>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</si>
  <si>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</si>
  <si>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</si>
  <si>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</si>
  <si>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</si>
  <si>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</si>
  <si>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</si>
  <si>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</si>
  <si>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</si>
  <si>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</si>
  <si>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</si>
  <si>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</si>
  <si>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</si>
  <si>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</si>
  <si>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</si>
  <si>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</si>
  <si>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</si>
  <si>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</si>
  <si>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</si>
  <si>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</si>
  <si>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Szolgáltatások ellenértéke</t>
  </si>
  <si>
    <t>Immateriális javak értékesítése</t>
  </si>
  <si>
    <t>Beruházás</t>
  </si>
  <si>
    <t>Közutak, alagutak üzemeltetése, fenntartása</t>
  </si>
  <si>
    <t>Személyi juttatások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</si>
  <si>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</si>
  <si>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</si>
  <si>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</si>
  <si>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</si>
  <si>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</si>
  <si>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</si>
  <si>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</si>
  <si>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</si>
  <si>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</si>
  <si>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</si>
  <si>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</si>
  <si>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</si>
  <si>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 xml:space="preserve">Közfoglalkoztatás </t>
  </si>
  <si>
    <t>Ügyeleti Szolgálat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</si>
  <si>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</si>
  <si>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</si>
  <si>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</si>
  <si>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</si>
  <si>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</si>
  <si>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</si>
  <si>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</si>
  <si>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</si>
  <si>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</si>
  <si>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Beruházások</t>
  </si>
  <si>
    <t>Bevé-        telek</t>
  </si>
  <si>
    <t>K i a d á s b ó l</t>
  </si>
  <si>
    <t>Kiadások összesen</t>
  </si>
  <si>
    <t>Céltartalék (felhalmozási)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</si>
  <si>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</si>
  <si>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</si>
  <si>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</si>
  <si>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</si>
  <si>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</si>
  <si>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</si>
  <si>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</si>
  <si>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</si>
  <si>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</si>
  <si>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</si>
  <si>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</si>
  <si>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</si>
  <si>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</si>
  <si>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</si>
  <si>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</si>
  <si>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</si>
  <si>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</si>
  <si>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</si>
  <si>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</si>
  <si>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</si>
  <si>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</si>
  <si>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</si>
  <si>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</si>
  <si>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</si>
  <si>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</si>
  <si>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</si>
  <si>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</si>
  <si>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</si>
  <si>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</si>
  <si>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</si>
  <si>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</si>
  <si>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</si>
  <si>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</si>
  <si>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</si>
  <si>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</si>
  <si>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</si>
  <si>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</si>
  <si>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</si>
  <si>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</si>
  <si>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</si>
  <si>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</si>
  <si>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</si>
  <si>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</si>
  <si>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</si>
  <si>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</si>
  <si>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</si>
  <si>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</si>
  <si>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</si>
  <si>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</si>
  <si>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</si>
  <si>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</si>
  <si>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</si>
  <si>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</si>
  <si>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</si>
  <si>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</si>
  <si>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</si>
  <si>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</si>
  <si>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</si>
  <si>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</si>
  <si>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</si>
  <si>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</si>
  <si>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</si>
  <si>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</si>
  <si>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</si>
  <si>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</si>
  <si>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</si>
  <si>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</si>
  <si>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</si>
  <si>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</si>
  <si>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G</t>
  </si>
  <si>
    <t>H</t>
  </si>
  <si>
    <t>33</t>
  </si>
  <si>
    <t>Család- és nővédelmi egészségügyi gondozás</t>
  </si>
  <si>
    <t>Körny. véd. alap</t>
  </si>
  <si>
    <t>Bevételek mindösszesen:</t>
  </si>
  <si>
    <t>-</t>
  </si>
  <si>
    <t>Helyi önkormányzat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</si>
  <si>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</si>
  <si>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</si>
  <si>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</si>
  <si>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</si>
  <si>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</si>
  <si>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</si>
  <si>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</si>
  <si>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</si>
  <si>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</si>
  <si>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</si>
  <si>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</si>
  <si>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mutató    (8 hó)</t>
  </si>
  <si>
    <t>mutató   (4 hó)</t>
  </si>
  <si>
    <t>xxx</t>
  </si>
  <si>
    <t>Szociális étkeztetés</t>
  </si>
  <si>
    <t>26</t>
  </si>
  <si>
    <t>Általános tartalék</t>
  </si>
  <si>
    <t>A települési önkormányzatok kulturális feladatainak támogatása</t>
  </si>
  <si>
    <t xml:space="preserve">fajlagos Ft </t>
  </si>
  <si>
    <t>Önkormányzati hivatal működésének támogatása</t>
  </si>
  <si>
    <t>II.</t>
  </si>
  <si>
    <t>I.</t>
  </si>
  <si>
    <t>II.1</t>
  </si>
  <si>
    <t>Óvodapedagógusok bértámogatása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</si>
  <si>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</si>
  <si>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</si>
  <si>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</si>
  <si>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</si>
  <si>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</si>
  <si>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</si>
  <si>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</si>
  <si>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</si>
  <si>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</si>
  <si>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</si>
  <si>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</si>
  <si>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</si>
  <si>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</si>
  <si>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</si>
  <si>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</si>
  <si>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</si>
  <si>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</si>
  <si>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23</t>
  </si>
  <si>
    <t>24</t>
  </si>
  <si>
    <t>25</t>
  </si>
  <si>
    <t>27</t>
  </si>
  <si>
    <t>31</t>
  </si>
  <si>
    <t>34</t>
  </si>
  <si>
    <t>35</t>
  </si>
  <si>
    <t>Polgármesteri Hivatal összesen:</t>
  </si>
  <si>
    <t>Óvodai intézményi étkeztetés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</si>
  <si>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</si>
  <si>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</si>
  <si>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</si>
  <si>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</si>
  <si>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</si>
  <si>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</si>
  <si>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</si>
  <si>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</si>
  <si>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</si>
  <si>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</si>
  <si>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</si>
  <si>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</si>
  <si>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</si>
  <si>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</si>
  <si>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</si>
  <si>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</si>
  <si>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Ügyeleti ellátáshoz önkormányzatoktól átvett pénzeszk.</t>
  </si>
  <si>
    <t>Család- és nővédelmi eü. gondozáshoz OEP-finanszírozás</t>
  </si>
  <si>
    <t>Tűzoltóság BM támogatása</t>
  </si>
  <si>
    <t>Továbbszámlázott szolg. bevételei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</si>
  <si>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</si>
  <si>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</si>
  <si>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</si>
  <si>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</si>
  <si>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</si>
  <si>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</si>
  <si>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</si>
  <si>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</si>
  <si>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</si>
  <si>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</si>
  <si>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</si>
  <si>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</si>
  <si>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</si>
  <si>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Kiegészítő támogatás az óvodapedagógusok minősítéséből adódó többletkiadásokhoz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</si>
  <si>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</si>
  <si>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</si>
  <si>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</si>
  <si>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</si>
  <si>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</si>
  <si>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Műk. c. visszatérítendő támogatások, kölcsönök nyújtása államháztartáson kívülre g, egyéb vállalkoz</t>
  </si>
  <si>
    <t>082030</t>
  </si>
  <si>
    <t>Közutak, hidak, alagutak üzemeltetése, fenntartása</t>
  </si>
  <si>
    <t>Zöldterület -kezelés</t>
  </si>
  <si>
    <t>Város-, községgazdálkodási egyéb szolgáltatások</t>
  </si>
  <si>
    <t>Könyvtári állomány gyarapítása, nyilvántartása</t>
  </si>
  <si>
    <t>Nyitnikék Gyerekház</t>
  </si>
  <si>
    <t>Szociális feladatok egyéb támogatása</t>
  </si>
  <si>
    <t>Elszámolásból származó bevételek</t>
  </si>
  <si>
    <t>Készletértékesítés ellenértéke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</si>
  <si>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</si>
  <si>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</si>
  <si>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</si>
  <si>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</si>
  <si>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</si>
  <si>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</si>
  <si>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B65</t>
  </si>
  <si>
    <t>B74</t>
  </si>
  <si>
    <t>B75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</si>
  <si>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</si>
  <si>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</si>
  <si>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</si>
  <si>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</si>
  <si>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</si>
  <si>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</si>
  <si>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</si>
  <si>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</si>
  <si>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</si>
  <si>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</si>
  <si>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</si>
  <si>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</si>
  <si>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</si>
  <si>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</si>
  <si>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</si>
  <si>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</si>
  <si>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</si>
  <si>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</si>
  <si>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</si>
  <si>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</si>
  <si>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</si>
  <si>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</si>
  <si>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</si>
  <si>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</si>
  <si>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</si>
  <si>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Gyermeklánc Óvoda és Egységes Óvoda-Bölcsőde, Család- és Gyermekjóléti Központ</t>
  </si>
  <si>
    <t>Család- és Gyermekjóléti Központ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</si>
  <si>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</si>
  <si>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</si>
  <si>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</si>
  <si>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</si>
  <si>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</si>
  <si>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</si>
  <si>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</si>
  <si>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</si>
  <si>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</si>
  <si>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</si>
  <si>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</si>
  <si>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</si>
  <si>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</si>
  <si>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</si>
  <si>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</si>
  <si>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</si>
  <si>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</si>
  <si>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</si>
  <si>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</si>
  <si>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</si>
  <si>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</si>
  <si>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</si>
  <si>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</si>
  <si>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Önkormányzati bérlakások felújítása</t>
  </si>
  <si>
    <t>098022</t>
  </si>
  <si>
    <t>Pedagógiai szakszolgáltató tevékenység működtetési feladatai</t>
  </si>
  <si>
    <t>Vállalk. tev. - Növénytermesztés és kapcsolódó szolgáltatások</t>
  </si>
  <si>
    <t>Művészeti tevékenységek -Jánoshalmi Művésztelep működtetése</t>
  </si>
  <si>
    <t>Művészeti tevékenységek - Jánoshalmi Művésztelep működtetése</t>
  </si>
  <si>
    <t xml:space="preserve">Egyéb szoc. pénzbeli ellátások, támogatások </t>
  </si>
  <si>
    <t>2015. évi  CXXIII. törvény az egészségügyi alapellátásról</t>
  </si>
  <si>
    <t>Eü a. tv.</t>
  </si>
  <si>
    <t>Gyvt. 40/A. §</t>
  </si>
  <si>
    <t xml:space="preserve">Gyvt. tv. 14.§ (3), 18.§ (1a), 20/A.§,20/B.§, </t>
  </si>
  <si>
    <t>Óvodapedagógusok és a munkájukat közvetlen segítők bértámogatása</t>
  </si>
  <si>
    <t>A rászoruló gyermekek intézményen kívüli szünidei étkeztetésének támogatása</t>
  </si>
  <si>
    <t>Tűzoltóság települési támogatása</t>
  </si>
  <si>
    <t xml:space="preserve">- Óvónő </t>
  </si>
  <si>
    <t>- Pedagógiai asszisztens</t>
  </si>
  <si>
    <t xml:space="preserve">- Óvodai dajka </t>
  </si>
  <si>
    <t>- Óvodatitkár</t>
  </si>
  <si>
    <t>- Szakmai vezető</t>
  </si>
  <si>
    <t>- Családsegítő</t>
  </si>
  <si>
    <t xml:space="preserve">Nyitnikék Gyerekház </t>
  </si>
  <si>
    <t>- Polgármester</t>
  </si>
  <si>
    <t>- Főállású alpolgármester</t>
  </si>
  <si>
    <t>összeg  Ft</t>
  </si>
  <si>
    <t>II.3</t>
  </si>
  <si>
    <t>Társulás által fenntartott óvodákba bejáró gyermekek utaztatásának tám.</t>
  </si>
  <si>
    <t xml:space="preserve">II.4 a (1) </t>
  </si>
  <si>
    <t xml:space="preserve">II.4 a (2) </t>
  </si>
  <si>
    <t xml:space="preserve">Általános tartalék </t>
  </si>
  <si>
    <t>Általános tartalék (működési)</t>
  </si>
  <si>
    <t>adatok Ft-ban</t>
  </si>
  <si>
    <t>Telep. önk-ok szoc.,  gyermekjóléti és gyermekétk. feladatainak tám.</t>
  </si>
  <si>
    <t>termőföld bérbeadásából származó jövedelem adója</t>
  </si>
  <si>
    <t>Egyéb felhalmozási célra átvett pénzeszközök</t>
  </si>
  <si>
    <t>018020</t>
  </si>
  <si>
    <t>Központi költségvetési befizetések</t>
  </si>
  <si>
    <t>Kerékpárút építése</t>
  </si>
  <si>
    <t>045120</t>
  </si>
  <si>
    <t>Munkaadót terhelő járulékok</t>
  </si>
  <si>
    <t>102023</t>
  </si>
  <si>
    <t>Időskorúak tartós bentlakásos ellátása (Szoc. Otthon)</t>
  </si>
  <si>
    <t>Egyéb szociális pénzbeli és természetbeni ellátások, támog.</t>
  </si>
  <si>
    <t>096015</t>
  </si>
  <si>
    <t>Gyermekétkeztetés köznevelési intézményben</t>
  </si>
  <si>
    <t>104037</t>
  </si>
  <si>
    <t>Intézményen kívüli gyermekétkeztetés</t>
  </si>
  <si>
    <t>Egyéb felhalmozási célú kiadás</t>
  </si>
  <si>
    <t>K5 Egyéb működési célú kiadások</t>
  </si>
  <si>
    <t>Rendszeres gyermekvédelmi kedvezményhez kapcsolódó természetbeni juttatás Gyvt. 20/A § (1) - (2) bek.</t>
  </si>
  <si>
    <t>Kiegészítő gyermekvédelmi támogatás és a kieg. gyermekvédelmi támogatás pótléka Gyvt. 20/B. § (3), (5) bek.</t>
  </si>
  <si>
    <t>kiotói egységek és kibocsátási egységek eladásából befolyt eladási ár</t>
  </si>
  <si>
    <t>Egyéb működési célú átvett pénzeszközök</t>
  </si>
  <si>
    <t>Helyi önkormányzatok működésének általános támogatása</t>
  </si>
  <si>
    <t>Működési célú költségvetési támogatás és kiegészítő támogatás</t>
  </si>
  <si>
    <t>Működési c. garancia- és kezesságvállalásból származó megtérülés államháztartáson belülről</t>
  </si>
  <si>
    <t>Működési célú visszatérítendő támogatások, kölcsönök visszatérülése ÁH-on belülről</t>
  </si>
  <si>
    <t>Működési célú visszatérítendő támogatások, kölcsönök igénybevétele ÁH-on belülről</t>
  </si>
  <si>
    <t>Egyéb működési célú támogatások bevételei államháztartáson belülről</t>
  </si>
  <si>
    <t>Települési önkormányzatok egyes köznevelési feladatainak támogatása</t>
  </si>
  <si>
    <t>Települési önkormányzatok kulturális feladatainak támogatása</t>
  </si>
  <si>
    <t>fejezeti kezelésű ei EU-s programok és azok hazai társfinanszírozása</t>
  </si>
  <si>
    <t>nemzetiségi önkormányzatok és költségvetési szerveik</t>
  </si>
  <si>
    <t>térségi fejlesztési tanácsok és költségvetési szerveik</t>
  </si>
  <si>
    <t>Felhalmozási célú önkormányzati támogatások</t>
  </si>
  <si>
    <t>Felhalm. célú garancia- és kezességvállalásból származó megtérülés állháztartáson belülről</t>
  </si>
  <si>
    <t>Felhalm. célú visszatérítendő támogatások, kölcsönök visszatérülése állháztartáson belülről</t>
  </si>
  <si>
    <t>Felhalm. célú visszatérítendő támogatások, kölcsönök igénybevétele állháztartáson belülről</t>
  </si>
  <si>
    <t>Egyéb felhalmozási célú támogatások bevételei államháztartáson belülről</t>
  </si>
  <si>
    <t>Felhalmozási célú támogatások államháztartáson belülről</t>
  </si>
  <si>
    <t>állandó jelleggel végzett iparűzési tevékenység utáni helyi iparűzési adó</t>
  </si>
  <si>
    <t>ideiglenes jelleggel végzett tevékenység utáni helyi iparűzési adó</t>
  </si>
  <si>
    <t>belföldi gépjárművek adójának helyi önkormányzatot megillető része</t>
  </si>
  <si>
    <t>szabálysértési pénz- és helyszíni bírság és a közlekedési szabályszegések után kiszabott közigazgatási bírság önkormányzatot megillető része</t>
  </si>
  <si>
    <t>önkormányzati vagyon üzemeltetéséből, koncesszióból származó bevétel</t>
  </si>
  <si>
    <t>önkormányzati vagyon vagyonkezelésbe adásából szárm. bevétel</t>
  </si>
  <si>
    <t>állami többségi tulajdonú vállalkozástól kapott osztalék</t>
  </si>
  <si>
    <t>önkormányzati többségi tulaljdonú vállalkozástól kapott osztalék</t>
  </si>
  <si>
    <t>Befektetett pénzügyi eszközökből származó bevételek</t>
  </si>
  <si>
    <t>hitelviszonyt megtestesítő értékpapírok értékesítési nyeresége</t>
  </si>
  <si>
    <t>Működési célú garancia- és kezességvállalásból származó megtérülés ÁH-on kívülről</t>
  </si>
  <si>
    <t>Működési célú visszatérítendő támogatások, kölcsönök visszatérülése EU-tól</t>
  </si>
  <si>
    <t>Működési célú visszatérítendő támogatások, kölcsönök visszatérülése kormányoktól és más nemzetközi szervezetektől</t>
  </si>
  <si>
    <t>Működési célú visszatérítendő támogatások, kölcsönök visszatérülése ÁH-n kívülről</t>
  </si>
  <si>
    <t>Felhalmozási célú garancia- és kezességvállalásból származó megtérülés ÁH-on kívülről</t>
  </si>
  <si>
    <t>Felhalmozási célú visszatérítendő támogatások, kölcsönök visszatérülése EU-tól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</si>
  <si>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</si>
  <si>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állházt.-on kívülről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</si>
  <si>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</si>
  <si>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</si>
  <si>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</si>
  <si>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Egyéb felhalmozási célú támogatások állháztartáson kívülre</t>
  </si>
  <si>
    <t>Működési célú tartalék - Környezetvédelmi alap</t>
  </si>
  <si>
    <t>Időskorúak tartós bentlakásos ellátása</t>
  </si>
  <si>
    <t>Jánoshalma Városi Önkormányzat összesen:</t>
  </si>
  <si>
    <t>Család- és Gyermekjóléti Szolgálat</t>
  </si>
  <si>
    <t>Bölcsődei ellátás</t>
  </si>
  <si>
    <t>Bölcsődei étkeztetés</t>
  </si>
  <si>
    <t>Mötv. 13.§ (1) 9.</t>
  </si>
  <si>
    <t>Ttv. 2.§(2) Mötv. 13.§ (1) 12.</t>
  </si>
  <si>
    <t>Mötv. 13.§ (1) 2.</t>
  </si>
  <si>
    <t>Mötv. 13.§ (1) 11.</t>
  </si>
  <si>
    <t>Mötv. 13.§ (1) 19.</t>
  </si>
  <si>
    <t>Mötv. 13.§ (1) 5., 19.</t>
  </si>
  <si>
    <t>Mötv. 13.§ (1) 2., 11., 9., 12., 5.</t>
  </si>
  <si>
    <t xml:space="preserve">Mötv. 13.§ (1) 4.,  Eü tv. 5.§ (1) </t>
  </si>
  <si>
    <t>Mötv. 13.§ (1) 15.</t>
  </si>
  <si>
    <t>Mötv. 13.§ (1) 7., Közműv. tv. 64.§ (1)</t>
  </si>
  <si>
    <t>Mötv. 13.§ (1) 7., Közműv. tv. 73.§ (2)</t>
  </si>
  <si>
    <t>Szoc. tv. 86.§ (1) b,</t>
  </si>
  <si>
    <t>Mötv. 13.§ (1)13.</t>
  </si>
  <si>
    <t>Mötv. 13.§ (1) 13.</t>
  </si>
  <si>
    <t>Mötv. 13.§ (1) 6.</t>
  </si>
  <si>
    <t>Család- és nővédelmi egészségügyi gondozás (Védőnői Szolg.)</t>
  </si>
  <si>
    <t>Gyvt. 21/A § (3)</t>
  </si>
  <si>
    <t xml:space="preserve">Mötv. 13.§ (1) 8a, Szoc. tv.  45.§, 48.§ </t>
  </si>
  <si>
    <t>Gyvt. 40. §</t>
  </si>
  <si>
    <t>Gyvt. 94. § (3a)</t>
  </si>
  <si>
    <t xml:space="preserve">Gyvt. 38/A § </t>
  </si>
  <si>
    <t>Gyvt. 21/C § (1)</t>
  </si>
  <si>
    <t xml:space="preserve">200/2016.(XII.15.) Kt. hat. Kiskunhalas - Jánoshalma - Mélykút kerékpárút Jánoshalma közigazgatási területét érintő szakaszának tervezési munkái - VIA Futura Mérnöki Tanácsadó és Szolgáltató Kft </t>
  </si>
  <si>
    <t>- Szakmai munkatárs</t>
  </si>
  <si>
    <t>RGYVK-hoz kapcs. természetbeni juttatás (Erzsébet utalvány) megtérítése</t>
  </si>
  <si>
    <t>Felhalmozási célú maradvány igénybevétele</t>
  </si>
  <si>
    <t>Készletértékesítés (búza, kukorica stb.)</t>
  </si>
  <si>
    <t>Naperőmű által termelt többlet energia értékesítésének bevétele</t>
  </si>
  <si>
    <t>Közvetített szolgáltatások értéke</t>
  </si>
  <si>
    <t>Kamatbevétel</t>
  </si>
  <si>
    <t>Működési célú maradvány igénybevétele</t>
  </si>
  <si>
    <t>Intézményi gyermekétkeztetési feladatok támogatása (iskolai étkeztetés)</t>
  </si>
  <si>
    <t>Intézményi gyermekétkeztetési feladatok támogatása (óvodai étkeztetés)</t>
  </si>
  <si>
    <t>Eü. Ágazat</t>
  </si>
  <si>
    <t>Családsegítő- és Gyermekjóléti Szolgálat, Családsegítő- és Gyermekjóléti Központ</t>
  </si>
  <si>
    <t>I.5.</t>
  </si>
  <si>
    <t>Polgármesteri illetmény támogatása</t>
  </si>
  <si>
    <t>II.1 (1)1,2</t>
  </si>
  <si>
    <t>II.1 (2)1,2</t>
  </si>
  <si>
    <t>Bölcsőde, minibölcsőde támogatása</t>
  </si>
  <si>
    <t>Felsőfokú végzettségű kisgyermeknevelők, szaktanácsadók bértámogatása</t>
  </si>
  <si>
    <t>Bölcsődei dajkák, középfokú végzettségű kisgyermeknevelők, szaktanácsadók bértámogatása</t>
  </si>
  <si>
    <t>Bölcsőde üzemeltetési támogatás</t>
  </si>
  <si>
    <t>Intézményi gyermekétkeztetés támogatása</t>
  </si>
  <si>
    <t>Étkeztetési feladatot ellátók után járó bértámogatás</t>
  </si>
  <si>
    <t>A rászoruló gyermekek szünidei étkeztetésének támogatása</t>
  </si>
  <si>
    <t xml:space="preserve">Jánoshalmi tagóvodák                          </t>
  </si>
  <si>
    <t>Gyermeklánc Óvoda és Bölcsőde, Család- és Gyermekjóléti Központ</t>
  </si>
  <si>
    <t>Bölcsődei csoport</t>
  </si>
  <si>
    <t>Felsőfokú végzettségű kisgyermeknevelő</t>
  </si>
  <si>
    <t>Középfokú végzettségű kisgyermeknevelő</t>
  </si>
  <si>
    <t>Bölcsődei dajka</t>
  </si>
  <si>
    <t>Gyermekház vezető</t>
  </si>
  <si>
    <t>Szakmai munkatárs</t>
  </si>
  <si>
    <t>- Esetmenedzser és tanácsadó</t>
  </si>
  <si>
    <t>- Esetmenedzser és tanácsadó (részfoglalk. napi 4 órában)</t>
  </si>
  <si>
    <t>- Szakmai vezető (részfoglalk. napi 4 órában)</t>
  </si>
  <si>
    <t>- MT hatálya alá tartozó munkavállaló</t>
  </si>
  <si>
    <t>Önkormányzati tisztségviselők</t>
  </si>
  <si>
    <t>Igazgatási tevékenység</t>
  </si>
  <si>
    <t>- Szociális segítő</t>
  </si>
  <si>
    <t>- Közfoglalkoztatási ügyintéző</t>
  </si>
  <si>
    <t>Gyermekétkeztetés</t>
  </si>
  <si>
    <t xml:space="preserve">- Könyvtáros                      </t>
  </si>
  <si>
    <t>- Művelődésszervező</t>
  </si>
  <si>
    <t>- Technikus</t>
  </si>
  <si>
    <t>- Adminisztrátor</t>
  </si>
  <si>
    <t>Bio- és megújuló energia felhasználás programelem</t>
  </si>
  <si>
    <t>Belterületi közutak karbantartása programelem</t>
  </si>
  <si>
    <t>Belvízelvezetés programelem</t>
  </si>
  <si>
    <t>Start-munka program - Téli közfoglalkoztatás</t>
  </si>
  <si>
    <t>Hosszabb időtartamú közfoglalkoztatás</t>
  </si>
  <si>
    <t>063020</t>
  </si>
  <si>
    <t>Víztermelés, -kezelés, -ellátás</t>
  </si>
  <si>
    <t>A gyermekek, fiatalok és családok életminőségét javító programok</t>
  </si>
  <si>
    <t>900090</t>
  </si>
  <si>
    <t>041232</t>
  </si>
  <si>
    <t>041233</t>
  </si>
  <si>
    <t>Óvodai étkeztetés</t>
  </si>
  <si>
    <t>Bölcsődei gyermek étkeztetés</t>
  </si>
  <si>
    <t>Közművelődés- hagyományos közösségi kult. értékek gondozása</t>
  </si>
  <si>
    <t>Mötv. 13.§ (1)12.</t>
  </si>
  <si>
    <t>Mötv. 13.§ (1)11,  21.</t>
  </si>
  <si>
    <t>Áht. 53/A. §</t>
  </si>
  <si>
    <t>Áht.</t>
  </si>
  <si>
    <t>2011. évi CXCV. törvény az államháztartásról</t>
  </si>
  <si>
    <t>Gyermeklánc Óvoda és Bölcsőde, Család- és Gyermekjóléti Központ összesen:</t>
  </si>
  <si>
    <t>Imre Z. Kult. K. és Könyvtár</t>
  </si>
  <si>
    <t>Bölcsőde támogatása</t>
  </si>
  <si>
    <t>"Jánoshalmi Művésztelep energetikai felújítása" projekt támogatása (VP)</t>
  </si>
  <si>
    <t>Ellátási díjak (ált. isk. étkezés)</t>
  </si>
  <si>
    <t>EFOP-1.4.2-16 Integrált térs. gyermekpr. "Együtt könnyebb" támogatása</t>
  </si>
  <si>
    <t>Köztemetés kiadásának megtérítése</t>
  </si>
  <si>
    <t>Könyvtári szolgáltatások ellenértéke</t>
  </si>
  <si>
    <t>Közművelődési szolgáltatások ellenértéke</t>
  </si>
  <si>
    <t xml:space="preserve">Támogatási szerződés szerinti bevételek, kiadások  (Ft)     </t>
  </si>
  <si>
    <t>évenkénti üteme</t>
  </si>
  <si>
    <t>Saját erő</t>
  </si>
  <si>
    <t>EU-s és hazai forrás együtt</t>
  </si>
  <si>
    <t>Források összesen</t>
  </si>
  <si>
    <t>Beruházási kiadások (elszámolható)</t>
  </si>
  <si>
    <t>Dologi kiadások (elszámolható)</t>
  </si>
  <si>
    <t xml:space="preserve">Saját erő </t>
  </si>
  <si>
    <t>Bér+járulék kiadások (elszámolható)</t>
  </si>
  <si>
    <t>Iparterület fejlesztése Jánoshalmán (TOP-1.1.1-15-BK1-2016-00006)</t>
  </si>
  <si>
    <t>Beruházási kiadások (nem elszámolható)</t>
  </si>
  <si>
    <t>Felújítási kiadások (elszámolható)</t>
  </si>
  <si>
    <t>Felújítási kiadások (nem elszámolható)</t>
  </si>
  <si>
    <t>Gyermekvédelmi pénzbeli és természetbeni ellátások</t>
  </si>
  <si>
    <t>Polgármesteri Hivatal igazgatási tevékenysége</t>
  </si>
  <si>
    <t>Imre Zoltán Művelődési Központ és Könyvtár</t>
  </si>
  <si>
    <t>Imre Zoltán Művelődési Központ és Könyvtár összesen:</t>
  </si>
  <si>
    <t>Imre Z. Műv. K. és Könyvtár</t>
  </si>
  <si>
    <t>Anyakönyvi szolgáltatás díjbevétele</t>
  </si>
  <si>
    <t>Nyitnikék Gyerekház EMMI-fejezeti támogatása</t>
  </si>
  <si>
    <t>Gyermeklánc Óvoda és Bölcsőde, Család- és Gyermekjóléti Központ kiadásai összesen:</t>
  </si>
  <si>
    <t>- Gazdasági ügyintéző (térítési díjak beszedése, étkezők nyilvántartása)</t>
  </si>
  <si>
    <t>- Technikai dolgozók  (2 fő részfoglalk. napi 4 órában)</t>
  </si>
  <si>
    <t>Jánoshalma Városi Önkormányzat 2019. évi költségvetésében tervezett köponti költségvetési támogatások</t>
  </si>
  <si>
    <t>a Magyarország 2019. évi központi költségvetéséről szóló 2018. évi L. törvény 2. sz. mellékletének jogcímei szerint</t>
  </si>
  <si>
    <t>Településüzemeltetéshez kapcsolódó feladatellátás alaptámogatása</t>
  </si>
  <si>
    <t>A zöldterület-gazdálkodással kapcsolatos feladatok ellátásának alaptámogatása</t>
  </si>
  <si>
    <t>Közvilágítás fenntartásának alaptámogatása</t>
  </si>
  <si>
    <t>Köztemető-fenntartással kapcsolatos feladatok alaptámogatása</t>
  </si>
  <si>
    <t>Közutak fenntartásának alaptámogatása</t>
  </si>
  <si>
    <t>A költségvetési szerveknél foglalkoztatottak 2018. évi áthúzódó és 2019. évi kompenzációja</t>
  </si>
  <si>
    <t>Alapfokú végzettségű pedagógus II. kategóriába sorolt óvodapedagógusok kiegészítő támogatása, akik a minősítést 2018.01.01-ig szerezték meg</t>
  </si>
  <si>
    <t>Alapfokú végzettségű pedagógus II. kategóriába sorolt óvodapedagógusok kiegészítő támogatása, akik a minősítést a 2019. január 1-jei átsorolással szerezték meg</t>
  </si>
  <si>
    <t>Alapfokú végzettségű mesterpedagógus kategóriába sorolt óvodapedagógusok kiegészítő támogatása, akik a minősítést 2018.01.01-ig szerezték meg</t>
  </si>
  <si>
    <t>Alapfokú végzettségű mesterpedagógus kategóriába sorolt óvodapedagógusok kiegészítő támogatása, akik a minősítést a 2019. január 1-jei átsorolással szerezték meg</t>
  </si>
  <si>
    <t>Szociális ágazati összevont pótlék és egészségügyi kiegészítő pótlék</t>
  </si>
  <si>
    <t>III.5.aa</t>
  </si>
  <si>
    <t>III.5.ab</t>
  </si>
  <si>
    <t xml:space="preserve">III.6. </t>
  </si>
  <si>
    <t>III.6. a (1)</t>
  </si>
  <si>
    <t>III.6. a (2)</t>
  </si>
  <si>
    <t>III.6.b</t>
  </si>
  <si>
    <t>IV.3</t>
  </si>
  <si>
    <t>Kulturális illetménypótlék</t>
  </si>
  <si>
    <t>Egyéb önkormányzati feladatok támogatása (beszámítás után)</t>
  </si>
  <si>
    <t>III.3.n</t>
  </si>
  <si>
    <t>Óvodai és iskolai szociális segítő tevékenység támogatása</t>
  </si>
  <si>
    <t>Jánoshalma Városi Önkormányzat és költségvetési szervei 2019. évi költségvetésének bevételi előirányzatai</t>
  </si>
  <si>
    <t>Jánoshalma Városi Önkormányzat és költségvetési szervei 2019. évi költségvetésének kiadási előirányzatai</t>
  </si>
  <si>
    <t>Egyéb műk. c. támogatások államháztartáson belülre</t>
  </si>
  <si>
    <t>Környezetvédelmi alap a 2019. évre tervezett talajterhelési díj bevételből</t>
  </si>
  <si>
    <t>A helyi önkormányzat által irányított költségvetési szervek 2019. évi költségvetési kiadásai feladatonként</t>
  </si>
  <si>
    <t>EFOP-3.9.2-16-2017-00057 "Járásokat összekötő humán kapacitások fejlesztése térségi szemléletben" projekt - 2 fő többletfeladat ellátása</t>
  </si>
  <si>
    <t xml:space="preserve">EFOP-3.3.2-16-2016-00284 "Kultúrával az oktatás színesítéséért" projekt </t>
  </si>
  <si>
    <t>Óvodai nevelés</t>
  </si>
  <si>
    <t xml:space="preserve">EFOP-3.2.9-16-2016-00044 "Segítsd, hogy segíthessen!" c. projekt </t>
  </si>
  <si>
    <t xml:space="preserve">EFOP-3.9.2-16-2017-00057 "Járásokat összekötő humán kapacitások fejlesztése térségi szemléletben" c. projekt </t>
  </si>
  <si>
    <t>EFOP-1.5.3-16-2017-00082 "Együtt vagyunk, otthon vagyunk és itt maradunk" c. projekt - 2 fő alkalmazása a Család- és Gyermekjóléti Szolgálatnál</t>
  </si>
  <si>
    <t>Jánoshalma Városi Önkormányzat  2019. évi költségvetési kiadásai feladatonként</t>
  </si>
  <si>
    <t>Műk. célú tám. ÁH-on belülre</t>
  </si>
  <si>
    <t>Szektorhoz nem köthető komplex gazdaságfejlesztési projektek</t>
  </si>
  <si>
    <t>Szennyvízcsatorna építése, fenntartása, üzemeltetése</t>
  </si>
  <si>
    <t>Környezetszennyezés csökkentésének igazgatása</t>
  </si>
  <si>
    <t>Településfejlesztési projektek és támogatásuk</t>
  </si>
  <si>
    <t>Üdülői szálláshely-szolgálttás és étkeztetés</t>
  </si>
  <si>
    <t>Közművelődés- közösségi és társadalmi részvétel fejlesztése</t>
  </si>
  <si>
    <t>Óvodai nevelés, ellátás működtetési feladatai</t>
  </si>
  <si>
    <t>Iskolarendszeren kívüli egyéb oktatás, képzés</t>
  </si>
  <si>
    <t>Idősek nappali ellátása</t>
  </si>
  <si>
    <t>Hajléktalanok átmeneti ellátása éjjeli menedékhelyen</t>
  </si>
  <si>
    <t>107013</t>
  </si>
  <si>
    <t>107015</t>
  </si>
  <si>
    <t>Hajléktalanok nappali ellátása - Nappali melegedő</t>
  </si>
  <si>
    <t>107052</t>
  </si>
  <si>
    <t>Házi segítségnyújtás</t>
  </si>
  <si>
    <t>107080</t>
  </si>
  <si>
    <t>Esélyegyenlőség elősegítését célzó tevékenységek és programok</t>
  </si>
  <si>
    <t>36</t>
  </si>
  <si>
    <t>37</t>
  </si>
  <si>
    <t>38</t>
  </si>
  <si>
    <t>39</t>
  </si>
  <si>
    <t>40</t>
  </si>
  <si>
    <t>41</t>
  </si>
  <si>
    <t>42</t>
  </si>
  <si>
    <t>43</t>
  </si>
  <si>
    <t>047450</t>
  </si>
  <si>
    <t>053010</t>
  </si>
  <si>
    <t>062020</t>
  </si>
  <si>
    <t>082061</t>
  </si>
  <si>
    <t>082091</t>
  </si>
  <si>
    <t>095020</t>
  </si>
  <si>
    <t>102031</t>
  </si>
  <si>
    <t>2019. évi felhalmozási kiadások feladatonként, felújítási kiadások célonként</t>
  </si>
  <si>
    <t>Q</t>
  </si>
  <si>
    <t>Polgármesteri Hivatal udvarán garázs kialakítás</t>
  </si>
  <si>
    <t>Polgármesteri Hivatal festése, ablakcsere</t>
  </si>
  <si>
    <t>Start-munka program -Téli közfoglalkoztatás - Hulladékgyűjtő konténer beszerzés</t>
  </si>
  <si>
    <t>Vízkárelhárítási terv</t>
  </si>
  <si>
    <t>Csatorna beruházáshoz kapcsolódó visszatérítés (háztartásoknak, vállalkozásoknak)</t>
  </si>
  <si>
    <t>TOP-3.2.1-16-BK1-2017-00059 "Jánoshalma Polgármesteri Hivatal energetikai rendszerek korszerűsítése" c. projekt kiadásai</t>
  </si>
  <si>
    <t>TOP-1.1.1-15-BK1-2016-00006 - "Iparterület fejlesztése Jánoshalmán" c. projekt kiadásai</t>
  </si>
  <si>
    <t>TOP-1.1.2-16-BK1 -2017-00005 "Jánoshalma térségi szerepének erősítése a mezőgazdaságban" c. projekt kiadásai</t>
  </si>
  <si>
    <t>TOP-1.1.3-16-BK1 -2017-00007  "Agrárlogisztikai központ építése Jánoshalmán c. projekt kiadásai</t>
  </si>
  <si>
    <t>TOP-2.1.3-16-BK1 -2017 - 00010  "Jánoshalma belvíz elvezetése I. ütem" c. projekt kiadásai</t>
  </si>
  <si>
    <t xml:space="preserve">120/2018.(VII.18.) Kt. hat. alapján  önerő maradvány - a Konyhafejlesztési VP 6-7.2.1-7.4.1.3-17 kódszámú pályázathoz </t>
  </si>
  <si>
    <t>224/2017.(XII.14) Kt. hat.  és 17/2018(I.25) Kt. határozatok alapján önerő maradvány a VP6-19.2.1-32-1-17  "Települések élhetőbbé tétele" c. pályázathoz (gépjármű tároló építése a Mélykúti u. 7. sz. alatt)</t>
  </si>
  <si>
    <t>TOP-2.1.2-16-BK1 - "Zöld tér felújítása Jánoshalmán" c. projekt kiadásai</t>
  </si>
  <si>
    <t>51/2016.(III.24.) Kt. hat. VP-6-7.4.1.1-16 "Jánoshalmi Művésztelep energetikai felújítása" projekt pályázati  önerő és támogatás kiadási maradványa</t>
  </si>
  <si>
    <t>Viziközművek fejlesztése a viziközművek 2019. évi bérleti díj bevételéből és a Viziközmű fejlesztési tartalékból</t>
  </si>
  <si>
    <t>Rendezési Terv ("Jánoshalma város településfejlesztési koncepció, új településrendezési eszközök elkészítése" Városökológia Bt.)</t>
  </si>
  <si>
    <t>Energiamegtakarítási intézkedési terv</t>
  </si>
  <si>
    <t>Jánoshalmi Művésztelep (Kossuth u. 5.sz.) - 2 db ágy, 2 db ruhás szekrény, 5 db asztal, 15 db szék beszerzése</t>
  </si>
  <si>
    <t>63/2018.(IV.26.) Kt. hat. Radnóti utcai óvoda energetikai felújítása (önerő és központi támogatás)</t>
  </si>
  <si>
    <t>EFOP-1.4.2-16-2016 - 00020  "Együtt a közösségeinkért" c. projekt kiadásai</t>
  </si>
  <si>
    <t>EFOP-1.5.3-16-2017-00082  "Együtt vagyunk, otthon vagyunk és itt maradunk" c. projekt kiadásai</t>
  </si>
  <si>
    <t>EFOP-1.5.3-16-2017-00082  "Együtt vagyunk, otthon vagyunk és itt maradunk" c. projekt felújítási kiadásai</t>
  </si>
  <si>
    <t>Számítógép, monitor, további eszközbeszerzések</t>
  </si>
  <si>
    <t>Hordozható mikrofon, kontroll hangfal, fénytechnika</t>
  </si>
  <si>
    <t>Óvodai nevelés beruházási kiadásai - Panda vírusírtó 10.000 Ft + Áfa /gép - (Jánoshalmi óvoda 9 gép, Nyitnikék Gyerekház 2 gép); óvodai ágyak 25 db; 1 db ágytároló szekrény; takarítógép</t>
  </si>
  <si>
    <t xml:space="preserve"> Család- és Gyermekjóléti Központ beruházási kiadásai - Panda vírusirtó; ventillátorok irodánként</t>
  </si>
  <si>
    <t xml:space="preserve"> Család- és Gyermekjóléti Szolgálat beruházási kiadásai - 3 fő részére íróasztal, szék és ventilátor az irodába; Panda vírusirtó 7 gépre</t>
  </si>
  <si>
    <t>EFOP-3.3.2-16-2016-00284  "Kultúrával az oktatás színesítéséért" c. projekt kiadásai</t>
  </si>
  <si>
    <t>Jánoshalma Városi Önkormányzat és költségvetési szerveinek 2019. évi költségvetési kiadásai kötelező-, önként vállalt-, és állami (államigazgatási) feladatok szerinti bontásban</t>
  </si>
  <si>
    <t>Mötv. 13.§ (1) 11. 21.</t>
  </si>
  <si>
    <t>Mötv. 13.§ (1) 1. 7. 9. 14.</t>
  </si>
  <si>
    <t>013320</t>
  </si>
  <si>
    <t>Köztemető-fenntartás és működtetés</t>
  </si>
  <si>
    <t>44</t>
  </si>
  <si>
    <t>Üdülői szálláshely szolgáltatás és étkeztetés</t>
  </si>
  <si>
    <t>Közművelődés-közösségi és társadalmi részvétel fejlesztése</t>
  </si>
  <si>
    <t>Szoc. tv. 86.§ (1) d,</t>
  </si>
  <si>
    <t>Hajléktalanok átmeneti ellátása - éjjeli menedékhelyen</t>
  </si>
  <si>
    <t>Hajléktalanok nappali ellátása</t>
  </si>
  <si>
    <t>Mötv. 13.§ (1) 10.</t>
  </si>
  <si>
    <t>Szoc. tv. 86.§ (1) c,</t>
  </si>
  <si>
    <t>45</t>
  </si>
  <si>
    <t>46</t>
  </si>
  <si>
    <t xml:space="preserve">Óvodai nevelés, ellátás </t>
  </si>
  <si>
    <t>Jánoshalma Városi Önkormányzat  és költségvetési szerveinek 2019. évi költségvetési bevételei és  kiadásai kötelező-, önként vállalt-, és állami (államigazgatási) feladatok szerinti bontásban</t>
  </si>
  <si>
    <t>Intézményi gyermekétkeztetési feladatok támogatása (bölcsődei étkeztetés)</t>
  </si>
  <si>
    <t>Startmunka programok műk. c. támogatása</t>
  </si>
  <si>
    <t>Hosszabb időtartamú közfogl. műk. c.  tám.</t>
  </si>
  <si>
    <t>Startmunka programok felh. c. támogatása</t>
  </si>
  <si>
    <t>TOP-3.2.1.-16 Polg. Hiv. energetikai korsz. projekt, TOP-2.1.2-16 "Zöld tér felújítása projekt, TOP-2.1.3-16 "Jh. belvíz elvezetése I. ütem" c. projekt és VP 6-7.2.1-7.4.1.3-17  Konyhafejlesztési pályázat támogatása</t>
  </si>
  <si>
    <t>VP6-7.2.1-7.4.1.2-16 kódsz. önk-i utak karbantartásához gép beszerzés támogatása</t>
  </si>
  <si>
    <t>EFOP-3.3.2-16-2016-00284 "Kulturával az oktatás színesítéséért"pr.műk. c.támogatása</t>
  </si>
  <si>
    <t>EFOP-3.3.2-16-2016-00284 "Kulturával az oktatás színesítéséért"pr. felh. c.  támogatása</t>
  </si>
  <si>
    <t>A 2019. évi költségvetésben tervezett, EU-forrásból finanszírozott  támogatással megvalósuló projektek kiadásai, a helyi önkormányzat ilyen projektekhez történő hozzájárulásai</t>
  </si>
  <si>
    <t>Jánoshalma Városi Önkormányzat ASP központhoz való csatlakozása (KÖFOP-1.2.1-VEKOP-16-2017-00938)</t>
  </si>
  <si>
    <t>Integrált térségi gyermekprogramok  - "Együtt könnyebb" komplex prevenciós és társadalmi felzárkóztató program a gyermekszegénység ellen (EFOP-1.4.2-16-2016-00020)</t>
  </si>
  <si>
    <t>"Együtt vagyunk, otthon vagyunk és itt maradunk" c. projekt (EFOP-1.5.3-16-2017-00082)</t>
  </si>
  <si>
    <t xml:space="preserve">"Járásokat összekötő humán kapacitások fejlesztése térségi szemléletben" c. projekt (EFOP-3.9.2-16-2017-00057) </t>
  </si>
  <si>
    <t>Támogatás (elszámolható)</t>
  </si>
  <si>
    <t xml:space="preserve">"Kulturával az oktatás színesítéséért" c. projekt (EFOP-3.3.2-16-2016-00284) </t>
  </si>
  <si>
    <t>Jánoshalma térségi szerepének erősítése a mg-ban (TOP-1.1.2-16-BK1-2017-00005)</t>
  </si>
  <si>
    <t>Agrárlogisztikai központ építése Jánoshalmán (TOP-1.1.3-16-BK1-2017-00007)</t>
  </si>
  <si>
    <t>Zöld tér felújítása Jánoshalmán (TOP-2.1.2-16-BK1-2017-00003)</t>
  </si>
  <si>
    <t>Jánoshalma belvíz elvezetése I. ütem (TOP-2.1.3-16-BK1-2017-00010)</t>
  </si>
  <si>
    <t>Jánoshalma Polgármesteri Hivatal energetikai rendszerek korszerűsítése (TOP-3.2.1-16-BK1-2017-00059)</t>
  </si>
  <si>
    <t>Együtt a közösségeinkért (TOP-5.3.1-16-BK1-2017-00015) Hajós- Jánoshalma- Borota- Kéleshalom konzorciumban</t>
  </si>
  <si>
    <t>"Segítsd, hogy segíthessen!" c. projekt (EFOP-3.2.9-16-2016-00044)</t>
  </si>
  <si>
    <t>2019. évi költségvetésben tervezett 2018. évi maradvány igénybevétel</t>
  </si>
  <si>
    <t xml:space="preserve">2019. évi költségvetésben tervezett bevételi előirányzatok    </t>
  </si>
  <si>
    <t xml:space="preserve">2019. évi költségvetésben tervezett kiadási előirányzatok   </t>
  </si>
  <si>
    <t>"Közétkeztetés fejlesztése" (Vidékfejlesztési Program VP6-7.2.1-7.4.1.3-17)</t>
  </si>
  <si>
    <t>"A Jánoshalmi Művésztelep energetikai felújítása" (Vidékfejlesztési Program VP6-7.2.1-7.4.1.1-16)</t>
  </si>
  <si>
    <t>"Önkormányzati utak karbantartásához szükséges erő- és munkagépek beszerzése" (Vidékfejlesztési Program VP6-7.2.1-7.4.1.2-16)</t>
  </si>
  <si>
    <t>Bér+járulék kiadások (elszámolható) Polgármesteri Hivatalnál</t>
  </si>
  <si>
    <t>Bér+járulék kiadások (elszámolható) Gyermekjóléti Szolgálatnál</t>
  </si>
  <si>
    <t>EFOP-1.4.2-16-2016-00020 "Együtt könnyebb" komplex prevenciós és társadalmi felzárkóztató program a gyermekszegénység ellen (GYEP-II.)</t>
  </si>
  <si>
    <t>- Szakterületi koordinátor  / és Coach (1 fő napi 4 órában/ heti 20 órában)</t>
  </si>
  <si>
    <t>EFOP-1.5.3-16-2017-00082 "Együtt vagyunk, otthon vagyunk és itt maradunk" projekt</t>
  </si>
  <si>
    <t>Szakmai vezető</t>
  </si>
  <si>
    <t>Ifjúsági referens</t>
  </si>
  <si>
    <t>Közösségszervező</t>
  </si>
  <si>
    <t>Közösség szervező munkatárs</t>
  </si>
  <si>
    <t>TOP-5.3.1-16-BK1-2017-00015 "Együtt a közösségeinkért" projekt</t>
  </si>
  <si>
    <t>Közösségfejlesztő</t>
  </si>
  <si>
    <t>EFOP-3.9.2-16-2017-00057 "Járásokat összekötő humán kapacitások fejlesztése térségi szemléletben" projekt</t>
  </si>
  <si>
    <t>EFOP-3.3.2-16-2016-00284 "Kultúrával az oktatás színesítéséért" projekt</t>
  </si>
  <si>
    <t>Start-munka program - Téli közfoglalkoztatás (2018. évről áthúzódó programok 2019.02.28-ig)</t>
  </si>
  <si>
    <t>Illegális hulladéklerakó-helyek felszámolása programelem</t>
  </si>
  <si>
    <t>Hosszabb időtartamú közfoglalkoztatás (2018. évről áthúzódó programok 2019.02.28-ig)</t>
  </si>
  <si>
    <t xml:space="preserve">23 fő álláskereső közfoglalkoztatása </t>
  </si>
  <si>
    <t>Család- és Gyermekjóléti Központ (EFOP 3.2.9-16-2016-00044 pr.)</t>
  </si>
  <si>
    <t>Iskolarendszeren kívüli egyéb oktatás, képzés (EFOP-3.9.2-16-2017-00057 pr.)</t>
  </si>
  <si>
    <t>A települési önkormányzatok szociális feladatainak egyéb támogatása</t>
  </si>
  <si>
    <t>- Iskolai és óvodai szoc. segítő tev.</t>
  </si>
  <si>
    <t>EFOP-3.2.9-16-2016-00044 "Segítsd hogy segíthessen" projekt</t>
  </si>
  <si>
    <t>Szociális segítő</t>
  </si>
  <si>
    <t>Szociális segítő (1 fő részm. napi 4 óra)</t>
  </si>
  <si>
    <t>Fejlesztő pedagógus</t>
  </si>
  <si>
    <t>Fejlesztő pedagógus (2 fő nap 4 órában)</t>
  </si>
  <si>
    <t>Kiegészítő fejlesztés zeneovi és angol (2 fő heti 2 és 1 órában)</t>
  </si>
  <si>
    <t>Gyógypedagógus (1 fő heti 10 órában)</t>
  </si>
  <si>
    <t>Szakmai koordinátor (1 fő heti 20 órában)</t>
  </si>
  <si>
    <t>Pénzügyi asszisztens (napi 4 óra)</t>
  </si>
  <si>
    <t>Nem elszámolható kiadásokra további önkormányzati forrás biztosítása</t>
  </si>
  <si>
    <t>- Önkormányzati EFOP-1.5.3-16-2017-00082 projekt 2 fő prevenciós munkatárs</t>
  </si>
  <si>
    <t>- Pénzügyi vezető (részm. napi 4 órában)</t>
  </si>
  <si>
    <t>- Projektmenedzser (részm. napi 4 órában)</t>
  </si>
  <si>
    <t xml:space="preserve">- Szakterületi koordinátor </t>
  </si>
  <si>
    <t>- Szakmai asszisztens (2 fő, ebből 1 fő napi 4 órában)</t>
  </si>
  <si>
    <t>Angol nyelvtanár (2 fő részm. napi 1 órában)</t>
  </si>
  <si>
    <t>Mentor  (4 fő részm. napi 1 órában)</t>
  </si>
  <si>
    <t xml:space="preserve">20 fő álláskereső közfoglalkoztatása </t>
  </si>
  <si>
    <t>Gyermeklánc Óvoda és Bölcsőde, Család- és Gyermekjóléti Központ  összesen:</t>
  </si>
  <si>
    <t>Működési célú tartalék - elektronikus közbeszerzés rendszerhasználati díja</t>
  </si>
  <si>
    <t>Céltartalék -elektr. közbesz. rendszer- haszn. díja</t>
  </si>
  <si>
    <t xml:space="preserve">16/2019.(I.24.) Kt. hat. alapján további 1 millió Ft-os keret a VP 6-7.2.1-7.4.1.3-17 kódszámú "Közétkeztetés fejlesztése" pályázat megvalósítása során felmerült plusz kiadásokhoz </t>
  </si>
  <si>
    <t>Imre Zoltán Művelődési Központ és Könyvtár kiadásai össz.:</t>
  </si>
  <si>
    <t>utak használata ellenében beszedett használati díj, pótdíj, elektr. útdíj</t>
  </si>
  <si>
    <t>Alaptevékenység maradványából képzett tartalék</t>
  </si>
  <si>
    <t>Vállalkozási tevékenység maradványából képzett tartalék</t>
  </si>
  <si>
    <t>Működési célú tartalék - EFOP-2-1-2-16-2018-00075 projekt tartaléka</t>
  </si>
  <si>
    <t>Önkormányzatok elszámolásai a központi költségvetéssel</t>
  </si>
  <si>
    <t>018010</t>
  </si>
  <si>
    <t>061040</t>
  </si>
  <si>
    <t>Telepszerű lakókörnyezetek felszámolását célzó programok</t>
  </si>
  <si>
    <t>Céltartalék -EFOP-2.1.2-16-2018-00075 pr. taraléka</t>
  </si>
  <si>
    <t>Alaptev. maradványból képzett tartalék</t>
  </si>
  <si>
    <t>Vállalk. maradv-ból képzett tartalék</t>
  </si>
  <si>
    <t>Céltartalék -Téli rezsi csökk. tartaléka</t>
  </si>
  <si>
    <t>24. Egészségügyi ellátás</t>
  </si>
  <si>
    <t>Európai Parlament tagjainak 2019. évi választása</t>
  </si>
  <si>
    <t>EFOP-1.4.2-16-2016-00020 "Együtt könnyebb" projekt - 1 fő többletfeladat ellátása</t>
  </si>
  <si>
    <t>Ve.</t>
  </si>
  <si>
    <t>2013. évi XXXVI.törvány a választási eljárásról</t>
  </si>
  <si>
    <t>47</t>
  </si>
  <si>
    <t>48</t>
  </si>
  <si>
    <t>EFOP-2.1.2-16-2018-00075  "Egy fedél alatt" c. pr. támogatása</t>
  </si>
  <si>
    <t>2019.évi és 2018. áthúzódó bérkompenzáció</t>
  </si>
  <si>
    <t>Szociális ágazati összevont pótlék</t>
  </si>
  <si>
    <t>Kulturális ágazati illetménypótlék</t>
  </si>
  <si>
    <t>Állami kv-ből megigényelt bérkiegyenlítő alap</t>
  </si>
  <si>
    <t xml:space="preserve">I.Szent István király szobor felállításának támogatása </t>
  </si>
  <si>
    <t xml:space="preserve">Európai Parlament tagjainak 2019. választására </t>
  </si>
  <si>
    <t>Hosszabb időtartamú közfoglalkoztatás (2019. március 1-től indult programok 2020.02.29-ig)</t>
  </si>
  <si>
    <t>Start-munka program - Téli közfoglalkoztatás (2019. március 1-től indult programok 2020.02.29-ig)</t>
  </si>
  <si>
    <t>48 fő álláskereső közfoglalkoztatása</t>
  </si>
  <si>
    <t>Szociális jellegű program programelem</t>
  </si>
  <si>
    <t>2019. márc. 1-től induló Start-munka program kisértékű tárgyi eszköz beszerzése</t>
  </si>
  <si>
    <t>EFOP-2.1.2-16-2018-00075  "Egy fedél alatt" c. projekt kiadásai</t>
  </si>
  <si>
    <t>3. melléklet jogcímei mindösszesen:</t>
  </si>
  <si>
    <t xml:space="preserve">I.12. </t>
  </si>
  <si>
    <t>Kiegyenlítő bérrendezési alap</t>
  </si>
  <si>
    <t xml:space="preserve">"Egy fedél alatt" c. projekt (EFOP-2.1.2-16-2018-00075) </t>
  </si>
  <si>
    <t>Tartalék (elszámolható)</t>
  </si>
  <si>
    <t>Környezetvédelmi alap (előző évek maradványa)</t>
  </si>
  <si>
    <t>Környezetvédelmi alap összesen:</t>
  </si>
  <si>
    <t>Céltartalék (működési) összesen:</t>
  </si>
  <si>
    <t>Elektronikus közbeszerzési eljárás során fizetendő rendszerhasználati díj összesen:</t>
  </si>
  <si>
    <t>2018. évi alaptevékenység maradványából tartalék képzés</t>
  </si>
  <si>
    <t>2018. évi maradványt terhelő kötelezettségek</t>
  </si>
  <si>
    <t>2018. évi vállalkozási tevékenység maradványából tartalék képzés</t>
  </si>
  <si>
    <t>54/2019.(IV.25) Kt. hat. Önk-i feladatellátást szolgáló fejlesztések támogatása pályázati önerő (Óvoda épület hőszigetelése)</t>
  </si>
  <si>
    <t>56/2019.(IV.25) Kt. hat. Főépítészi szerződés megkötése új Rendezési Terv készítéséhez</t>
  </si>
  <si>
    <t>58/2019.(IV.25) Kt. hat. Parkban lévő kutak vízjogi engedélyezési eljárása</t>
  </si>
  <si>
    <t>EFOP-2.1.2-16-2018-00075 "Egy fedél alatt" c. projekt tartaléka</t>
  </si>
  <si>
    <t>EFOP-2.1.2-16-2018-00075 "Egy fedél alatt" c. projekt tartaléka összesen:</t>
  </si>
  <si>
    <t>Téli rezsicsökkentési támogatás tartaléka (2018. évi maradvány)</t>
  </si>
  <si>
    <t>Téli rezsicsökkentési támogatás - 2019. évi felhasználás</t>
  </si>
  <si>
    <t>Téli rezsicsökkentési támogatás tartaléka összesen:</t>
  </si>
  <si>
    <t>Módosította, a 7/2019.(V.27.) ör. 4.§, Hatályos:2019. május 28.</t>
  </si>
  <si>
    <t>Módosította, a 7/2019.(V.27.) ör. 4.§, Hatályos: 2019. május 28.</t>
  </si>
  <si>
    <t>Módosította, a 9/2019.(IX.30.) ör. 4.§, Hatályos:2019. október 1.</t>
  </si>
  <si>
    <r>
      <t xml:space="preserve">1. melléklet a 2/2019.(II.18.) önkormányzati rendelethez </t>
    </r>
    <r>
      <rPr>
        <vertAlign val="superscript"/>
        <sz val="10"/>
        <color indexed="12"/>
        <rFont val="Times New Roman"/>
        <family val="1"/>
      </rPr>
      <t>11, 12</t>
    </r>
  </si>
  <si>
    <r>
      <t>2. melléklet a  2/2019.(II.18.)) önkormányzati rendelethez</t>
    </r>
    <r>
      <rPr>
        <vertAlign val="superscript"/>
        <sz val="10"/>
        <color indexed="30"/>
        <rFont val="Times New Roman"/>
        <family val="1"/>
      </rPr>
      <t xml:space="preserve"> </t>
    </r>
    <r>
      <rPr>
        <vertAlign val="superscript"/>
        <sz val="10"/>
        <color indexed="12"/>
        <rFont val="Times New Roman"/>
        <family val="1"/>
      </rPr>
      <t xml:space="preserve"> 13, 14</t>
    </r>
  </si>
  <si>
    <t>Jánoshalma Város Önkormányzat 2019. évi költségvetése működési és felhalmozási célú bontásban</t>
  </si>
  <si>
    <t>Bevételek</t>
  </si>
  <si>
    <t>Műk. célú</t>
  </si>
  <si>
    <t>Felh. célú</t>
  </si>
  <si>
    <t>B. Költségvetési bevételek (I.+...+IV.)</t>
  </si>
  <si>
    <t>A. Költségvetési kiadások (I.+...+IV.)</t>
  </si>
  <si>
    <t>I. Működési bevételek</t>
  </si>
  <si>
    <t>I. Működési kiadások</t>
  </si>
  <si>
    <t>1. Működési célú támogatások államháztartáson belülről</t>
  </si>
  <si>
    <t>1. Személyi juttatások</t>
  </si>
  <si>
    <t>1.1. Önkormányzatok működési támogatásai</t>
  </si>
  <si>
    <t>2. Munkaadót terhelő járulékok és szociális hozzájárulási adó</t>
  </si>
  <si>
    <t>1.2. Műk. c. visszatérítendő tám., kölcsönök v.térülése ÁH-on bel.</t>
  </si>
  <si>
    <t xml:space="preserve">3. Dologi kiadások </t>
  </si>
  <si>
    <t>1.3. Egyéb műk. c. támogatások bevételei állh.-on belülről</t>
  </si>
  <si>
    <t>4. Ellátottak pénzbeli juttatásai</t>
  </si>
  <si>
    <t>2. Közhatalmi bevételek</t>
  </si>
  <si>
    <t>5. Egyéb működési célú kiadások</t>
  </si>
  <si>
    <t>2.1. Helyi adók és adójellegű bevételek</t>
  </si>
  <si>
    <t xml:space="preserve">5.1. Elvonások és befizetések </t>
  </si>
  <si>
    <t>2.2. Termőföld bérbead.-ból szárm. jöv. utáni SZJA</t>
  </si>
  <si>
    <t>5.2. Műk. c. v.térítendő támog.-k, kölcs. nyújt. ÁH-on kívülre</t>
  </si>
  <si>
    <t>2.3. Belföldi gépjárművek adójának helyi önk-t megillető része</t>
  </si>
  <si>
    <t>5.3. Egyéb műk. célú támogatások államh.-on belülre</t>
  </si>
  <si>
    <t>2.4. Egyéb közhatalmi bevételek</t>
  </si>
  <si>
    <t>5.4. Egyéb műk. célú támogatások államh.-on kívülre</t>
  </si>
  <si>
    <t>3. Működési bevételek</t>
  </si>
  <si>
    <t>5.5. Tartalékok</t>
  </si>
  <si>
    <t>3.1. Készletértékesítés ellenértéke</t>
  </si>
  <si>
    <t>3.2. Szolgáltatások ellenértéke</t>
  </si>
  <si>
    <t>3.3. Közvetített szolgáltatások ellenértéke</t>
  </si>
  <si>
    <t>3.4. Tulajdonosi bevételek</t>
  </si>
  <si>
    <t>3.5. Ellátási díjak</t>
  </si>
  <si>
    <t>3.6. Kiszámlázott általános forgalmi adó</t>
  </si>
  <si>
    <t>3.7. Általános forgalmi adó visszatérítése</t>
  </si>
  <si>
    <t>3.8. Kamatbevételek</t>
  </si>
  <si>
    <t>3.9. Egyéb működési bevételek</t>
  </si>
  <si>
    <t>4. Működési célú átvett pénzeszközök</t>
  </si>
  <si>
    <t>4.1. Műk. c. vtérítendő támog., kölcsönök vtérülése állh.-on kív.</t>
  </si>
  <si>
    <t>4.2. Egyéb műk. c. átvett pénzeszközök</t>
  </si>
  <si>
    <t>II. Felhalmozási bevételek</t>
  </si>
  <si>
    <t>II. Felhalmozási kiadások</t>
  </si>
  <si>
    <t>1.Felhalm. célú támogatások államháztartáson belülről</t>
  </si>
  <si>
    <t>1. Beruházások</t>
  </si>
  <si>
    <t>1.1. Felhalmozási célú önkormányzati támogatások</t>
  </si>
  <si>
    <t>2. Felújítások</t>
  </si>
  <si>
    <t>1.2. Egyéb felh. c. támogatások bevételei államházt.-on belülről</t>
  </si>
  <si>
    <t>3. Egyéb felhalmozási célú kiadások</t>
  </si>
  <si>
    <t>2. Felhalmozási bevételek</t>
  </si>
  <si>
    <t>3.1. Felh. c. v.tér. tám. kölcs. nyújt. állh.-on belülre</t>
  </si>
  <si>
    <t>2.1. Immateriális javak értékesítése</t>
  </si>
  <si>
    <t>3.2. Felh. c. v.tér. tám. kölcs. törl. állh.-on belülre</t>
  </si>
  <si>
    <t>2.2. Ingatlanok értékesítése</t>
  </si>
  <si>
    <t>3.3. Egyéb felh. c. támogatások állh-on belülre</t>
  </si>
  <si>
    <t>2.3. Egyéb tárgyi eszközök értékesítése</t>
  </si>
  <si>
    <t>3.4. Felh. c. v.tér. tám. kölcs. nyújt. állh.-on kívülre</t>
  </si>
  <si>
    <t>2.4. Részesedések értékesítése</t>
  </si>
  <si>
    <t>3.5. Egyéb felh. c. támogatások állh-on kívülre</t>
  </si>
  <si>
    <t>3.  Felhalmozási célú átvett pénzeszközök</t>
  </si>
  <si>
    <t>3.1. Felh. c. visszatérít. támog., kölcsönök visszatér. ÁH-on kív.</t>
  </si>
  <si>
    <t>3.2. Egyéb felhalmozási célra átvett pénzeszközök</t>
  </si>
  <si>
    <t>B. Költségvetési bevételek és A. költségvetési kiadások összesítésének egyenlege (hiány/többlet):</t>
  </si>
  <si>
    <t>C. Költségvetési hiány belső finanszírozására szolgáló pénzforgalom nélküli bevételek</t>
  </si>
  <si>
    <t>III/a. Előző évek költségvetési maradványának igénybevétele</t>
  </si>
  <si>
    <t>III/b. Előző évek vállakozási maradványának igénybevétele</t>
  </si>
  <si>
    <t>D. Költségvetési hiány belső finanszírozását meghaladó összegének külső finanszírozására szolgáló bevételek</t>
  </si>
  <si>
    <t>E. Finanszírozási kiadások</t>
  </si>
  <si>
    <t>IV. Belföldi értékpapírok bevételei</t>
  </si>
  <si>
    <t>IV. Értékpapírok vásárlásának kiadása</t>
  </si>
  <si>
    <t>V. Hitel-, kölcsönfelvétel államháztartáson kívülről</t>
  </si>
  <si>
    <t>V. Hitelek törlesztése és kötvénykibocsátás kiadásai</t>
  </si>
  <si>
    <t>VI. Államháztartáson belüli megelőlegezések</t>
  </si>
  <si>
    <t>VI. Államháztartáson belüli megelőlegezések visszafizetése</t>
  </si>
  <si>
    <t>Kiadások mindösszesen:</t>
  </si>
  <si>
    <r>
      <t>3. melléklet a  2/2019.(II.18.).) önkormányzati rendelethez</t>
    </r>
    <r>
      <rPr>
        <vertAlign val="superscript"/>
        <sz val="11"/>
        <color indexed="30"/>
        <rFont val="Times New Roman CE"/>
        <family val="0"/>
      </rPr>
      <t xml:space="preserve"> </t>
    </r>
    <r>
      <rPr>
        <vertAlign val="superscript"/>
        <sz val="11"/>
        <color indexed="12"/>
        <rFont val="Times New Roman CE"/>
        <family val="0"/>
      </rPr>
      <t>15, 16</t>
    </r>
  </si>
  <si>
    <r>
      <t>4. melléklet a  2/2019.(II.18.) önkormányzati rendelethez</t>
    </r>
    <r>
      <rPr>
        <vertAlign val="superscript"/>
        <sz val="11"/>
        <color indexed="30"/>
        <rFont val="Times New Roman"/>
        <family val="1"/>
      </rPr>
      <t xml:space="preserve"> 17, 18</t>
    </r>
  </si>
  <si>
    <t>A helyi önkormányzati képviselők és a polgármesterek általános választása, valamint a nemzetiségi önkormányzati képviselők általános választása</t>
  </si>
  <si>
    <t>EFOP-1.5.3-16-2017-00082 "Együtt vagyunk, otthon vagyunk és itt maradunk" projekt - 2 fő többletfeladat ellátása</t>
  </si>
  <si>
    <t>Nyári diákmunka program</t>
  </si>
  <si>
    <r>
      <t>5. melléklet a  2/2019.(II.18.) önkormányzati rendelethez</t>
    </r>
    <r>
      <rPr>
        <vertAlign val="superscript"/>
        <sz val="11"/>
        <color indexed="30"/>
        <rFont val="Times New Roman"/>
        <family val="1"/>
      </rPr>
      <t xml:space="preserve"> 19, 20</t>
    </r>
  </si>
  <si>
    <r>
      <t>6. melléklet a  2/2019.(II.18.) önkormányzati rendelethez</t>
    </r>
    <r>
      <rPr>
        <vertAlign val="superscript"/>
        <sz val="10"/>
        <color indexed="30"/>
        <rFont val="Times New Roman"/>
        <family val="1"/>
      </rPr>
      <t xml:space="preserve"> 21, 22</t>
    </r>
  </si>
  <si>
    <t>Esélyegyenlőség elősegítését célzó tev. és progr. (EFOP-1.5.3-16-2017-00082 pr.)</t>
  </si>
  <si>
    <t>Lajtha L. Non-profit Kft. tám. elsz. visszatérítés</t>
  </si>
  <si>
    <t>Áfa visszatérítés</t>
  </si>
  <si>
    <t>Készletértékesítés (homok értékesítés)</t>
  </si>
  <si>
    <t>Önkormányzati feladatellátást szolgáló fejlesztések támogatása - Óvoda épület hőszigetelése</t>
  </si>
  <si>
    <t>Önkormányzati tűzoltóságok támogatása</t>
  </si>
  <si>
    <t>VP6-19.2.1-32-2-17 "Kulturális értékmegőrző rendezvények lebonyolítása" támogatása</t>
  </si>
  <si>
    <t>Jánoshalmi Polgármesteri Hivatal</t>
  </si>
  <si>
    <t>A helyi önk-i képviselők és a polgármesterek ált. választása és a nemzetiségi önk-i képviselők ált. választása</t>
  </si>
  <si>
    <t>Jánoshalmi Polgárm. Hiv. kiadásai össz.:</t>
  </si>
  <si>
    <t>Nyári diákmunka program támogatása</t>
  </si>
  <si>
    <t>2019. évi és 2018. évről áthúzódó bérkompenzáció</t>
  </si>
  <si>
    <t>Mentor vezető (részm. napi 4 órában)</t>
  </si>
  <si>
    <t>Mentor (10 fő részm. napi 2 órában)</t>
  </si>
  <si>
    <t>NYÁRI DIÁKMUNKÁSOK LÉTSZÁMA ÖSSZESEN:</t>
  </si>
  <si>
    <r>
      <t xml:space="preserve">8. melléklet a  2/2019.(II.18.) önkormányzati rendelethez </t>
    </r>
    <r>
      <rPr>
        <sz val="11"/>
        <color indexed="12"/>
        <rFont val="Times New Roman CE"/>
        <family val="0"/>
      </rPr>
      <t>25, 26</t>
    </r>
  </si>
  <si>
    <r>
      <t>9. melléklet a  2/2019.(II.18.) önkormányzati rendelethez</t>
    </r>
    <r>
      <rPr>
        <vertAlign val="superscript"/>
        <sz val="11"/>
        <color indexed="30"/>
        <rFont val="Times New Roman CE"/>
        <family val="0"/>
      </rPr>
      <t>27, 28</t>
    </r>
  </si>
  <si>
    <t>106/2019.(VII.18.) Kt. hat. alapján Közétkeztetési Kft. trafófejlesztése</t>
  </si>
  <si>
    <t>VP6-19.2.1-32-2-17 "Kulturális értékmegőrző rendezvények lebonyolítása" c. pályázat keretében a 2019. évi Jh-i Napok lebonyolításához fény- és hangtechnikai eszközök beszerzése</t>
  </si>
  <si>
    <t>ASP rendszer működtetéséhez szükséges eszközbeszerzés - 5 db USB igazolvány olvasó, router beszerzése</t>
  </si>
  <si>
    <t>Ételszállításhoz 20 literes duplafalú HGI badella beszerzése</t>
  </si>
  <si>
    <t xml:space="preserve">93/2019.(V.23.) Kt. hat. alapján további pénzügyi fedezet biztosítása a TOP-3.2.1-16-BK1-2017-00059 "Jánoshalma Polgármesteri Hivatal energetikai rendszerek korszerűsítése" c. projekt megvalósítása során felmerült plusz kiadásokhoz </t>
  </si>
  <si>
    <t>54/2019.(IV.25.) Kt. hat. Önk-i feladatellátást szolgáló fejlesztések támogatása-Óvoda épület hőszigetelése (önerő és központi támogatás)</t>
  </si>
  <si>
    <t>2 öltözőben a linóleum járólapra történő cseréje</t>
  </si>
  <si>
    <t>90/2019.(V.23) Kt. hat. Jh belvíz elvezetése I. ütem - közbeszerzési szakértő</t>
  </si>
  <si>
    <t xml:space="preserve">Elektronikus közbeszerzési eljárás során fizetendő rendszerhasználati díj </t>
  </si>
  <si>
    <t>5 db TOP projekt elektronikus közbeszerzési eljárás során fizetendő rendszerhasználati díja</t>
  </si>
  <si>
    <r>
      <t xml:space="preserve">10. melléklet a  2/2019.(II.18.) önkormányzati rendelethez </t>
    </r>
    <r>
      <rPr>
        <sz val="11"/>
        <color indexed="12"/>
        <rFont val="Times New Roman CE"/>
        <family val="0"/>
      </rPr>
      <t>29, 30</t>
    </r>
  </si>
  <si>
    <t xml:space="preserve">I.10. a, </t>
  </si>
  <si>
    <t>Önkormányzatok rendkívüli támogatása - önkormányzati tűzoltóságok támogatása</t>
  </si>
  <si>
    <t xml:space="preserve">II.2.a, </t>
  </si>
  <si>
    <t xml:space="preserve">Önkormányzati feladatellátást szolgáló fejlesztések - óvodafelújítás támogatása </t>
  </si>
  <si>
    <r>
      <t>11. melléklet a  2/2019.(II.18.) önkormányzati rendelethez</t>
    </r>
    <r>
      <rPr>
        <vertAlign val="superscript"/>
        <sz val="11"/>
        <color indexed="30"/>
        <rFont val="Times New Roman"/>
        <family val="1"/>
      </rPr>
      <t xml:space="preserve"> </t>
    </r>
    <r>
      <rPr>
        <vertAlign val="superscript"/>
        <sz val="11"/>
        <color indexed="12"/>
        <rFont val="Times New Roman"/>
        <family val="1"/>
      </rPr>
      <t>31, 32</t>
    </r>
  </si>
  <si>
    <t>Dologi kiadások (elszámolható) Fizetendő Áfa</t>
  </si>
  <si>
    <t>"Kulturális értékmegőrző rendezvények lebonyolítása" (Vidékfejlesztési Program VP6-19.2.1-32-2-17)</t>
  </si>
  <si>
    <t>Dologi kiadások (nem elszámolható)</t>
  </si>
  <si>
    <r>
      <t>12. melléklet a  2/2019.(II.18.) önkormányzati rendelethez</t>
    </r>
    <r>
      <rPr>
        <vertAlign val="superscript"/>
        <sz val="11"/>
        <color indexed="30"/>
        <rFont val="Times New Roman CE"/>
        <family val="0"/>
      </rPr>
      <t xml:space="preserve"> 33,34</t>
    </r>
  </si>
  <si>
    <r>
      <t>7. melléklet a  2/2019.(II.18.) önkormányzati rendelethez</t>
    </r>
    <r>
      <rPr>
        <vertAlign val="superscript"/>
        <sz val="11"/>
        <color indexed="30"/>
        <rFont val="Times New Roman"/>
        <family val="1"/>
      </rPr>
      <t xml:space="preserve"> 23, 24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</si>
</sst>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"/>
    <numFmt numFmtId="168" formatCode="#,##0.0\ &quot;Ft&quot;"/>
    <numFmt numFmtId="169" formatCode="#,##0.0\ _F_t"/>
    <numFmt numFmtId="170" formatCode="#,##0\ _F_t"/>
    <numFmt numFmtId="171" formatCode="#,##0.0"/>
    <numFmt numFmtId="172" formatCode="yyyy/\ mmmm\ d\."/>
    <numFmt numFmtId="173" formatCode="mmm/yyyy"/>
    <numFmt numFmtId="174" formatCode="[$-40E]yyyy\.\ mmmm\ d\."/>
    <numFmt numFmtId="175" formatCode="&quot;H-&quot;0000"/>
    <numFmt numFmtId="176" formatCode="0.0000"/>
    <numFmt numFmtId="177" formatCode="#,##0.0000"/>
    <numFmt numFmtId="178" formatCode="#,##0.00000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0\ [$CHF]"/>
    <numFmt numFmtId="183" formatCode="#,##0.00\ &quot;Ft&quot;"/>
    <numFmt numFmtId="184" formatCode="#,##0_ ;\-#,##0\ "/>
    <numFmt numFmtId="185" formatCode="_-* #,##0.000\ _F_t_-;\-* #,##0.000\ _F_t_-;_-* &quot;-&quot;??\ _F_t_-;_-@_-"/>
    <numFmt numFmtId="186" formatCode="_-* #,##0.0\ _F_t_-;\-* #,##0.0\ _F_t_-;_-* &quot;-&quot;??\ _F_t_-;_-@_-"/>
    <numFmt numFmtId="187" formatCode="_-* #,##0\ _F_t_-;\-* #,##0\ _F_t_-;_-* &quot;-&quot;??\ _F_t_-;_-@_-"/>
    <numFmt numFmtId="188" formatCode="[$€-2]\ #\ ##,000_);[Red]\([$€-2]\ #\ ##,000\)"/>
    <numFmt numFmtId="189" formatCode="#,##0\ [$CHF]"/>
    <numFmt numFmtId="190" formatCode="0.0000000%"/>
    <numFmt numFmtId="191" formatCode="0.000000%"/>
    <numFmt numFmtId="192" formatCode="[$¥€-2]\ #\ ##,000_);[Red]\([$€-2]\ #\ ##,000\)"/>
  </numFmts>
  <fonts count="12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b/>
      <sz val="9"/>
      <name val="Times New Roman CE"/>
      <family val="1"/>
    </font>
    <font>
      <sz val="9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9"/>
      <name val="Arial"/>
      <family val="2"/>
    </font>
    <font>
      <sz val="8"/>
      <name val="Arial CE"/>
      <family val="0"/>
    </font>
    <font>
      <b/>
      <sz val="13"/>
      <name val="Arial CE"/>
      <family val="2"/>
    </font>
    <font>
      <sz val="11"/>
      <name val="Arial CE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8"/>
      <color indexed="3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name val="Times New Roman CE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1"/>
      <name val="Times New Roman"/>
      <family val="1"/>
    </font>
    <font>
      <vertAlign val="superscript"/>
      <sz val="10"/>
      <color indexed="30"/>
      <name val="Times New Roman"/>
      <family val="1"/>
    </font>
    <font>
      <vertAlign val="superscript"/>
      <sz val="11"/>
      <color indexed="30"/>
      <name val="Times New Roman CE"/>
      <family val="0"/>
    </font>
    <font>
      <vertAlign val="superscript"/>
      <sz val="11"/>
      <color indexed="30"/>
      <name val="Times New Roman"/>
      <family val="1"/>
    </font>
    <font>
      <vertAlign val="superscript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8"/>
      <color indexed="40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56"/>
      <name val="Times New Roman"/>
      <family val="1"/>
    </font>
    <font>
      <b/>
      <sz val="12"/>
      <color indexed="60"/>
      <name val="Times New Roman"/>
      <family val="1"/>
    </font>
    <font>
      <sz val="9"/>
      <color indexed="12"/>
      <name val="Times New Roman"/>
      <family val="1"/>
    </font>
    <font>
      <vertAlign val="superscript"/>
      <sz val="11"/>
      <color indexed="12"/>
      <name val="Times New Roman CE"/>
      <family val="0"/>
    </font>
    <font>
      <sz val="9"/>
      <color indexed="12"/>
      <name val="Arial CE"/>
      <family val="0"/>
    </font>
    <font>
      <sz val="11"/>
      <color indexed="12"/>
      <name val="Times New Roman CE"/>
      <family val="0"/>
    </font>
    <font>
      <sz val="9"/>
      <color indexed="12"/>
      <name val="Times New Roman CE"/>
      <family val="0"/>
    </font>
    <font>
      <vertAlign val="superscript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  <font>
      <sz val="8"/>
      <color rgb="FF00B0F0"/>
      <name val="Times New Roman"/>
      <family val="1"/>
    </font>
    <font>
      <b/>
      <sz val="10"/>
      <color rgb="FF0070C0"/>
      <name val="Times New Roman"/>
      <family val="1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00FF"/>
      <name val="Times New Roman"/>
      <family val="1"/>
    </font>
    <font>
      <sz val="9"/>
      <color rgb="FF0000FF"/>
      <name val="Times New Roman"/>
      <family val="1"/>
    </font>
    <font>
      <sz val="9"/>
      <color rgb="FF0000FF"/>
      <name val="Arial CE"/>
      <family val="0"/>
    </font>
    <font>
      <sz val="9"/>
      <color rgb="FF0000FF"/>
      <name val="Times New Roman CE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thin"/>
      <bottom style="thick"/>
    </border>
    <border>
      <left/>
      <right style="medium"/>
      <top style="thin"/>
      <bottom style="thick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 style="thick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2" applyNumberFormat="0" applyFill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2" fillId="0" borderId="0" applyNumberFormat="0" applyFill="0" applyBorder="0" applyAlignment="0" applyProtection="0"/>
    <xf numFmtId="0" fontId="10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0" fillId="21" borderId="7" applyNumberFormat="0" applyFont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106" fillId="28" borderId="0" applyNumberFormat="0" applyBorder="0" applyAlignment="0" applyProtection="0"/>
    <xf numFmtId="0" fontId="107" fillId="29" borderId="8" applyNumberFormat="0" applyAlignment="0" applyProtection="0"/>
    <xf numFmtId="0" fontId="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0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30" borderId="0" applyNumberFormat="0" applyBorder="0" applyAlignment="0" applyProtection="0"/>
    <xf numFmtId="0" fontId="111" fillId="31" borderId="0" applyNumberFormat="0" applyBorder="0" applyAlignment="0" applyProtection="0"/>
    <xf numFmtId="0" fontId="112" fillId="29" borderId="1" applyNumberFormat="0" applyAlignment="0" applyProtection="0"/>
    <xf numFmtId="9" fontId="0" fillId="0" borderId="0" applyFont="0" applyFill="0" applyBorder="0" applyAlignment="0" applyProtection="0"/>
  </cellStyleXfs>
  <cellXfs count="13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4" fillId="0" borderId="13" xfId="61" applyNumberFormat="1" applyBorder="1" applyAlignment="1">
      <alignment vertical="center"/>
      <protection/>
    </xf>
    <xf numFmtId="3" fontId="14" fillId="0" borderId="0" xfId="61" applyNumberFormat="1">
      <alignment/>
      <protection/>
    </xf>
    <xf numFmtId="0" fontId="14" fillId="0" borderId="0" xfId="6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4" fillId="0" borderId="0" xfId="61" applyNumberFormat="1">
      <alignment/>
      <protection/>
    </xf>
    <xf numFmtId="0" fontId="28" fillId="0" borderId="0" xfId="0" applyFont="1" applyFill="1" applyAlignment="1">
      <alignment vertical="center"/>
    </xf>
    <xf numFmtId="0" fontId="17" fillId="0" borderId="0" xfId="57" applyFont="1">
      <alignment/>
      <protection/>
    </xf>
    <xf numFmtId="0" fontId="19" fillId="0" borderId="0" xfId="57" applyFont="1" applyBorder="1">
      <alignment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1" fillId="0" borderId="0" xfId="57" applyFont="1" applyAlignment="1">
      <alignment horizontal="center"/>
      <protection/>
    </xf>
    <xf numFmtId="0" fontId="12" fillId="0" borderId="0" xfId="0" applyFont="1" applyFill="1" applyAlignment="1">
      <alignment vertical="center"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22" fillId="0" borderId="13" xfId="0" applyFont="1" applyBorder="1" applyAlignment="1">
      <alignment horizontal="center"/>
    </xf>
    <xf numFmtId="0" fontId="22" fillId="32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2" fillId="0" borderId="0" xfId="0" applyFont="1" applyFill="1" applyAlignment="1">
      <alignment/>
    </xf>
    <xf numFmtId="49" fontId="22" fillId="0" borderId="13" xfId="61" applyNumberFormat="1" applyFont="1" applyBorder="1" applyAlignment="1">
      <alignment vertical="center"/>
      <protection/>
    </xf>
    <xf numFmtId="0" fontId="22" fillId="0" borderId="13" xfId="61" applyFont="1" applyBorder="1">
      <alignment/>
      <protection/>
    </xf>
    <xf numFmtId="0" fontId="22" fillId="0" borderId="10" xfId="61" applyFont="1" applyBorder="1" applyAlignment="1">
      <alignment wrapText="1"/>
      <protection/>
    </xf>
    <xf numFmtId="3" fontId="22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10" xfId="61" applyFont="1" applyBorder="1">
      <alignment/>
      <protection/>
    </xf>
    <xf numFmtId="3" fontId="22" fillId="0" borderId="0" xfId="61" applyNumberFormat="1" applyFont="1" applyAlignment="1">
      <alignment vertical="center"/>
      <protection/>
    </xf>
    <xf numFmtId="0" fontId="22" fillId="0" borderId="0" xfId="61" applyFont="1" applyAlignment="1">
      <alignment vertical="center"/>
      <protection/>
    </xf>
    <xf numFmtId="49" fontId="22" fillId="0" borderId="13" xfId="61" applyNumberFormat="1" applyFont="1" applyBorder="1" applyAlignment="1">
      <alignment horizontal="center" vertical="center"/>
      <protection/>
    </xf>
    <xf numFmtId="49" fontId="22" fillId="33" borderId="13" xfId="61" applyNumberFormat="1" applyFont="1" applyFill="1" applyBorder="1" applyAlignment="1">
      <alignment horizontal="center" vertical="center"/>
      <protection/>
    </xf>
    <xf numFmtId="0" fontId="22" fillId="33" borderId="13" xfId="61" applyFont="1" applyFill="1" applyBorder="1" applyAlignment="1">
      <alignment vertical="center"/>
      <protection/>
    </xf>
    <xf numFmtId="0" fontId="22" fillId="33" borderId="10" xfId="61" applyFont="1" applyFill="1" applyBorder="1" applyAlignment="1">
      <alignment vertical="center" wrapText="1"/>
      <protection/>
    </xf>
    <xf numFmtId="3" fontId="22" fillId="33" borderId="11" xfId="61" applyNumberFormat="1" applyFont="1" applyFill="1" applyBorder="1" applyAlignment="1">
      <alignment vertical="center"/>
      <protection/>
    </xf>
    <xf numFmtId="3" fontId="22" fillId="33" borderId="13" xfId="61" applyNumberFormat="1" applyFont="1" applyFill="1" applyBorder="1" applyAlignment="1">
      <alignment vertical="center"/>
      <protection/>
    </xf>
    <xf numFmtId="3" fontId="22" fillId="33" borderId="14" xfId="61" applyNumberFormat="1" applyFont="1" applyFill="1" applyBorder="1" applyAlignment="1">
      <alignment vertical="center"/>
      <protection/>
    </xf>
    <xf numFmtId="3" fontId="22" fillId="33" borderId="12" xfId="61" applyNumberFormat="1" applyFont="1" applyFill="1" applyBorder="1" applyAlignment="1">
      <alignment vertical="center"/>
      <protection/>
    </xf>
    <xf numFmtId="0" fontId="14" fillId="33" borderId="13" xfId="61" applyFill="1" applyBorder="1">
      <alignment/>
      <protection/>
    </xf>
    <xf numFmtId="0" fontId="22" fillId="33" borderId="13" xfId="61" applyFont="1" applyFill="1" applyBorder="1">
      <alignment/>
      <protection/>
    </xf>
    <xf numFmtId="0" fontId="22" fillId="32" borderId="1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/>
    </xf>
    <xf numFmtId="0" fontId="26" fillId="0" borderId="11" xfId="0" applyFont="1" applyBorder="1" applyAlignment="1">
      <alignment wrapText="1"/>
    </xf>
    <xf numFmtId="0" fontId="22" fillId="32" borderId="11" xfId="0" applyFont="1" applyFill="1" applyBorder="1" applyAlignment="1">
      <alignment vertical="center" wrapText="1"/>
    </xf>
    <xf numFmtId="49" fontId="26" fillId="0" borderId="11" xfId="0" applyNumberFormat="1" applyFont="1" applyBorder="1" applyAlignment="1">
      <alignment/>
    </xf>
    <xf numFmtId="49" fontId="26" fillId="0" borderId="11" xfId="0" applyNumberFormat="1" applyFont="1" applyBorder="1" applyAlignment="1">
      <alignment wrapText="1"/>
    </xf>
    <xf numFmtId="49" fontId="27" fillId="0" borderId="11" xfId="0" applyNumberFormat="1" applyFont="1" applyBorder="1" applyAlignment="1">
      <alignment/>
    </xf>
    <xf numFmtId="0" fontId="22" fillId="5" borderId="11" xfId="0" applyFont="1" applyFill="1" applyBorder="1" applyAlignment="1">
      <alignment wrapText="1"/>
    </xf>
    <xf numFmtId="0" fontId="29" fillId="0" borderId="16" xfId="61" applyFont="1" applyBorder="1" applyAlignment="1">
      <alignment horizontal="center" vertical="center" wrapText="1"/>
      <protection/>
    </xf>
    <xf numFmtId="3" fontId="22" fillId="33" borderId="17" xfId="61" applyNumberFormat="1" applyFont="1" applyFill="1" applyBorder="1" applyAlignment="1">
      <alignment vertical="center"/>
      <protection/>
    </xf>
    <xf numFmtId="3" fontId="113" fillId="0" borderId="0" xfId="61" applyNumberFormat="1" applyFont="1">
      <alignment/>
      <protection/>
    </xf>
    <xf numFmtId="3" fontId="113" fillId="0" borderId="0" xfId="61" applyNumberFormat="1" applyFont="1" applyAlignment="1">
      <alignment vertical="center"/>
      <protection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32" borderId="11" xfId="0" applyFont="1" applyFill="1" applyBorder="1" applyAlignment="1">
      <alignment vertical="center"/>
    </xf>
    <xf numFmtId="49" fontId="14" fillId="34" borderId="11" xfId="0" applyNumberFormat="1" applyFont="1" applyFill="1" applyBorder="1" applyAlignment="1">
      <alignment vertical="center" wrapText="1"/>
    </xf>
    <xf numFmtId="0" fontId="14" fillId="34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0" fontId="14" fillId="0" borderId="0" xfId="61" applyAlignment="1">
      <alignment/>
      <protection/>
    </xf>
    <xf numFmtId="166" fontId="17" fillId="0" borderId="13" xfId="0" applyNumberFormat="1" applyFont="1" applyBorder="1" applyAlignment="1">
      <alignment vertical="center"/>
    </xf>
    <xf numFmtId="166" fontId="18" fillId="0" borderId="13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3" fillId="0" borderId="13" xfId="58" applyFont="1" applyBorder="1">
      <alignment/>
      <protection/>
    </xf>
    <xf numFmtId="0" fontId="33" fillId="0" borderId="10" xfId="58" applyFont="1" applyBorder="1" applyAlignment="1">
      <alignment horizontal="left"/>
      <protection/>
    </xf>
    <xf numFmtId="0" fontId="33" fillId="0" borderId="12" xfId="58" applyFont="1" applyBorder="1" applyAlignment="1">
      <alignment horizontal="left"/>
      <protection/>
    </xf>
    <xf numFmtId="3" fontId="33" fillId="0" borderId="13" xfId="58" applyNumberFormat="1" applyFont="1" applyBorder="1">
      <alignment/>
      <protection/>
    </xf>
    <xf numFmtId="3" fontId="20" fillId="0" borderId="13" xfId="58" applyNumberFormat="1" applyFont="1" applyBorder="1">
      <alignment/>
      <protection/>
    </xf>
    <xf numFmtId="0" fontId="19" fillId="0" borderId="0" xfId="0" applyFont="1" applyAlignment="1">
      <alignment/>
    </xf>
    <xf numFmtId="0" fontId="34" fillId="0" borderId="13" xfId="58" applyFont="1" applyBorder="1">
      <alignment/>
      <protection/>
    </xf>
    <xf numFmtId="3" fontId="34" fillId="0" borderId="13" xfId="58" applyNumberFormat="1" applyFont="1" applyBorder="1">
      <alignment/>
      <protection/>
    </xf>
    <xf numFmtId="0" fontId="19" fillId="0" borderId="0" xfId="0" applyFont="1" applyFill="1" applyAlignment="1">
      <alignment vertical="center"/>
    </xf>
    <xf numFmtId="0" fontId="33" fillId="0" borderId="0" xfId="58" applyFont="1" applyFill="1" applyAlignment="1">
      <alignment horizontal="center" vertical="center"/>
      <protection/>
    </xf>
    <xf numFmtId="0" fontId="19" fillId="0" borderId="0" xfId="58" applyFont="1" applyFill="1" applyAlignment="1">
      <alignment vertical="center"/>
      <protection/>
    </xf>
    <xf numFmtId="0" fontId="17" fillId="0" borderId="0" xfId="0" applyFont="1" applyAlignment="1">
      <alignment/>
    </xf>
    <xf numFmtId="0" fontId="20" fillId="0" borderId="13" xfId="58" applyFont="1" applyBorder="1">
      <alignment/>
      <protection/>
    </xf>
    <xf numFmtId="3" fontId="37" fillId="0" borderId="13" xfId="58" applyNumberFormat="1" applyFont="1" applyBorder="1">
      <alignment/>
      <protection/>
    </xf>
    <xf numFmtId="0" fontId="38" fillId="0" borderId="13" xfId="58" applyFont="1" applyBorder="1">
      <alignment/>
      <protection/>
    </xf>
    <xf numFmtId="0" fontId="38" fillId="0" borderId="13" xfId="58" applyFont="1" applyBorder="1" applyAlignment="1">
      <alignment horizontal="left"/>
      <protection/>
    </xf>
    <xf numFmtId="3" fontId="38" fillId="0" borderId="13" xfId="58" applyNumberFormat="1" applyFont="1" applyBorder="1">
      <alignment/>
      <protection/>
    </xf>
    <xf numFmtId="0" fontId="19" fillId="0" borderId="13" xfId="58" applyFont="1" applyBorder="1">
      <alignment/>
      <protection/>
    </xf>
    <xf numFmtId="0" fontId="38" fillId="0" borderId="13" xfId="58" applyFont="1" applyBorder="1" applyAlignment="1">
      <alignment horizontal="right"/>
      <protection/>
    </xf>
    <xf numFmtId="0" fontId="38" fillId="0" borderId="10" xfId="58" applyFont="1" applyBorder="1" applyAlignment="1">
      <alignment horizontal="left"/>
      <protection/>
    </xf>
    <xf numFmtId="0" fontId="38" fillId="0" borderId="12" xfId="58" applyFont="1" applyBorder="1" applyAlignment="1">
      <alignment horizontal="left"/>
      <protection/>
    </xf>
    <xf numFmtId="0" fontId="19" fillId="0" borderId="10" xfId="58" applyFont="1" applyBorder="1">
      <alignment/>
      <protection/>
    </xf>
    <xf numFmtId="0" fontId="19" fillId="0" borderId="0" xfId="58" applyFont="1">
      <alignment/>
      <protection/>
    </xf>
    <xf numFmtId="3" fontId="20" fillId="0" borderId="10" xfId="58" applyNumberFormat="1" applyFont="1" applyBorder="1">
      <alignment/>
      <protection/>
    </xf>
    <xf numFmtId="3" fontId="19" fillId="0" borderId="15" xfId="58" applyNumberFormat="1" applyFont="1" applyBorder="1">
      <alignment/>
      <protection/>
    </xf>
    <xf numFmtId="3" fontId="20" fillId="0" borderId="12" xfId="58" applyNumberFormat="1" applyFont="1" applyBorder="1">
      <alignment/>
      <protection/>
    </xf>
    <xf numFmtId="3" fontId="16" fillId="0" borderId="13" xfId="58" applyNumberFormat="1" applyFont="1" applyBorder="1">
      <alignment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9" fillId="0" borderId="13" xfId="0" applyFont="1" applyBorder="1" applyAlignment="1">
      <alignment/>
    </xf>
    <xf numFmtId="3" fontId="39" fillId="0" borderId="13" xfId="0" applyNumberFormat="1" applyFont="1" applyBorder="1" applyAlignment="1">
      <alignment/>
    </xf>
    <xf numFmtId="0" fontId="40" fillId="0" borderId="0" xfId="0" applyFont="1" applyAlignment="1">
      <alignment/>
    </xf>
    <xf numFmtId="0" fontId="33" fillId="0" borderId="13" xfId="0" applyFont="1" applyBorder="1" applyAlignment="1">
      <alignment/>
    </xf>
    <xf numFmtId="3" fontId="33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34" fillId="0" borderId="13" xfId="0" applyFont="1" applyBorder="1" applyAlignment="1">
      <alignment/>
    </xf>
    <xf numFmtId="3" fontId="34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horizontal="left"/>
    </xf>
    <xf numFmtId="3" fontId="38" fillId="0" borderId="13" xfId="0" applyNumberFormat="1" applyFont="1" applyBorder="1" applyAlignment="1">
      <alignment/>
    </xf>
    <xf numFmtId="3" fontId="42" fillId="0" borderId="13" xfId="0" applyNumberFormat="1" applyFont="1" applyBorder="1" applyAlignment="1">
      <alignment/>
    </xf>
    <xf numFmtId="0" fontId="23" fillId="0" borderId="13" xfId="0" applyFont="1" applyBorder="1" applyAlignment="1">
      <alignment/>
    </xf>
    <xf numFmtId="0" fontId="38" fillId="0" borderId="13" xfId="0" applyFont="1" applyBorder="1" applyAlignment="1">
      <alignment horizontal="left" vertical="center" wrapText="1"/>
    </xf>
    <xf numFmtId="3" fontId="38" fillId="35" borderId="13" xfId="0" applyNumberFormat="1" applyFont="1" applyFill="1" applyBorder="1" applyAlignment="1">
      <alignment/>
    </xf>
    <xf numFmtId="0" fontId="38" fillId="0" borderId="13" xfId="0" applyFont="1" applyBorder="1" applyAlignment="1">
      <alignment horizontal="left" vertical="top"/>
    </xf>
    <xf numFmtId="0" fontId="38" fillId="0" borderId="13" xfId="0" applyFont="1" applyBorder="1" applyAlignment="1">
      <alignment horizontal="left" wrapText="1"/>
    </xf>
    <xf numFmtId="0" fontId="43" fillId="0" borderId="13" xfId="0" applyFont="1" applyBorder="1" applyAlignment="1">
      <alignment/>
    </xf>
    <xf numFmtId="3" fontId="43" fillId="0" borderId="13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right"/>
    </xf>
    <xf numFmtId="3" fontId="45" fillId="0" borderId="13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3" fontId="20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5" fillId="0" borderId="0" xfId="0" applyFont="1" applyAlignment="1">
      <alignment/>
    </xf>
    <xf numFmtId="0" fontId="47" fillId="0" borderId="13" xfId="58" applyFont="1" applyBorder="1" applyAlignment="1">
      <alignment horizontal="left"/>
      <protection/>
    </xf>
    <xf numFmtId="49" fontId="33" fillId="0" borderId="0" xfId="60" applyNumberFormat="1" applyFont="1" applyFill="1" applyAlignment="1">
      <alignment horizontal="center" vertical="center"/>
      <protection/>
    </xf>
    <xf numFmtId="0" fontId="33" fillId="0" borderId="0" xfId="60" applyFont="1" applyFill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60" applyFont="1" applyAlignment="1">
      <alignment horizontal="left"/>
      <protection/>
    </xf>
    <xf numFmtId="3" fontId="34" fillId="35" borderId="18" xfId="60" applyNumberFormat="1" applyFont="1" applyFill="1" applyBorder="1" applyAlignment="1">
      <alignment vertical="center" wrapText="1"/>
      <protection/>
    </xf>
    <xf numFmtId="0" fontId="19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20" fillId="0" borderId="20" xfId="59" applyFont="1" applyBorder="1" applyAlignment="1">
      <alignment horizontal="center"/>
      <protection/>
    </xf>
    <xf numFmtId="0" fontId="23" fillId="0" borderId="21" xfId="59" applyFont="1" applyBorder="1">
      <alignment/>
      <protection/>
    </xf>
    <xf numFmtId="0" fontId="23" fillId="0" borderId="22" xfId="59" applyFont="1" applyBorder="1">
      <alignment/>
      <protection/>
    </xf>
    <xf numFmtId="0" fontId="23" fillId="0" borderId="23" xfId="59" applyFont="1" applyBorder="1">
      <alignment/>
      <protection/>
    </xf>
    <xf numFmtId="0" fontId="23" fillId="0" borderId="24" xfId="59" applyFont="1" applyBorder="1">
      <alignment/>
      <protection/>
    </xf>
    <xf numFmtId="3" fontId="23" fillId="0" borderId="25" xfId="59" applyNumberFormat="1" applyFont="1" applyBorder="1">
      <alignment/>
      <protection/>
    </xf>
    <xf numFmtId="3" fontId="16" fillId="0" borderId="26" xfId="59" applyNumberFormat="1" applyFont="1" applyBorder="1" applyAlignment="1">
      <alignment horizontal="right" vertical="center"/>
      <protection/>
    </xf>
    <xf numFmtId="3" fontId="16" fillId="0" borderId="27" xfId="59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/>
    </xf>
    <xf numFmtId="3" fontId="16" fillId="0" borderId="21" xfId="59" applyNumberFormat="1" applyFont="1" applyBorder="1" applyAlignment="1">
      <alignment horizontal="right" vertical="center"/>
      <protection/>
    </xf>
    <xf numFmtId="3" fontId="23" fillId="0" borderId="28" xfId="59" applyNumberFormat="1" applyFont="1" applyBorder="1">
      <alignment/>
      <protection/>
    </xf>
    <xf numFmtId="0" fontId="23" fillId="0" borderId="27" xfId="59" applyFont="1" applyBorder="1">
      <alignment/>
      <protection/>
    </xf>
    <xf numFmtId="0" fontId="50" fillId="0" borderId="24" xfId="59" applyFont="1" applyBorder="1" applyAlignment="1">
      <alignment horizontal="right" vertical="center"/>
      <protection/>
    </xf>
    <xf numFmtId="0" fontId="24" fillId="0" borderId="21" xfId="59" applyFont="1" applyBorder="1" applyAlignment="1">
      <alignment horizontal="right"/>
      <protection/>
    </xf>
    <xf numFmtId="0" fontId="24" fillId="0" borderId="23" xfId="59" applyFont="1" applyBorder="1" applyAlignment="1">
      <alignment horizontal="right"/>
      <protection/>
    </xf>
    <xf numFmtId="3" fontId="20" fillId="0" borderId="23" xfId="59" applyNumberFormat="1" applyFont="1" applyBorder="1" applyAlignment="1">
      <alignment horizontal="right"/>
      <protection/>
    </xf>
    <xf numFmtId="3" fontId="20" fillId="0" borderId="0" xfId="59" applyNumberFormat="1" applyFont="1" applyBorder="1">
      <alignment/>
      <protection/>
    </xf>
    <xf numFmtId="3" fontId="20" fillId="0" borderId="24" xfId="59" applyNumberFormat="1" applyFont="1" applyBorder="1">
      <alignment/>
      <protection/>
    </xf>
    <xf numFmtId="3" fontId="50" fillId="0" borderId="21" xfId="59" applyNumberFormat="1" applyFont="1" applyBorder="1" applyAlignment="1">
      <alignment horizontal="right" vertical="center"/>
      <protection/>
    </xf>
    <xf numFmtId="3" fontId="50" fillId="0" borderId="27" xfId="59" applyNumberFormat="1" applyFont="1" applyBorder="1" applyAlignment="1">
      <alignment horizontal="right" vertical="center"/>
      <protection/>
    </xf>
    <xf numFmtId="3" fontId="23" fillId="0" borderId="21" xfId="59" applyNumberFormat="1" applyFont="1" applyBorder="1">
      <alignment/>
      <protection/>
    </xf>
    <xf numFmtId="3" fontId="23" fillId="0" borderId="27" xfId="59" applyNumberFormat="1" applyFont="1" applyBorder="1">
      <alignment/>
      <protection/>
    </xf>
    <xf numFmtId="3" fontId="50" fillId="0" borderId="24" xfId="59" applyNumberFormat="1" applyFont="1" applyBorder="1" applyAlignment="1">
      <alignment horizontal="right" vertical="center"/>
      <protection/>
    </xf>
    <xf numFmtId="0" fontId="23" fillId="0" borderId="21" xfId="59" applyFont="1" applyBorder="1" applyAlignment="1">
      <alignment horizontal="right"/>
      <protection/>
    </xf>
    <xf numFmtId="0" fontId="23" fillId="0" borderId="23" xfId="59" applyFont="1" applyBorder="1" applyAlignment="1">
      <alignment horizontal="right"/>
      <protection/>
    </xf>
    <xf numFmtId="0" fontId="50" fillId="0" borderId="24" xfId="59" applyFont="1" applyBorder="1">
      <alignment/>
      <protection/>
    </xf>
    <xf numFmtId="3" fontId="23" fillId="0" borderId="29" xfId="59" applyNumberFormat="1" applyFont="1" applyBorder="1">
      <alignment/>
      <protection/>
    </xf>
    <xf numFmtId="3" fontId="50" fillId="0" borderId="21" xfId="59" applyNumberFormat="1" applyFont="1" applyBorder="1">
      <alignment/>
      <protection/>
    </xf>
    <xf numFmtId="3" fontId="50" fillId="0" borderId="27" xfId="59" applyNumberFormat="1" applyFont="1" applyBorder="1">
      <alignment/>
      <protection/>
    </xf>
    <xf numFmtId="3" fontId="50" fillId="0" borderId="28" xfId="59" applyNumberFormat="1" applyFont="1" applyBorder="1">
      <alignment/>
      <protection/>
    </xf>
    <xf numFmtId="3" fontId="50" fillId="0" borderId="24" xfId="59" applyNumberFormat="1" applyFont="1" applyBorder="1">
      <alignment/>
      <protection/>
    </xf>
    <xf numFmtId="0" fontId="19" fillId="0" borderId="21" xfId="59" applyFont="1" applyBorder="1" applyAlignment="1">
      <alignment horizontal="right"/>
      <protection/>
    </xf>
    <xf numFmtId="0" fontId="19" fillId="0" borderId="23" xfId="59" applyFont="1" applyBorder="1" applyAlignment="1">
      <alignment horizontal="right"/>
      <protection/>
    </xf>
    <xf numFmtId="0" fontId="19" fillId="0" borderId="0" xfId="59" applyFont="1" applyBorder="1">
      <alignment/>
      <protection/>
    </xf>
    <xf numFmtId="0" fontId="19" fillId="0" borderId="24" xfId="59" applyFont="1" applyBorder="1">
      <alignment/>
      <protection/>
    </xf>
    <xf numFmtId="0" fontId="51" fillId="0" borderId="21" xfId="59" applyFont="1" applyBorder="1" applyAlignment="1">
      <alignment horizontal="left"/>
      <protection/>
    </xf>
    <xf numFmtId="3" fontId="23" fillId="0" borderId="30" xfId="59" applyNumberFormat="1" applyFont="1" applyBorder="1">
      <alignment/>
      <protection/>
    </xf>
    <xf numFmtId="0" fontId="19" fillId="0" borderId="19" xfId="59" applyFont="1" applyBorder="1" applyAlignment="1">
      <alignment horizontal="right"/>
      <protection/>
    </xf>
    <xf numFmtId="0" fontId="19" fillId="0" borderId="31" xfId="59" applyFont="1" applyBorder="1" applyAlignment="1">
      <alignment horizontal="right"/>
      <protection/>
    </xf>
    <xf numFmtId="0" fontId="19" fillId="0" borderId="19" xfId="59" applyFont="1" applyBorder="1">
      <alignment/>
      <protection/>
    </xf>
    <xf numFmtId="0" fontId="19" fillId="0" borderId="32" xfId="59" applyFont="1" applyBorder="1">
      <alignment/>
      <protection/>
    </xf>
    <xf numFmtId="0" fontId="23" fillId="0" borderId="19" xfId="59" applyFont="1" applyBorder="1" applyAlignment="1">
      <alignment horizontal="left"/>
      <protection/>
    </xf>
    <xf numFmtId="0" fontId="51" fillId="0" borderId="33" xfId="59" applyFont="1" applyBorder="1" applyAlignment="1">
      <alignment horizontal="left"/>
      <protection/>
    </xf>
    <xf numFmtId="0" fontId="51" fillId="0" borderId="19" xfId="59" applyFont="1" applyBorder="1" applyAlignment="1">
      <alignment horizontal="left"/>
      <protection/>
    </xf>
    <xf numFmtId="3" fontId="16" fillId="0" borderId="33" xfId="59" applyNumberFormat="1" applyFont="1" applyBorder="1" applyAlignment="1">
      <alignment horizontal="right" vertical="center"/>
      <protection/>
    </xf>
    <xf numFmtId="3" fontId="50" fillId="0" borderId="34" xfId="59" applyNumberFormat="1" applyFont="1" applyBorder="1" applyAlignment="1">
      <alignment horizontal="right" vertical="center"/>
      <protection/>
    </xf>
    <xf numFmtId="3" fontId="50" fillId="0" borderId="35" xfId="59" applyNumberFormat="1" applyFont="1" applyBorder="1" applyAlignment="1">
      <alignment horizontal="right" vertical="center"/>
      <protection/>
    </xf>
    <xf numFmtId="3" fontId="23" fillId="0" borderId="36" xfId="59" applyNumberFormat="1" applyFont="1" applyBorder="1">
      <alignment/>
      <protection/>
    </xf>
    <xf numFmtId="3" fontId="23" fillId="0" borderId="34" xfId="59" applyNumberFormat="1" applyFont="1" applyBorder="1">
      <alignment/>
      <protection/>
    </xf>
    <xf numFmtId="3" fontId="23" fillId="0" borderId="35" xfId="59" applyNumberFormat="1" applyFont="1" applyBorder="1">
      <alignment/>
      <protection/>
    </xf>
    <xf numFmtId="3" fontId="50" fillId="0" borderId="32" xfId="59" applyNumberFormat="1" applyFont="1" applyBorder="1" applyAlignment="1">
      <alignment horizontal="right" vertical="center"/>
      <protection/>
    </xf>
    <xf numFmtId="3" fontId="50" fillId="0" borderId="37" xfId="59" applyNumberFormat="1" applyFont="1" applyBorder="1" applyAlignment="1">
      <alignment horizontal="right" vertical="center"/>
      <protection/>
    </xf>
    <xf numFmtId="0" fontId="19" fillId="0" borderId="38" xfId="59" applyFont="1" applyBorder="1">
      <alignment/>
      <protection/>
    </xf>
    <xf numFmtId="0" fontId="19" fillId="0" borderId="23" xfId="59" applyFont="1" applyBorder="1">
      <alignment/>
      <protection/>
    </xf>
    <xf numFmtId="0" fontId="19" fillId="0" borderId="27" xfId="59" applyFont="1" applyBorder="1">
      <alignment/>
      <protection/>
    </xf>
    <xf numFmtId="0" fontId="19" fillId="0" borderId="39" xfId="59" applyFont="1" applyBorder="1">
      <alignment/>
      <protection/>
    </xf>
    <xf numFmtId="0" fontId="19" fillId="0" borderId="35" xfId="59" applyFont="1" applyBorder="1">
      <alignment/>
      <protection/>
    </xf>
    <xf numFmtId="0" fontId="19" fillId="0" borderId="40" xfId="59" applyFont="1" applyBorder="1">
      <alignment/>
      <protection/>
    </xf>
    <xf numFmtId="3" fontId="20" fillId="0" borderId="27" xfId="59" applyNumberFormat="1" applyFont="1" applyBorder="1" applyAlignment="1">
      <alignment horizontal="right"/>
      <protection/>
    </xf>
    <xf numFmtId="0" fontId="23" fillId="0" borderId="21" xfId="59" applyFont="1" applyBorder="1" applyAlignment="1">
      <alignment horizontal="left"/>
      <protection/>
    </xf>
    <xf numFmtId="3" fontId="50" fillId="0" borderId="41" xfId="59" applyNumberFormat="1" applyFont="1" applyBorder="1" applyAlignment="1">
      <alignment horizontal="right"/>
      <protection/>
    </xf>
    <xf numFmtId="3" fontId="50" fillId="0" borderId="21" xfId="59" applyNumberFormat="1" applyFont="1" applyBorder="1" applyAlignment="1">
      <alignment horizontal="right"/>
      <protection/>
    </xf>
    <xf numFmtId="0" fontId="19" fillId="36" borderId="42" xfId="59" applyFont="1" applyFill="1" applyBorder="1">
      <alignment/>
      <protection/>
    </xf>
    <xf numFmtId="3" fontId="50" fillId="36" borderId="43" xfId="59" applyNumberFormat="1" applyFont="1" applyFill="1" applyBorder="1" applyAlignment="1">
      <alignment horizontal="right"/>
      <protection/>
    </xf>
    <xf numFmtId="3" fontId="50" fillId="36" borderId="44" xfId="59" applyNumberFormat="1" applyFont="1" applyFill="1" applyBorder="1">
      <alignment/>
      <protection/>
    </xf>
    <xf numFmtId="3" fontId="50" fillId="36" borderId="45" xfId="59" applyNumberFormat="1" applyFont="1" applyFill="1" applyBorder="1">
      <alignment/>
      <protection/>
    </xf>
    <xf numFmtId="3" fontId="50" fillId="36" borderId="43" xfId="59" applyNumberFormat="1" applyFont="1" applyFill="1" applyBorder="1">
      <alignment/>
      <protection/>
    </xf>
    <xf numFmtId="0" fontId="19" fillId="0" borderId="46" xfId="0" applyFont="1" applyBorder="1" applyAlignment="1">
      <alignment/>
    </xf>
    <xf numFmtId="0" fontId="16" fillId="0" borderId="47" xfId="59" applyFont="1" applyBorder="1" applyAlignment="1">
      <alignment horizontal="right" vertical="center"/>
      <protection/>
    </xf>
    <xf numFmtId="0" fontId="23" fillId="0" borderId="28" xfId="59" applyFont="1" applyBorder="1">
      <alignment/>
      <protection/>
    </xf>
    <xf numFmtId="0" fontId="19" fillId="0" borderId="21" xfId="59" applyFont="1" applyBorder="1">
      <alignment/>
      <protection/>
    </xf>
    <xf numFmtId="0" fontId="19" fillId="0" borderId="27" xfId="59" applyFont="1" applyBorder="1" applyAlignment="1">
      <alignment horizontal="right"/>
      <protection/>
    </xf>
    <xf numFmtId="3" fontId="19" fillId="0" borderId="27" xfId="59" applyNumberFormat="1" applyFont="1" applyBorder="1" applyAlignment="1">
      <alignment horizontal="right"/>
      <protection/>
    </xf>
    <xf numFmtId="3" fontId="19" fillId="0" borderId="24" xfId="59" applyNumberFormat="1" applyFont="1" applyBorder="1">
      <alignment/>
      <protection/>
    </xf>
    <xf numFmtId="0" fontId="19" fillId="0" borderId="48" xfId="59" applyFont="1" applyBorder="1">
      <alignment/>
      <protection/>
    </xf>
    <xf numFmtId="0" fontId="19" fillId="0" borderId="49" xfId="59" applyFont="1" applyBorder="1" applyAlignment="1">
      <alignment horizontal="right"/>
      <protection/>
    </xf>
    <xf numFmtId="0" fontId="19" fillId="0" borderId="50" xfId="59" applyFont="1" applyBorder="1" applyAlignment="1">
      <alignment horizontal="right"/>
      <protection/>
    </xf>
    <xf numFmtId="0" fontId="19" fillId="0" borderId="49" xfId="59" applyFont="1" applyBorder="1">
      <alignment/>
      <protection/>
    </xf>
    <xf numFmtId="0" fontId="19" fillId="0" borderId="37" xfId="59" applyFont="1" applyBorder="1">
      <alignment/>
      <protection/>
    </xf>
    <xf numFmtId="0" fontId="16" fillId="0" borderId="51" xfId="59" applyFont="1" applyBorder="1" applyAlignment="1">
      <alignment horizontal="right"/>
      <protection/>
    </xf>
    <xf numFmtId="0" fontId="19" fillId="0" borderId="52" xfId="59" applyFont="1" applyBorder="1">
      <alignment/>
      <protection/>
    </xf>
    <xf numFmtId="3" fontId="16" fillId="0" borderId="53" xfId="59" applyNumberFormat="1" applyFont="1" applyBorder="1" applyAlignment="1">
      <alignment horizontal="right"/>
      <protection/>
    </xf>
    <xf numFmtId="0" fontId="16" fillId="0" borderId="49" xfId="59" applyFont="1" applyBorder="1" applyAlignment="1">
      <alignment horizontal="right"/>
      <protection/>
    </xf>
    <xf numFmtId="0" fontId="16" fillId="0" borderId="50" xfId="59" applyFont="1" applyBorder="1" applyAlignment="1">
      <alignment horizontal="right"/>
      <protection/>
    </xf>
    <xf numFmtId="0" fontId="19" fillId="0" borderId="54" xfId="59" applyFont="1" applyBorder="1">
      <alignment/>
      <protection/>
    </xf>
    <xf numFmtId="0" fontId="19" fillId="0" borderId="50" xfId="59" applyFont="1" applyBorder="1">
      <alignment/>
      <protection/>
    </xf>
    <xf numFmtId="0" fontId="50" fillId="0" borderId="55" xfId="59" applyFont="1" applyBorder="1" applyAlignment="1">
      <alignment horizontal="right" vertical="center"/>
      <protection/>
    </xf>
    <xf numFmtId="0" fontId="19" fillId="0" borderId="0" xfId="59" applyFont="1">
      <alignment/>
      <protection/>
    </xf>
    <xf numFmtId="0" fontId="19" fillId="0" borderId="28" xfId="59" applyFont="1" applyBorder="1">
      <alignment/>
      <protection/>
    </xf>
    <xf numFmtId="0" fontId="23" fillId="0" borderId="29" xfId="59" applyFont="1" applyBorder="1">
      <alignment/>
      <protection/>
    </xf>
    <xf numFmtId="3" fontId="50" fillId="0" borderId="41" xfId="59" applyNumberFormat="1" applyFont="1" applyBorder="1">
      <alignment/>
      <protection/>
    </xf>
    <xf numFmtId="0" fontId="19" fillId="0" borderId="29" xfId="59" applyFont="1" applyBorder="1">
      <alignment/>
      <protection/>
    </xf>
    <xf numFmtId="0" fontId="24" fillId="0" borderId="26" xfId="59" applyFont="1" applyBorder="1" applyAlignment="1">
      <alignment horizontal="right"/>
      <protection/>
    </xf>
    <xf numFmtId="0" fontId="19" fillId="0" borderId="25" xfId="0" applyFont="1" applyBorder="1" applyAlignment="1">
      <alignment horizontal="right"/>
    </xf>
    <xf numFmtId="3" fontId="20" fillId="0" borderId="47" xfId="59" applyNumberFormat="1" applyFont="1" applyBorder="1" applyAlignment="1">
      <alignment horizontal="right"/>
      <protection/>
    </xf>
    <xf numFmtId="3" fontId="20" fillId="0" borderId="25" xfId="59" applyNumberFormat="1" applyFont="1" applyBorder="1">
      <alignment/>
      <protection/>
    </xf>
    <xf numFmtId="3" fontId="20" fillId="0" borderId="56" xfId="59" applyNumberFormat="1" applyFont="1" applyBorder="1">
      <alignment/>
      <protection/>
    </xf>
    <xf numFmtId="0" fontId="19" fillId="0" borderId="57" xfId="59" applyFont="1" applyBorder="1">
      <alignment/>
      <protection/>
    </xf>
    <xf numFmtId="0" fontId="19" fillId="0" borderId="25" xfId="59" applyFont="1" applyBorder="1">
      <alignment/>
      <protection/>
    </xf>
    <xf numFmtId="0" fontId="19" fillId="0" borderId="30" xfId="59" applyFont="1" applyBorder="1">
      <alignment/>
      <protection/>
    </xf>
    <xf numFmtId="0" fontId="52" fillId="0" borderId="58" xfId="59" applyFont="1" applyBorder="1">
      <alignment/>
      <protection/>
    </xf>
    <xf numFmtId="0" fontId="52" fillId="0" borderId="59" xfId="59" applyFont="1" applyBorder="1">
      <alignment/>
      <protection/>
    </xf>
    <xf numFmtId="0" fontId="52" fillId="0" borderId="60" xfId="59" applyFont="1" applyBorder="1">
      <alignment/>
      <protection/>
    </xf>
    <xf numFmtId="0" fontId="19" fillId="36" borderId="61" xfId="59" applyFont="1" applyFill="1" applyBorder="1">
      <alignment/>
      <protection/>
    </xf>
    <xf numFmtId="3" fontId="36" fillId="0" borderId="62" xfId="59" applyNumberFormat="1" applyFont="1" applyBorder="1" applyAlignment="1">
      <alignment horizontal="center"/>
      <protection/>
    </xf>
    <xf numFmtId="0" fontId="19" fillId="0" borderId="63" xfId="59" applyFont="1" applyBorder="1">
      <alignment/>
      <protection/>
    </xf>
    <xf numFmtId="3" fontId="16" fillId="0" borderId="64" xfId="59" applyNumberFormat="1" applyFont="1" applyBorder="1">
      <alignment/>
      <protection/>
    </xf>
    <xf numFmtId="0" fontId="19" fillId="0" borderId="46" xfId="59" applyFont="1" applyBorder="1">
      <alignment/>
      <protection/>
    </xf>
    <xf numFmtId="3" fontId="36" fillId="0" borderId="62" xfId="59" applyNumberFormat="1" applyFont="1" applyBorder="1">
      <alignment/>
      <protection/>
    </xf>
    <xf numFmtId="3" fontId="36" fillId="0" borderId="65" xfId="59" applyNumberFormat="1" applyFont="1" applyBorder="1">
      <alignment/>
      <protection/>
    </xf>
    <xf numFmtId="0" fontId="23" fillId="0" borderId="19" xfId="59" applyFont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 applyAlignment="1">
      <alignment horizontal="right"/>
      <protection/>
    </xf>
    <xf numFmtId="0" fontId="15" fillId="0" borderId="0" xfId="59" applyFont="1">
      <alignment/>
      <protection/>
    </xf>
    <xf numFmtId="0" fontId="20" fillId="0" borderId="0" xfId="59" applyFont="1" applyAlignment="1">
      <alignment horizontal="left"/>
      <protection/>
    </xf>
    <xf numFmtId="3" fontId="19" fillId="0" borderId="0" xfId="59" applyNumberFormat="1" applyFont="1">
      <alignment/>
      <protection/>
    </xf>
    <xf numFmtId="0" fontId="33" fillId="0" borderId="66" xfId="59" applyFont="1" applyBorder="1">
      <alignment/>
      <protection/>
    </xf>
    <xf numFmtId="3" fontId="19" fillId="0" borderId="66" xfId="59" applyNumberFormat="1" applyFont="1" applyBorder="1">
      <alignment/>
      <protection/>
    </xf>
    <xf numFmtId="0" fontId="19" fillId="0" borderId="66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59" applyFont="1">
      <alignment/>
      <protection/>
    </xf>
    <xf numFmtId="3" fontId="20" fillId="0" borderId="0" xfId="59" applyNumberFormat="1" applyFont="1">
      <alignment/>
      <protection/>
    </xf>
    <xf numFmtId="0" fontId="20" fillId="0" borderId="67" xfId="59" applyFont="1" applyBorder="1" applyAlignment="1">
      <alignment horizontal="center"/>
      <protection/>
    </xf>
    <xf numFmtId="0" fontId="20" fillId="0" borderId="58" xfId="59" applyFont="1" applyBorder="1" applyAlignment="1">
      <alignment horizontal="center" vertical="center"/>
      <protection/>
    </xf>
    <xf numFmtId="0" fontId="20" fillId="0" borderId="67" xfId="59" applyFont="1" applyBorder="1" applyAlignment="1">
      <alignment horizontal="center" vertical="center"/>
      <protection/>
    </xf>
    <xf numFmtId="49" fontId="26" fillId="0" borderId="11" xfId="0" applyNumberFormat="1" applyFont="1" applyBorder="1" applyAlignment="1">
      <alignment vertical="center" wrapText="1"/>
    </xf>
    <xf numFmtId="0" fontId="26" fillId="0" borderId="13" xfId="0" applyFont="1" applyBorder="1" applyAlignment="1">
      <alignment vertical="center"/>
    </xf>
    <xf numFmtId="0" fontId="22" fillId="5" borderId="13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3" fillId="0" borderId="38" xfId="59" applyFont="1" applyBorder="1" applyAlignment="1">
      <alignment horizontal="left" wrapText="1"/>
      <protection/>
    </xf>
    <xf numFmtId="0" fontId="51" fillId="0" borderId="38" xfId="59" applyFont="1" applyBorder="1" applyAlignment="1">
      <alignment horizontal="left" wrapText="1"/>
      <protection/>
    </xf>
    <xf numFmtId="3" fontId="20" fillId="36" borderId="43" xfId="59" applyNumberFormat="1" applyFont="1" applyFill="1" applyBorder="1" applyAlignment="1">
      <alignment horizontal="right"/>
      <protection/>
    </xf>
    <xf numFmtId="3" fontId="23" fillId="0" borderId="30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36" borderId="45" xfId="59" applyFont="1" applyFill="1" applyBorder="1" applyAlignment="1">
      <alignment horizontal="left"/>
      <protection/>
    </xf>
    <xf numFmtId="3" fontId="16" fillId="36" borderId="68" xfId="59" applyNumberFormat="1" applyFont="1" applyFill="1" applyBorder="1" applyAlignment="1">
      <alignment horizontal="right"/>
      <protection/>
    </xf>
    <xf numFmtId="3" fontId="16" fillId="36" borderId="69" xfId="59" applyNumberFormat="1" applyFont="1" applyFill="1" applyBorder="1" applyAlignment="1">
      <alignment horizontal="right"/>
      <protection/>
    </xf>
    <xf numFmtId="3" fontId="50" fillId="36" borderId="61" xfId="59" applyNumberFormat="1" applyFont="1" applyFill="1" applyBorder="1" applyAlignment="1">
      <alignment horizontal="right"/>
      <protection/>
    </xf>
    <xf numFmtId="3" fontId="50" fillId="36" borderId="70" xfId="59" applyNumberFormat="1" applyFont="1" applyFill="1" applyBorder="1" applyAlignment="1">
      <alignment horizontal="right" vertical="center"/>
      <protection/>
    </xf>
    <xf numFmtId="0" fontId="19" fillId="0" borderId="22" xfId="0" applyFont="1" applyBorder="1" applyAlignment="1">
      <alignment horizontal="right"/>
    </xf>
    <xf numFmtId="0" fontId="19" fillId="36" borderId="42" xfId="59" applyFont="1" applyFill="1" applyBorder="1" applyAlignment="1">
      <alignment vertical="center"/>
      <protection/>
    </xf>
    <xf numFmtId="3" fontId="16" fillId="36" borderId="68" xfId="59" applyNumberFormat="1" applyFont="1" applyFill="1" applyBorder="1" applyAlignment="1">
      <alignment vertical="center"/>
      <protection/>
    </xf>
    <xf numFmtId="0" fontId="19" fillId="36" borderId="61" xfId="59" applyFont="1" applyFill="1" applyBorder="1" applyAlignment="1">
      <alignment vertical="center"/>
      <protection/>
    </xf>
    <xf numFmtId="3" fontId="50" fillId="36" borderId="71" xfId="59" applyNumberFormat="1" applyFont="1" applyFill="1" applyBorder="1" applyAlignment="1">
      <alignment vertical="center"/>
      <protection/>
    </xf>
    <xf numFmtId="3" fontId="50" fillId="36" borderId="62" xfId="59" applyNumberFormat="1" applyFont="1" applyFill="1" applyBorder="1" applyAlignment="1">
      <alignment vertical="center"/>
      <protection/>
    </xf>
    <xf numFmtId="3" fontId="50" fillId="36" borderId="55" xfId="59" applyNumberFormat="1" applyFont="1" applyFill="1" applyBorder="1" applyAlignment="1">
      <alignment vertical="center"/>
      <protection/>
    </xf>
    <xf numFmtId="3" fontId="50" fillId="36" borderId="72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0" fontId="23" fillId="0" borderId="38" xfId="59" applyFont="1" applyBorder="1" applyAlignment="1">
      <alignment wrapText="1"/>
      <protection/>
    </xf>
    <xf numFmtId="3" fontId="23" fillId="0" borderId="29" xfId="59" applyNumberFormat="1" applyFont="1" applyBorder="1" applyAlignment="1">
      <alignment vertical="center"/>
      <protection/>
    </xf>
    <xf numFmtId="0" fontId="35" fillId="0" borderId="0" xfId="60" applyFont="1" applyFill="1" applyAlignment="1">
      <alignment vertical="center" wrapText="1"/>
      <protection/>
    </xf>
    <xf numFmtId="0" fontId="35" fillId="0" borderId="49" xfId="60" applyFont="1" applyFill="1" applyBorder="1" applyAlignment="1">
      <alignment vertical="center" wrapText="1"/>
      <protection/>
    </xf>
    <xf numFmtId="0" fontId="19" fillId="0" borderId="34" xfId="59" applyFont="1" applyBorder="1" applyAlignment="1">
      <alignment horizontal="right"/>
      <protection/>
    </xf>
    <xf numFmtId="3" fontId="23" fillId="0" borderId="73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vertical="center"/>
    </xf>
    <xf numFmtId="49" fontId="33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33" fillId="0" borderId="66" xfId="0" applyFont="1" applyFill="1" applyBorder="1" applyAlignment="1">
      <alignment horizontal="center" vertical="center" wrapText="1"/>
    </xf>
    <xf numFmtId="49" fontId="33" fillId="0" borderId="66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2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9" fillId="0" borderId="0" xfId="61" applyFont="1" applyAlignment="1">
      <alignment/>
      <protection/>
    </xf>
    <xf numFmtId="0" fontId="17" fillId="0" borderId="0" xfId="61" applyFont="1" applyAlignment="1">
      <alignment/>
      <protection/>
    </xf>
    <xf numFmtId="4" fontId="22" fillId="0" borderId="11" xfId="61" applyNumberFormat="1" applyFont="1" applyBorder="1" applyAlignment="1">
      <alignment vertical="center"/>
      <protection/>
    </xf>
    <xf numFmtId="3" fontId="22" fillId="0" borderId="13" xfId="61" applyNumberFormat="1" applyFont="1" applyBorder="1" applyAlignment="1">
      <alignment vertical="center"/>
      <protection/>
    </xf>
    <xf numFmtId="3" fontId="22" fillId="0" borderId="14" xfId="61" applyNumberFormat="1" applyFont="1" applyBorder="1" applyAlignment="1">
      <alignment vertical="center"/>
      <protection/>
    </xf>
    <xf numFmtId="3" fontId="22" fillId="0" borderId="11" xfId="61" applyNumberFormat="1" applyFont="1" applyBorder="1" applyAlignment="1">
      <alignment vertical="center"/>
      <protection/>
    </xf>
    <xf numFmtId="3" fontId="22" fillId="0" borderId="12" xfId="61" applyNumberFormat="1" applyFont="1" applyBorder="1" applyAlignment="1">
      <alignment vertical="center"/>
      <protection/>
    </xf>
    <xf numFmtId="3" fontId="22" fillId="0" borderId="17" xfId="61" applyNumberFormat="1" applyFont="1" applyBorder="1" applyAlignment="1">
      <alignment vertical="center"/>
      <protection/>
    </xf>
    <xf numFmtId="3" fontId="14" fillId="0" borderId="11" xfId="61" applyNumberFormat="1" applyBorder="1" applyAlignment="1">
      <alignment vertical="center"/>
      <protection/>
    </xf>
    <xf numFmtId="3" fontId="14" fillId="0" borderId="13" xfId="61" applyNumberFormat="1" applyBorder="1" applyAlignment="1">
      <alignment vertical="center"/>
      <protection/>
    </xf>
    <xf numFmtId="3" fontId="14" fillId="0" borderId="14" xfId="61" applyNumberFormat="1" applyBorder="1" applyAlignment="1">
      <alignment vertical="center"/>
      <protection/>
    </xf>
    <xf numFmtId="3" fontId="14" fillId="0" borderId="12" xfId="61" applyNumberFormat="1" applyBorder="1" applyAlignment="1">
      <alignment vertical="center"/>
      <protection/>
    </xf>
    <xf numFmtId="3" fontId="14" fillId="0" borderId="17" xfId="61" applyNumberFormat="1" applyBorder="1" applyAlignment="1">
      <alignment vertical="center"/>
      <protection/>
    </xf>
    <xf numFmtId="3" fontId="14" fillId="33" borderId="11" xfId="61" applyNumberFormat="1" applyFill="1" applyBorder="1" applyAlignment="1">
      <alignment vertical="center"/>
      <protection/>
    </xf>
    <xf numFmtId="3" fontId="14" fillId="33" borderId="13" xfId="61" applyNumberFormat="1" applyFill="1" applyBorder="1" applyAlignment="1">
      <alignment vertical="center"/>
      <protection/>
    </xf>
    <xf numFmtId="3" fontId="14" fillId="33" borderId="12" xfId="61" applyNumberFormat="1" applyFill="1" applyBorder="1" applyAlignment="1">
      <alignment vertical="center"/>
      <protection/>
    </xf>
    <xf numFmtId="171" fontId="14" fillId="0" borderId="11" xfId="61" applyNumberFormat="1" applyBorder="1" applyAlignment="1">
      <alignment vertical="center"/>
      <protection/>
    </xf>
    <xf numFmtId="171" fontId="14" fillId="0" borderId="12" xfId="61" applyNumberFormat="1" applyBorder="1" applyAlignment="1">
      <alignment vertical="center"/>
      <protection/>
    </xf>
    <xf numFmtId="171" fontId="22" fillId="0" borderId="11" xfId="61" applyNumberFormat="1" applyFont="1" applyBorder="1" applyAlignment="1">
      <alignment vertical="center"/>
      <protection/>
    </xf>
    <xf numFmtId="171" fontId="22" fillId="0" borderId="12" xfId="61" applyNumberFormat="1" applyFont="1" applyBorder="1" applyAlignment="1">
      <alignment vertical="center"/>
      <protection/>
    </xf>
    <xf numFmtId="4" fontId="22" fillId="33" borderId="11" xfId="61" applyNumberFormat="1" applyFont="1" applyFill="1" applyBorder="1" applyAlignment="1">
      <alignment vertical="center"/>
      <protection/>
    </xf>
    <xf numFmtId="4" fontId="22" fillId="33" borderId="12" xfId="61" applyNumberFormat="1" applyFont="1" applyFill="1" applyBorder="1" applyAlignment="1">
      <alignment vertical="center"/>
      <protection/>
    </xf>
    <xf numFmtId="2" fontId="14" fillId="0" borderId="11" xfId="61" applyNumberFormat="1" applyBorder="1" applyAlignment="1">
      <alignment vertical="center"/>
      <protection/>
    </xf>
    <xf numFmtId="2" fontId="14" fillId="0" borderId="12" xfId="61" applyNumberFormat="1" applyBorder="1" applyAlignment="1">
      <alignment vertical="center"/>
      <protection/>
    </xf>
    <xf numFmtId="4" fontId="14" fillId="0" borderId="11" xfId="61" applyNumberFormat="1" applyBorder="1" applyAlignment="1">
      <alignment vertical="center"/>
      <protection/>
    </xf>
    <xf numFmtId="3" fontId="2" fillId="33" borderId="11" xfId="61" applyNumberFormat="1" applyFont="1" applyFill="1" applyBorder="1" applyAlignment="1">
      <alignment horizontal="center" vertical="center"/>
      <protection/>
    </xf>
    <xf numFmtId="3" fontId="2" fillId="33" borderId="13" xfId="61" applyNumberFormat="1" applyFont="1" applyFill="1" applyBorder="1" applyAlignment="1">
      <alignment horizontal="center" vertical="center"/>
      <protection/>
    </xf>
    <xf numFmtId="3" fontId="1" fillId="33" borderId="14" xfId="61" applyNumberFormat="1" applyFont="1" applyFill="1" applyBorder="1" applyAlignment="1">
      <alignment vertical="center"/>
      <protection/>
    </xf>
    <xf numFmtId="3" fontId="2" fillId="33" borderId="12" xfId="61" applyNumberFormat="1" applyFont="1" applyFill="1" applyBorder="1" applyAlignment="1">
      <alignment horizontal="center" vertical="center"/>
      <protection/>
    </xf>
    <xf numFmtId="3" fontId="22" fillId="33" borderId="17" xfId="61" applyNumberFormat="1" applyFont="1" applyFill="1" applyBorder="1" applyAlignment="1">
      <alignment vertical="center"/>
      <protection/>
    </xf>
    <xf numFmtId="3" fontId="31" fillId="33" borderId="11" xfId="61" applyNumberFormat="1" applyFont="1" applyFill="1" applyBorder="1" applyAlignment="1">
      <alignment horizontal="center" vertical="center"/>
      <protection/>
    </xf>
    <xf numFmtId="3" fontId="31" fillId="33" borderId="13" xfId="61" applyNumberFormat="1" applyFont="1" applyFill="1" applyBorder="1" applyAlignment="1">
      <alignment horizontal="center" vertical="center"/>
      <protection/>
    </xf>
    <xf numFmtId="3" fontId="31" fillId="33" borderId="14" xfId="61" applyNumberFormat="1" applyFont="1" applyFill="1" applyBorder="1" applyAlignment="1">
      <alignment vertical="center"/>
      <protection/>
    </xf>
    <xf numFmtId="3" fontId="31" fillId="33" borderId="12" xfId="61" applyNumberFormat="1" applyFont="1" applyFill="1" applyBorder="1" applyAlignment="1">
      <alignment horizontal="center" vertical="center"/>
      <protection/>
    </xf>
    <xf numFmtId="0" fontId="33" fillId="0" borderId="13" xfId="0" applyFont="1" applyBorder="1" applyAlignment="1">
      <alignment horizontal="left"/>
    </xf>
    <xf numFmtId="49" fontId="56" fillId="34" borderId="11" xfId="0" applyNumberFormat="1" applyFont="1" applyFill="1" applyBorder="1" applyAlignment="1">
      <alignment vertical="center" wrapText="1"/>
    </xf>
    <xf numFmtId="0" fontId="56" fillId="34" borderId="13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17" fillId="0" borderId="0" xfId="0" applyFont="1" applyBorder="1" applyAlignment="1">
      <alignment/>
    </xf>
    <xf numFmtId="3" fontId="39" fillId="0" borderId="74" xfId="0" applyNumberFormat="1" applyFont="1" applyBorder="1" applyAlignment="1">
      <alignment/>
    </xf>
    <xf numFmtId="3" fontId="21" fillId="0" borderId="74" xfId="0" applyNumberFormat="1" applyFont="1" applyBorder="1" applyAlignment="1">
      <alignment/>
    </xf>
    <xf numFmtId="3" fontId="37" fillId="0" borderId="74" xfId="0" applyNumberFormat="1" applyFont="1" applyBorder="1" applyAlignment="1">
      <alignment/>
    </xf>
    <xf numFmtId="3" fontId="42" fillId="0" borderId="74" xfId="0" applyNumberFormat="1" applyFont="1" applyBorder="1" applyAlignment="1">
      <alignment/>
    </xf>
    <xf numFmtId="3" fontId="44" fillId="0" borderId="74" xfId="0" applyNumberFormat="1" applyFont="1" applyBorder="1" applyAlignment="1">
      <alignment/>
    </xf>
    <xf numFmtId="3" fontId="46" fillId="0" borderId="74" xfId="0" applyNumberFormat="1" applyFont="1" applyBorder="1" applyAlignment="1">
      <alignment/>
    </xf>
    <xf numFmtId="3" fontId="20" fillId="0" borderId="74" xfId="0" applyNumberFormat="1" applyFont="1" applyBorder="1" applyAlignment="1">
      <alignment/>
    </xf>
    <xf numFmtId="3" fontId="16" fillId="0" borderId="74" xfId="0" applyNumberFormat="1" applyFont="1" applyBorder="1" applyAlignment="1">
      <alignment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23" fillId="0" borderId="26" xfId="59" applyFont="1" applyBorder="1" applyAlignment="1">
      <alignment horizontal="left"/>
      <protection/>
    </xf>
    <xf numFmtId="0" fontId="23" fillId="0" borderId="25" xfId="59" applyFont="1" applyBorder="1" applyAlignment="1">
      <alignment horizontal="left"/>
      <protection/>
    </xf>
    <xf numFmtId="0" fontId="19" fillId="0" borderId="23" xfId="0" applyFont="1" applyBorder="1" applyAlignment="1">
      <alignment horizontal="right"/>
    </xf>
    <xf numFmtId="0" fontId="38" fillId="0" borderId="12" xfId="58" applyFont="1" applyBorder="1" applyAlignment="1">
      <alignment horizontal="left" wrapText="1"/>
      <protection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14" fillId="35" borderId="12" xfId="60" applyNumberFormat="1" applyFont="1" applyFill="1" applyBorder="1" applyAlignment="1">
      <alignment horizontal="right" vertical="center" wrapText="1"/>
      <protection/>
    </xf>
    <xf numFmtId="3" fontId="23" fillId="0" borderId="60" xfId="59" applyNumberFormat="1" applyFont="1" applyBorder="1" applyAlignment="1">
      <alignment vertical="center"/>
      <protection/>
    </xf>
    <xf numFmtId="3" fontId="36" fillId="0" borderId="55" xfId="59" applyNumberFormat="1" applyFont="1" applyBorder="1">
      <alignment/>
      <protection/>
    </xf>
    <xf numFmtId="0" fontId="19" fillId="0" borderId="0" xfId="0" applyFont="1" applyAlignment="1">
      <alignment horizontal="center"/>
    </xf>
    <xf numFmtId="0" fontId="20" fillId="0" borderId="7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0" fillId="0" borderId="29" xfId="0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81" xfId="0" applyBorder="1" applyAlignment="1">
      <alignment/>
    </xf>
    <xf numFmtId="3" fontId="22" fillId="4" borderId="81" xfId="0" applyNumberFormat="1" applyFont="1" applyFill="1" applyBorder="1" applyAlignment="1">
      <alignment/>
    </xf>
    <xf numFmtId="3" fontId="0" fillId="0" borderId="82" xfId="0" applyNumberFormat="1" applyBorder="1" applyAlignment="1">
      <alignment/>
    </xf>
    <xf numFmtId="3" fontId="0" fillId="37" borderId="82" xfId="0" applyNumberFormat="1" applyFill="1" applyBorder="1" applyAlignment="1">
      <alignment/>
    </xf>
    <xf numFmtId="3" fontId="0" fillId="4" borderId="83" xfId="0" applyNumberFormat="1" applyFill="1" applyBorder="1" applyAlignment="1">
      <alignment/>
    </xf>
    <xf numFmtId="0" fontId="0" fillId="0" borderId="84" xfId="0" applyBorder="1" applyAlignment="1">
      <alignment/>
    </xf>
    <xf numFmtId="3" fontId="22" fillId="4" borderId="85" xfId="0" applyNumberFormat="1" applyFont="1" applyFill="1" applyBorder="1" applyAlignment="1">
      <alignment/>
    </xf>
    <xf numFmtId="3" fontId="0" fillId="0" borderId="8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37" borderId="13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0" fontId="22" fillId="0" borderId="87" xfId="0" applyFont="1" applyBorder="1" applyAlignment="1">
      <alignment/>
    </xf>
    <xf numFmtId="3" fontId="22" fillId="4" borderId="88" xfId="0" applyNumberFormat="1" applyFont="1" applyFill="1" applyBorder="1" applyAlignment="1">
      <alignment/>
    </xf>
    <xf numFmtId="3" fontId="22" fillId="38" borderId="67" xfId="0" applyNumberFormat="1" applyFont="1" applyFill="1" applyBorder="1" applyAlignment="1">
      <alignment/>
    </xf>
    <xf numFmtId="3" fontId="22" fillId="37" borderId="67" xfId="0" applyNumberFormat="1" applyFont="1" applyFill="1" applyBorder="1" applyAlignment="1">
      <alignment/>
    </xf>
    <xf numFmtId="3" fontId="22" fillId="37" borderId="89" xfId="0" applyNumberFormat="1" applyFont="1" applyFill="1" applyBorder="1" applyAlignment="1">
      <alignment/>
    </xf>
    <xf numFmtId="3" fontId="22" fillId="37" borderId="90" xfId="0" applyNumberFormat="1" applyFont="1" applyFill="1" applyBorder="1" applyAlignment="1">
      <alignment/>
    </xf>
    <xf numFmtId="3" fontId="22" fillId="4" borderId="91" xfId="0" applyNumberFormat="1" applyFont="1" applyFill="1" applyBorder="1" applyAlignment="1">
      <alignment/>
    </xf>
    <xf numFmtId="0" fontId="19" fillId="0" borderId="92" xfId="0" applyFont="1" applyBorder="1" applyAlignment="1">
      <alignment horizontal="center"/>
    </xf>
    <xf numFmtId="0" fontId="0" fillId="0" borderId="93" xfId="0" applyBorder="1" applyAlignment="1">
      <alignment horizontal="left"/>
    </xf>
    <xf numFmtId="3" fontId="0" fillId="4" borderId="94" xfId="0" applyNumberFormat="1" applyFill="1" applyBorder="1" applyAlignment="1">
      <alignment/>
    </xf>
    <xf numFmtId="0" fontId="0" fillId="0" borderId="95" xfId="0" applyBorder="1" applyAlignment="1">
      <alignment horizontal="right"/>
    </xf>
    <xf numFmtId="0" fontId="0" fillId="0" borderId="96" xfId="0" applyBorder="1" applyAlignment="1">
      <alignment horizontal="left"/>
    </xf>
    <xf numFmtId="3" fontId="0" fillId="4" borderId="11" xfId="0" applyNumberFormat="1" applyFill="1" applyBorder="1" applyAlignment="1">
      <alignment/>
    </xf>
    <xf numFmtId="0" fontId="19" fillId="0" borderId="79" xfId="0" applyFont="1" applyBorder="1" applyAlignment="1">
      <alignment horizontal="center" vertical="center"/>
    </xf>
    <xf numFmtId="0" fontId="22" fillId="0" borderId="42" xfId="0" applyFont="1" applyBorder="1" applyAlignment="1">
      <alignment/>
    </xf>
    <xf numFmtId="3" fontId="22" fillId="4" borderId="42" xfId="0" applyNumberFormat="1" applyFont="1" applyFill="1" applyBorder="1" applyAlignment="1">
      <alignment/>
    </xf>
    <xf numFmtId="3" fontId="22" fillId="38" borderId="97" xfId="0" applyNumberFormat="1" applyFont="1" applyFill="1" applyBorder="1" applyAlignment="1">
      <alignment horizontal="right"/>
    </xf>
    <xf numFmtId="3" fontId="22" fillId="4" borderId="68" xfId="0" applyNumberFormat="1" applyFont="1" applyFill="1" applyBorder="1" applyAlignment="1">
      <alignment/>
    </xf>
    <xf numFmtId="0" fontId="19" fillId="0" borderId="75" xfId="0" applyFont="1" applyBorder="1" applyAlignment="1">
      <alignment horizontal="center" vertical="center"/>
    </xf>
    <xf numFmtId="3" fontId="14" fillId="4" borderId="94" xfId="0" applyNumberFormat="1" applyFont="1" applyFill="1" applyBorder="1" applyAlignment="1">
      <alignment horizontal="right"/>
    </xf>
    <xf numFmtId="3" fontId="0" fillId="0" borderId="82" xfId="0" applyNumberForma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3" fontId="14" fillId="4" borderId="96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94" xfId="0" applyBorder="1" applyAlignment="1">
      <alignment horizontal="left"/>
    </xf>
    <xf numFmtId="0" fontId="19" fillId="0" borderId="79" xfId="0" applyFont="1" applyBorder="1" applyAlignment="1">
      <alignment horizontal="center"/>
    </xf>
    <xf numFmtId="0" fontId="22" fillId="0" borderId="68" xfId="0" applyFont="1" applyBorder="1" applyAlignment="1">
      <alignment/>
    </xf>
    <xf numFmtId="3" fontId="22" fillId="38" borderId="43" xfId="0" applyNumberFormat="1" applyFont="1" applyFill="1" applyBorder="1" applyAlignment="1">
      <alignment/>
    </xf>
    <xf numFmtId="0" fontId="19" fillId="0" borderId="75" xfId="0" applyFont="1" applyBorder="1" applyAlignment="1">
      <alignment horizontal="center"/>
    </xf>
    <xf numFmtId="3" fontId="0" fillId="0" borderId="95" xfId="0" applyNumberFormat="1" applyBorder="1" applyAlignment="1">
      <alignment/>
    </xf>
    <xf numFmtId="3" fontId="0" fillId="37" borderId="47" xfId="0" applyNumberFormat="1" applyFill="1" applyBorder="1" applyAlignment="1">
      <alignment/>
    </xf>
    <xf numFmtId="3" fontId="0" fillId="37" borderId="86" xfId="0" applyNumberFormat="1" applyFill="1" applyBorder="1" applyAlignment="1">
      <alignment/>
    </xf>
    <xf numFmtId="3" fontId="0" fillId="37" borderId="98" xfId="0" applyNumberFormat="1" applyFill="1" applyBorder="1" applyAlignment="1">
      <alignment/>
    </xf>
    <xf numFmtId="0" fontId="0" fillId="0" borderId="99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00" xfId="0" applyBorder="1" applyAlignment="1">
      <alignment/>
    </xf>
    <xf numFmtId="3" fontId="0" fillId="4" borderId="101" xfId="0" applyNumberFormat="1" applyFill="1" applyBorder="1" applyAlignment="1">
      <alignment/>
    </xf>
    <xf numFmtId="3" fontId="0" fillId="37" borderId="67" xfId="0" applyNumberFormat="1" applyFill="1" applyBorder="1" applyAlignment="1">
      <alignment/>
    </xf>
    <xf numFmtId="3" fontId="0" fillId="37" borderId="90" xfId="0" applyNumberFormat="1" applyFill="1" applyBorder="1" applyAlignment="1">
      <alignment/>
    </xf>
    <xf numFmtId="3" fontId="0" fillId="37" borderId="43" xfId="0" applyNumberFormat="1" applyFill="1" applyBorder="1" applyAlignment="1">
      <alignment/>
    </xf>
    <xf numFmtId="3" fontId="0" fillId="37" borderId="102" xfId="0" applyNumberFormat="1" applyFill="1" applyBorder="1" applyAlignment="1">
      <alignment/>
    </xf>
    <xf numFmtId="0" fontId="15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3" fontId="23" fillId="0" borderId="30" xfId="59" applyNumberFormat="1" applyFont="1" applyBorder="1" applyAlignment="1">
      <alignment vertical="center"/>
      <protection/>
    </xf>
    <xf numFmtId="3" fontId="23" fillId="0" borderId="73" xfId="59" applyNumberFormat="1" applyFont="1" applyBorder="1" applyAlignment="1">
      <alignment vertical="center"/>
      <protection/>
    </xf>
    <xf numFmtId="3" fontId="23" fillId="0" borderId="103" xfId="59" applyNumberFormat="1" applyFont="1" applyBorder="1" applyAlignment="1">
      <alignment vertical="center"/>
      <protection/>
    </xf>
    <xf numFmtId="3" fontId="20" fillId="36" borderId="43" xfId="59" applyNumberFormat="1" applyFont="1" applyFill="1" applyBorder="1" applyAlignment="1">
      <alignment horizontal="right" vertical="center"/>
      <protection/>
    </xf>
    <xf numFmtId="3" fontId="20" fillId="36" borderId="61" xfId="59" applyNumberFormat="1" applyFont="1" applyFill="1" applyBorder="1" applyAlignment="1">
      <alignment vertical="center"/>
      <protection/>
    </xf>
    <xf numFmtId="3" fontId="20" fillId="36" borderId="70" xfId="59" applyNumberFormat="1" applyFont="1" applyFill="1" applyBorder="1" applyAlignment="1">
      <alignment vertical="center"/>
      <protection/>
    </xf>
    <xf numFmtId="0" fontId="23" fillId="36" borderId="45" xfId="59" applyFont="1" applyFill="1" applyBorder="1" applyAlignment="1">
      <alignment horizontal="left" vertical="center"/>
      <protection/>
    </xf>
    <xf numFmtId="3" fontId="16" fillId="36" borderId="68" xfId="59" applyNumberFormat="1" applyFont="1" applyFill="1" applyBorder="1" applyAlignment="1">
      <alignment horizontal="right" vertical="center"/>
      <protection/>
    </xf>
    <xf numFmtId="3" fontId="16" fillId="36" borderId="69" xfId="59" applyNumberFormat="1" applyFont="1" applyFill="1" applyBorder="1" applyAlignment="1">
      <alignment horizontal="right" vertical="center"/>
      <protection/>
    </xf>
    <xf numFmtId="3" fontId="50" fillId="36" borderId="61" xfId="59" applyNumberFormat="1" applyFont="1" applyFill="1" applyBorder="1" applyAlignment="1">
      <alignment horizontal="right" vertical="center"/>
      <protection/>
    </xf>
    <xf numFmtId="3" fontId="50" fillId="36" borderId="43" xfId="59" applyNumberFormat="1" applyFont="1" applyFill="1" applyBorder="1" applyAlignment="1">
      <alignment horizontal="right" vertical="center"/>
      <protection/>
    </xf>
    <xf numFmtId="3" fontId="50" fillId="36" borderId="44" xfId="59" applyNumberFormat="1" applyFont="1" applyFill="1" applyBorder="1" applyAlignment="1">
      <alignment vertical="center"/>
      <protection/>
    </xf>
    <xf numFmtId="3" fontId="50" fillId="36" borderId="45" xfId="59" applyNumberFormat="1" applyFont="1" applyFill="1" applyBorder="1" applyAlignment="1">
      <alignment vertical="center"/>
      <protection/>
    </xf>
    <xf numFmtId="3" fontId="50" fillId="36" borderId="43" xfId="59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horizontal="center"/>
    </xf>
    <xf numFmtId="0" fontId="20" fillId="0" borderId="104" xfId="59" applyFont="1" applyBorder="1" applyAlignment="1">
      <alignment horizontal="center" vertical="center"/>
      <protection/>
    </xf>
    <xf numFmtId="3" fontId="16" fillId="0" borderId="63" xfId="59" applyNumberFormat="1" applyFont="1" applyBorder="1">
      <alignment/>
      <protection/>
    </xf>
    <xf numFmtId="3" fontId="36" fillId="0" borderId="71" xfId="59" applyNumberFormat="1" applyFont="1" applyBorder="1">
      <alignment/>
      <protection/>
    </xf>
    <xf numFmtId="3" fontId="50" fillId="0" borderId="41" xfId="59" applyNumberFormat="1" applyFont="1" applyBorder="1" applyAlignment="1">
      <alignment horizontal="right" vertical="center"/>
      <protection/>
    </xf>
    <xf numFmtId="0" fontId="16" fillId="0" borderId="105" xfId="59" applyFont="1" applyBorder="1" applyAlignment="1">
      <alignment horizontal="right" vertical="center"/>
      <protection/>
    </xf>
    <xf numFmtId="3" fontId="50" fillId="0" borderId="106" xfId="59" applyNumberFormat="1" applyFont="1" applyBorder="1" applyAlignment="1">
      <alignment horizontal="right" vertical="center"/>
      <protection/>
    </xf>
    <xf numFmtId="0" fontId="20" fillId="0" borderId="20" xfId="59" applyFont="1" applyBorder="1" applyAlignment="1">
      <alignment horizontal="center" vertical="center"/>
      <protection/>
    </xf>
    <xf numFmtId="0" fontId="20" fillId="0" borderId="88" xfId="59" applyFont="1" applyBorder="1" applyAlignment="1">
      <alignment horizontal="center" vertical="center"/>
      <protection/>
    </xf>
    <xf numFmtId="0" fontId="20" fillId="0" borderId="89" xfId="59" applyFont="1" applyBorder="1" applyAlignment="1">
      <alignment horizontal="center" vertical="center"/>
      <protection/>
    </xf>
    <xf numFmtId="0" fontId="24" fillId="0" borderId="48" xfId="59" applyFont="1" applyBorder="1" applyAlignment="1">
      <alignment horizontal="right" vertical="center"/>
      <protection/>
    </xf>
    <xf numFmtId="3" fontId="20" fillId="0" borderId="50" xfId="59" applyNumberFormat="1" applyFont="1" applyBorder="1" applyAlignment="1">
      <alignment horizontal="right" vertical="center"/>
      <protection/>
    </xf>
    <xf numFmtId="3" fontId="20" fillId="0" borderId="49" xfId="59" applyNumberFormat="1" applyFont="1" applyBorder="1" applyAlignment="1">
      <alignment vertical="center"/>
      <protection/>
    </xf>
    <xf numFmtId="3" fontId="20" fillId="0" borderId="37" xfId="59" applyNumberFormat="1" applyFont="1" applyBorder="1" applyAlignment="1">
      <alignment vertical="center"/>
      <protection/>
    </xf>
    <xf numFmtId="3" fontId="51" fillId="0" borderId="49" xfId="59" applyNumberFormat="1" applyFont="1" applyBorder="1" applyAlignment="1">
      <alignment vertical="center"/>
      <protection/>
    </xf>
    <xf numFmtId="3" fontId="16" fillId="0" borderId="52" xfId="59" applyNumberFormat="1" applyFont="1" applyBorder="1" applyAlignment="1">
      <alignment vertical="center"/>
      <protection/>
    </xf>
    <xf numFmtId="3" fontId="50" fillId="0" borderId="48" xfId="59" applyNumberFormat="1" applyFont="1" applyBorder="1" applyAlignment="1">
      <alignment vertical="center"/>
      <protection/>
    </xf>
    <xf numFmtId="3" fontId="50" fillId="0" borderId="50" xfId="59" applyNumberFormat="1" applyFont="1" applyBorder="1" applyAlignment="1">
      <alignment vertical="center"/>
      <protection/>
    </xf>
    <xf numFmtId="3" fontId="50" fillId="0" borderId="54" xfId="59" applyNumberFormat="1" applyFont="1" applyBorder="1" applyAlignment="1">
      <alignment vertical="center"/>
      <protection/>
    </xf>
    <xf numFmtId="0" fontId="20" fillId="0" borderId="107" xfId="59" applyFont="1" applyBorder="1" applyAlignment="1">
      <alignment horizontal="center"/>
      <protection/>
    </xf>
    <xf numFmtId="0" fontId="20" fillId="0" borderId="107" xfId="59" applyFont="1" applyBorder="1" applyAlignment="1">
      <alignment horizontal="center" vertical="center"/>
      <protection/>
    </xf>
    <xf numFmtId="3" fontId="20" fillId="36" borderId="68" xfId="59" applyNumberFormat="1" applyFont="1" applyFill="1" applyBorder="1" applyAlignment="1">
      <alignment horizontal="right" vertical="center"/>
      <protection/>
    </xf>
    <xf numFmtId="3" fontId="50" fillId="36" borderId="45" xfId="59" applyNumberFormat="1" applyFont="1" applyFill="1" applyBorder="1" applyAlignment="1">
      <alignment horizontal="right" vertical="center"/>
      <protection/>
    </xf>
    <xf numFmtId="3" fontId="50" fillId="36" borderId="70" xfId="59" applyNumberFormat="1" applyFont="1" applyFill="1" applyBorder="1" applyAlignment="1">
      <alignment vertical="center"/>
      <protection/>
    </xf>
    <xf numFmtId="0" fontId="23" fillId="0" borderId="38" xfId="59" applyFont="1" applyBorder="1" applyAlignment="1">
      <alignment horizontal="left" vertical="center"/>
      <protection/>
    </xf>
    <xf numFmtId="3" fontId="14" fillId="35" borderId="14" xfId="61" applyNumberFormat="1" applyFill="1" applyBorder="1" applyAlignment="1">
      <alignment vertical="center"/>
      <protection/>
    </xf>
    <xf numFmtId="3" fontId="34" fillId="35" borderId="12" xfId="60" applyNumberFormat="1" applyFont="1" applyFill="1" applyBorder="1" applyAlignment="1">
      <alignment horizontal="right" vertical="center" wrapText="1"/>
      <protection/>
    </xf>
    <xf numFmtId="3" fontId="19" fillId="0" borderId="108" xfId="59" applyNumberFormat="1" applyFont="1" applyBorder="1">
      <alignment/>
      <protection/>
    </xf>
    <xf numFmtId="0" fontId="23" fillId="0" borderId="108" xfId="59" applyFont="1" applyBorder="1" applyAlignment="1">
      <alignment horizontal="left"/>
      <protection/>
    </xf>
    <xf numFmtId="3" fontId="16" fillId="0" borderId="109" xfId="59" applyNumberFormat="1" applyFont="1" applyBorder="1" applyAlignment="1">
      <alignment horizontal="right" vertical="center"/>
      <protection/>
    </xf>
    <xf numFmtId="0" fontId="23" fillId="0" borderId="85" xfId="59" applyFont="1" applyBorder="1" applyAlignment="1">
      <alignment horizontal="left" vertical="center" wrapText="1"/>
      <protection/>
    </xf>
    <xf numFmtId="0" fontId="23" fillId="0" borderId="108" xfId="59" applyFont="1" applyBorder="1" applyAlignment="1">
      <alignment horizontal="left" vertical="center" wrapText="1"/>
      <protection/>
    </xf>
    <xf numFmtId="3" fontId="23" fillId="0" borderId="110" xfId="59" applyNumberFormat="1" applyFont="1" applyBorder="1" applyAlignment="1">
      <alignment vertical="center"/>
      <protection/>
    </xf>
    <xf numFmtId="3" fontId="23" fillId="0" borderId="108" xfId="59" applyNumberFormat="1" applyFont="1" applyBorder="1" applyAlignment="1">
      <alignment vertical="center"/>
      <protection/>
    </xf>
    <xf numFmtId="3" fontId="16" fillId="0" borderId="111" xfId="59" applyNumberFormat="1" applyFont="1" applyBorder="1" applyAlignment="1">
      <alignment horizontal="right" vertical="center"/>
      <protection/>
    </xf>
    <xf numFmtId="3" fontId="50" fillId="0" borderId="108" xfId="59" applyNumberFormat="1" applyFont="1" applyBorder="1" applyAlignment="1">
      <alignment horizontal="right" vertical="center"/>
      <protection/>
    </xf>
    <xf numFmtId="3" fontId="50" fillId="0" borderId="86" xfId="59" applyNumberFormat="1" applyFont="1" applyBorder="1" applyAlignment="1">
      <alignment horizontal="right" vertical="center"/>
      <protection/>
    </xf>
    <xf numFmtId="3" fontId="50" fillId="0" borderId="112" xfId="59" applyNumberFormat="1" applyFont="1" applyBorder="1" applyAlignment="1">
      <alignment horizontal="right" vertical="center"/>
      <protection/>
    </xf>
    <xf numFmtId="3" fontId="20" fillId="0" borderId="86" xfId="59" applyNumberFormat="1" applyFont="1" applyBorder="1" applyAlignment="1">
      <alignment horizontal="right"/>
      <protection/>
    </xf>
    <xf numFmtId="3" fontId="20" fillId="0" borderId="112" xfId="59" applyNumberFormat="1" applyFont="1" applyBorder="1">
      <alignment/>
      <protection/>
    </xf>
    <xf numFmtId="0" fontId="19" fillId="0" borderId="41" xfId="59" applyFont="1" applyBorder="1">
      <alignment/>
      <protection/>
    </xf>
    <xf numFmtId="0" fontId="19" fillId="39" borderId="64" xfId="0" applyFont="1" applyFill="1" applyBorder="1" applyAlignment="1">
      <alignment horizontal="center"/>
    </xf>
    <xf numFmtId="0" fontId="19" fillId="0" borderId="113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73" xfId="0" applyBorder="1" applyAlignment="1">
      <alignment vertical="center"/>
    </xf>
    <xf numFmtId="3" fontId="0" fillId="4" borderId="75" xfId="0" applyNumberFormat="1" applyFill="1" applyBorder="1" applyAlignment="1">
      <alignment/>
    </xf>
    <xf numFmtId="0" fontId="19" fillId="0" borderId="64" xfId="0" applyFont="1" applyBorder="1" applyAlignment="1">
      <alignment horizontal="center" vertical="center"/>
    </xf>
    <xf numFmtId="3" fontId="0" fillId="37" borderId="82" xfId="0" applyNumberFormat="1" applyFill="1" applyBorder="1" applyAlignment="1">
      <alignment horizontal="right" vertical="center"/>
    </xf>
    <xf numFmtId="3" fontId="0" fillId="37" borderId="12" xfId="0" applyNumberFormat="1" applyFill="1" applyBorder="1" applyAlignment="1">
      <alignment/>
    </xf>
    <xf numFmtId="3" fontId="0" fillId="37" borderId="114" xfId="0" applyNumberFormat="1" applyFill="1" applyBorder="1" applyAlignment="1">
      <alignment horizontal="right" vertical="center"/>
    </xf>
    <xf numFmtId="3" fontId="0" fillId="4" borderId="84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0" borderId="17" xfId="0" applyBorder="1" applyAlignment="1">
      <alignment horizontal="left"/>
    </xf>
    <xf numFmtId="3" fontId="0" fillId="4" borderId="100" xfId="0" applyNumberFormat="1" applyFill="1" applyBorder="1" applyAlignment="1">
      <alignment/>
    </xf>
    <xf numFmtId="3" fontId="22" fillId="37" borderId="10" xfId="0" applyNumberFormat="1" applyFont="1" applyFill="1" applyBorder="1" applyAlignment="1">
      <alignment/>
    </xf>
    <xf numFmtId="0" fontId="0" fillId="0" borderId="109" xfId="0" applyBorder="1" applyAlignment="1">
      <alignment horizontal="left"/>
    </xf>
    <xf numFmtId="3" fontId="0" fillId="37" borderId="115" xfId="0" applyNumberFormat="1" applyFill="1" applyBorder="1" applyAlignment="1">
      <alignment horizontal="right" vertical="center"/>
    </xf>
    <xf numFmtId="3" fontId="0" fillId="0" borderId="116" xfId="0" applyNumberFormat="1" applyBorder="1" applyAlignment="1">
      <alignment/>
    </xf>
    <xf numFmtId="3" fontId="0" fillId="4" borderId="109" xfId="0" applyNumberFormat="1" applyFill="1" applyBorder="1" applyAlignment="1">
      <alignment/>
    </xf>
    <xf numFmtId="3" fontId="0" fillId="4" borderId="117" xfId="0" applyNumberFormat="1" applyFill="1" applyBorder="1" applyAlignment="1">
      <alignment/>
    </xf>
    <xf numFmtId="3" fontId="0" fillId="4" borderId="93" xfId="0" applyNumberFormat="1" applyFill="1" applyBorder="1" applyAlignment="1">
      <alignment/>
    </xf>
    <xf numFmtId="0" fontId="22" fillId="0" borderId="38" xfId="0" applyFont="1" applyBorder="1" applyAlignment="1">
      <alignment/>
    </xf>
    <xf numFmtId="3" fontId="22" fillId="4" borderId="29" xfId="0" applyNumberFormat="1" applyFont="1" applyFill="1" applyBorder="1" applyAlignment="1">
      <alignment/>
    </xf>
    <xf numFmtId="3" fontId="0" fillId="35" borderId="82" xfId="0" applyNumberFormat="1" applyFill="1" applyBorder="1" applyAlignment="1">
      <alignment/>
    </xf>
    <xf numFmtId="0" fontId="22" fillId="0" borderId="52" xfId="0" applyFont="1" applyBorder="1" applyAlignment="1">
      <alignment/>
    </xf>
    <xf numFmtId="3" fontId="22" fillId="35" borderId="49" xfId="0" applyNumberFormat="1" applyFont="1" applyFill="1" applyBorder="1" applyAlignment="1">
      <alignment/>
    </xf>
    <xf numFmtId="3" fontId="0" fillId="35" borderId="49" xfId="0" applyNumberFormat="1" applyFill="1" applyBorder="1" applyAlignment="1">
      <alignment/>
    </xf>
    <xf numFmtId="3" fontId="0" fillId="35" borderId="49" xfId="0" applyNumberFormat="1" applyFill="1" applyBorder="1" applyAlignment="1">
      <alignment horizontal="center"/>
    </xf>
    <xf numFmtId="3" fontId="22" fillId="35" borderId="103" xfId="0" applyNumberFormat="1" applyFont="1" applyFill="1" applyBorder="1" applyAlignment="1">
      <alignment/>
    </xf>
    <xf numFmtId="3" fontId="0" fillId="35" borderId="47" xfId="0" applyNumberFormat="1" applyFill="1" applyBorder="1" applyAlignment="1">
      <alignment/>
    </xf>
    <xf numFmtId="3" fontId="0" fillId="35" borderId="86" xfId="0" applyNumberFormat="1" applyFill="1" applyBorder="1" applyAlignment="1">
      <alignment/>
    </xf>
    <xf numFmtId="3" fontId="0" fillId="35" borderId="98" xfId="0" applyNumberFormat="1" applyFill="1" applyBorder="1" applyAlignment="1">
      <alignment/>
    </xf>
    <xf numFmtId="3" fontId="0" fillId="35" borderId="118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9" fillId="39" borderId="64" xfId="0" applyFont="1" applyFill="1" applyBorder="1" applyAlignment="1">
      <alignment horizontal="center" vertical="center"/>
    </xf>
    <xf numFmtId="0" fontId="0" fillId="0" borderId="119" xfId="0" applyBorder="1" applyAlignment="1">
      <alignment vertical="center"/>
    </xf>
    <xf numFmtId="3" fontId="14" fillId="4" borderId="93" xfId="0" applyNumberFormat="1" applyFont="1" applyFill="1" applyBorder="1" applyAlignment="1">
      <alignment horizontal="right"/>
    </xf>
    <xf numFmtId="3" fontId="0" fillId="37" borderId="118" xfId="0" applyNumberFormat="1" applyFill="1" applyBorder="1" applyAlignment="1">
      <alignment horizontal="right" vertical="center"/>
    </xf>
    <xf numFmtId="3" fontId="0" fillId="0" borderId="118" xfId="0" applyNumberFormat="1" applyBorder="1" applyAlignment="1">
      <alignment horizontal="right" vertical="center"/>
    </xf>
    <xf numFmtId="3" fontId="0" fillId="4" borderId="16" xfId="0" applyNumberFormat="1" applyFill="1" applyBorder="1" applyAlignment="1">
      <alignment/>
    </xf>
    <xf numFmtId="3" fontId="0" fillId="0" borderId="118" xfId="0" applyNumberFormat="1" applyBorder="1" applyAlignment="1">
      <alignment/>
    </xf>
    <xf numFmtId="3" fontId="0" fillId="37" borderId="74" xfId="0" applyNumberFormat="1" applyFill="1" applyBorder="1" applyAlignment="1">
      <alignment horizontal="right" vertical="center"/>
    </xf>
    <xf numFmtId="3" fontId="0" fillId="0" borderId="120" xfId="0" applyNumberFormat="1" applyBorder="1" applyAlignment="1">
      <alignment/>
    </xf>
    <xf numFmtId="3" fontId="0" fillId="35" borderId="12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0" xfId="0" applyFont="1" applyAlignment="1">
      <alignment/>
    </xf>
    <xf numFmtId="0" fontId="21" fillId="35" borderId="10" xfId="60" applyFont="1" applyFill="1" applyBorder="1" applyAlignment="1">
      <alignment horizontal="left" vertical="center" wrapText="1"/>
      <protection/>
    </xf>
    <xf numFmtId="3" fontId="0" fillId="4" borderId="99" xfId="0" applyNumberFormat="1" applyFill="1" applyBorder="1" applyAlignment="1">
      <alignment/>
    </xf>
    <xf numFmtId="3" fontId="0" fillId="37" borderId="27" xfId="0" applyNumberFormat="1" applyFill="1" applyBorder="1" applyAlignment="1">
      <alignment/>
    </xf>
    <xf numFmtId="3" fontId="0" fillId="37" borderId="74" xfId="0" applyNumberFormat="1" applyFill="1" applyBorder="1" applyAlignment="1">
      <alignment/>
    </xf>
    <xf numFmtId="0" fontId="0" fillId="0" borderId="100" xfId="0" applyBorder="1" applyAlignment="1">
      <alignment wrapText="1"/>
    </xf>
    <xf numFmtId="3" fontId="20" fillId="36" borderId="43" xfId="59" applyNumberFormat="1" applyFont="1" applyFill="1" applyBorder="1" applyAlignment="1">
      <alignment vertical="center"/>
      <protection/>
    </xf>
    <xf numFmtId="3" fontId="20" fillId="36" borderId="121" xfId="59" applyNumberFormat="1" applyFont="1" applyFill="1" applyBorder="1" applyAlignment="1">
      <alignment vertical="center"/>
      <protection/>
    </xf>
    <xf numFmtId="0" fontId="23" fillId="0" borderId="38" xfId="59" applyFont="1" applyBorder="1" applyAlignment="1">
      <alignment horizontal="left" vertical="center" wrapText="1"/>
      <protection/>
    </xf>
    <xf numFmtId="3" fontId="115" fillId="0" borderId="13" xfId="58" applyNumberFormat="1" applyFont="1" applyBorder="1">
      <alignment/>
      <protection/>
    </xf>
    <xf numFmtId="0" fontId="34" fillId="0" borderId="13" xfId="0" applyFont="1" applyBorder="1" applyAlignment="1">
      <alignment vertical="center"/>
    </xf>
    <xf numFmtId="0" fontId="38" fillId="35" borderId="13" xfId="58" applyFont="1" applyFill="1" applyBorder="1">
      <alignment/>
      <protection/>
    </xf>
    <xf numFmtId="0" fontId="38" fillId="35" borderId="13" xfId="58" applyFont="1" applyFill="1" applyBorder="1" applyAlignment="1">
      <alignment horizontal="left"/>
      <protection/>
    </xf>
    <xf numFmtId="0" fontId="38" fillId="35" borderId="10" xfId="58" applyFont="1" applyFill="1" applyBorder="1" applyAlignment="1">
      <alignment horizontal="left"/>
      <protection/>
    </xf>
    <xf numFmtId="0" fontId="38" fillId="35" borderId="12" xfId="58" applyFont="1" applyFill="1" applyBorder="1" applyAlignment="1">
      <alignment horizontal="left" vertical="center" wrapText="1"/>
      <protection/>
    </xf>
    <xf numFmtId="3" fontId="38" fillId="35" borderId="13" xfId="58" applyNumberFormat="1" applyFont="1" applyFill="1" applyBorder="1" applyAlignment="1">
      <alignment vertical="center"/>
      <protection/>
    </xf>
    <xf numFmtId="3" fontId="37" fillId="35" borderId="13" xfId="58" applyNumberFormat="1" applyFont="1" applyFill="1" applyBorder="1" applyAlignment="1">
      <alignment vertical="center"/>
      <protection/>
    </xf>
    <xf numFmtId="49" fontId="33" fillId="35" borderId="11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49" fontId="33" fillId="35" borderId="93" xfId="60" applyNumberFormat="1" applyFont="1" applyFill="1" applyBorder="1" applyAlignment="1">
      <alignment horizontal="center" vertical="center"/>
      <protection/>
    </xf>
    <xf numFmtId="3" fontId="50" fillId="0" borderId="112" xfId="59" applyNumberFormat="1" applyFont="1" applyBorder="1">
      <alignment/>
      <protection/>
    </xf>
    <xf numFmtId="3" fontId="50" fillId="0" borderId="122" xfId="59" applyNumberFormat="1" applyFont="1" applyBorder="1">
      <alignment/>
      <protection/>
    </xf>
    <xf numFmtId="3" fontId="50" fillId="0" borderId="86" xfId="59" applyNumberFormat="1" applyFont="1" applyBorder="1">
      <alignment/>
      <protection/>
    </xf>
    <xf numFmtId="3" fontId="0" fillId="4" borderId="94" xfId="0" applyNumberFormat="1" applyFill="1" applyBorder="1" applyAlignment="1">
      <alignment horizontal="right" vertical="center"/>
    </xf>
    <xf numFmtId="3" fontId="0" fillId="4" borderId="11" xfId="0" applyNumberFormat="1" applyFill="1" applyBorder="1" applyAlignment="1">
      <alignment horizontal="right" vertical="center"/>
    </xf>
    <xf numFmtId="3" fontId="0" fillId="4" borderId="101" xfId="0" applyNumberFormat="1" applyFill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 wrapText="1"/>
    </xf>
    <xf numFmtId="166" fontId="60" fillId="0" borderId="13" xfId="0" applyNumberFormat="1" applyFont="1" applyBorder="1" applyAlignment="1">
      <alignment vertical="center"/>
    </xf>
    <xf numFmtId="166" fontId="116" fillId="0" borderId="13" xfId="0" applyNumberFormat="1" applyFont="1" applyBorder="1" applyAlignment="1">
      <alignment vertical="center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3" fontId="23" fillId="0" borderId="29" xfId="59" applyNumberFormat="1" applyFont="1" applyBorder="1" applyAlignment="1">
      <alignment horizontal="right" vertical="center"/>
      <protection/>
    </xf>
    <xf numFmtId="0" fontId="21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" fontId="38" fillId="0" borderId="27" xfId="0" applyNumberFormat="1" applyFont="1" applyBorder="1" applyAlignment="1">
      <alignment/>
    </xf>
    <xf numFmtId="0" fontId="21" fillId="0" borderId="13" xfId="58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7" fillId="0" borderId="13" xfId="58" applyFont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 wrapText="1"/>
    </xf>
    <xf numFmtId="0" fontId="34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58" applyFont="1" applyBorder="1" applyAlignment="1">
      <alignment horizontal="left"/>
      <protection/>
    </xf>
    <xf numFmtId="0" fontId="16" fillId="0" borderId="15" xfId="58" applyFont="1" applyBorder="1" applyAlignment="1">
      <alignment horizontal="left"/>
      <protection/>
    </xf>
    <xf numFmtId="0" fontId="16" fillId="0" borderId="12" xfId="58" applyFont="1" applyBorder="1" applyAlignment="1">
      <alignment horizontal="left"/>
      <protection/>
    </xf>
    <xf numFmtId="0" fontId="33" fillId="0" borderId="10" xfId="58" applyFont="1" applyBorder="1" applyAlignment="1">
      <alignment horizontal="left"/>
      <protection/>
    </xf>
    <xf numFmtId="0" fontId="33" fillId="0" borderId="12" xfId="58" applyFont="1" applyBorder="1" applyAlignment="1">
      <alignment horizontal="left"/>
      <protection/>
    </xf>
    <xf numFmtId="0" fontId="20" fillId="0" borderId="10" xfId="58" applyFont="1" applyBorder="1" applyAlignment="1">
      <alignment horizontal="left"/>
      <protection/>
    </xf>
    <xf numFmtId="0" fontId="20" fillId="0" borderId="15" xfId="58" applyFont="1" applyBorder="1" applyAlignment="1">
      <alignment horizontal="left"/>
      <protection/>
    </xf>
    <xf numFmtId="0" fontId="20" fillId="0" borderId="12" xfId="58" applyFont="1" applyBorder="1" applyAlignment="1">
      <alignment horizontal="left"/>
      <protection/>
    </xf>
    <xf numFmtId="0" fontId="34" fillId="0" borderId="10" xfId="58" applyFont="1" applyBorder="1" applyAlignment="1">
      <alignment horizontal="left" wrapText="1"/>
      <protection/>
    </xf>
    <xf numFmtId="0" fontId="34" fillId="0" borderId="12" xfId="58" applyFont="1" applyBorder="1" applyAlignment="1">
      <alignment horizontal="left" wrapText="1"/>
      <protection/>
    </xf>
    <xf numFmtId="0" fontId="33" fillId="0" borderId="10" xfId="58" applyFont="1" applyBorder="1" applyAlignment="1">
      <alignment horizontal="left" wrapText="1"/>
      <protection/>
    </xf>
    <xf numFmtId="0" fontId="33" fillId="0" borderId="12" xfId="58" applyFont="1" applyBorder="1" applyAlignment="1">
      <alignment horizontal="left" wrapText="1"/>
      <protection/>
    </xf>
    <xf numFmtId="0" fontId="36" fillId="0" borderId="10" xfId="58" applyFont="1" applyBorder="1" applyAlignment="1">
      <alignment horizontal="center" vertical="center" wrapText="1"/>
      <protection/>
    </xf>
    <xf numFmtId="0" fontId="20" fillId="0" borderId="15" xfId="58" applyFont="1" applyBorder="1" applyAlignment="1">
      <alignment horizontal="center" vertical="center" wrapText="1"/>
      <protection/>
    </xf>
    <xf numFmtId="0" fontId="20" fillId="0" borderId="12" xfId="58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7" fillId="0" borderId="15" xfId="58" applyFont="1" applyBorder="1" applyAlignment="1">
      <alignment horizontal="center" vertical="center" wrapText="1"/>
      <protection/>
    </xf>
    <xf numFmtId="0" fontId="17" fillId="0" borderId="12" xfId="58" applyFont="1" applyBorder="1" applyAlignment="1">
      <alignment horizontal="center" vertical="center" wrapText="1"/>
      <protection/>
    </xf>
    <xf numFmtId="0" fontId="20" fillId="0" borderId="13" xfId="58" applyFont="1" applyBorder="1" applyAlignment="1">
      <alignment horizontal="left"/>
      <protection/>
    </xf>
    <xf numFmtId="0" fontId="33" fillId="0" borderId="15" xfId="58" applyFont="1" applyBorder="1" applyAlignment="1">
      <alignment horizontal="left"/>
      <protection/>
    </xf>
    <xf numFmtId="0" fontId="33" fillId="0" borderId="13" xfId="58" applyFont="1" applyBorder="1" applyAlignment="1">
      <alignment horizontal="left"/>
      <protection/>
    </xf>
    <xf numFmtId="0" fontId="33" fillId="0" borderId="10" xfId="58" applyFont="1" applyBorder="1" applyAlignment="1">
      <alignment horizontal="left" vertical="center" wrapText="1"/>
      <protection/>
    </xf>
    <xf numFmtId="0" fontId="33" fillId="0" borderId="12" xfId="58" applyFont="1" applyBorder="1" applyAlignment="1">
      <alignment horizontal="left" vertical="center" wrapText="1"/>
      <protection/>
    </xf>
    <xf numFmtId="0" fontId="19" fillId="0" borderId="0" xfId="58" applyFont="1" applyAlignment="1">
      <alignment horizontal="right" vertical="center"/>
      <protection/>
    </xf>
    <xf numFmtId="0" fontId="35" fillId="0" borderId="0" xfId="58" applyFont="1" applyFill="1" applyAlignment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0" fontId="32" fillId="0" borderId="0" xfId="0" applyFont="1" applyAlignment="1">
      <alignment horizontal="right"/>
    </xf>
    <xf numFmtId="0" fontId="3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19" fillId="0" borderId="0" xfId="60" applyFont="1" applyFill="1" applyAlignment="1">
      <alignment horizontal="right" vertical="center"/>
      <protection/>
    </xf>
    <xf numFmtId="0" fontId="19" fillId="0" borderId="0" xfId="60" applyFont="1" applyAlignment="1">
      <alignment horizontal="right"/>
      <protection/>
    </xf>
    <xf numFmtId="3" fontId="16" fillId="0" borderId="123" xfId="59" applyNumberFormat="1" applyFont="1" applyBorder="1" applyAlignment="1">
      <alignment horizontal="right" vertical="center"/>
      <protection/>
    </xf>
    <xf numFmtId="3" fontId="16" fillId="0" borderId="38" xfId="59" applyNumberFormat="1" applyFont="1" applyBorder="1" applyAlignment="1">
      <alignment horizontal="right" vertical="center"/>
      <protection/>
    </xf>
    <xf numFmtId="3" fontId="16" fillId="0" borderId="124" xfId="59" applyNumberFormat="1" applyFont="1" applyBorder="1" applyAlignment="1">
      <alignment horizontal="right" vertical="center"/>
      <protection/>
    </xf>
    <xf numFmtId="0" fontId="19" fillId="0" borderId="125" xfId="0" applyFont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0" fillId="36" borderId="61" xfId="59" applyFont="1" applyFill="1" applyBorder="1" applyAlignment="1">
      <alignment vertical="center"/>
      <protection/>
    </xf>
    <xf numFmtId="0" fontId="50" fillId="36" borderId="127" xfId="59" applyFont="1" applyFill="1" applyBorder="1" applyAlignment="1">
      <alignment vertical="center"/>
      <protection/>
    </xf>
    <xf numFmtId="0" fontId="23" fillId="0" borderId="38" xfId="59" applyFont="1" applyBorder="1" applyAlignment="1">
      <alignment horizontal="left" vertical="center"/>
      <protection/>
    </xf>
    <xf numFmtId="3" fontId="16" fillId="0" borderId="75" xfId="59" applyNumberFormat="1" applyFont="1" applyBorder="1" applyAlignment="1">
      <alignment horizontal="right" vertical="center"/>
      <protection/>
    </xf>
    <xf numFmtId="3" fontId="23" fillId="0" borderId="30" xfId="59" applyNumberFormat="1" applyFont="1" applyBorder="1" applyAlignment="1">
      <alignment horizontal="right" vertical="center"/>
      <protection/>
    </xf>
    <xf numFmtId="3" fontId="23" fillId="0" borderId="29" xfId="59" applyNumberFormat="1" applyFont="1" applyBorder="1" applyAlignment="1">
      <alignment horizontal="right" vertical="center"/>
      <protection/>
    </xf>
    <xf numFmtId="0" fontId="23" fillId="0" borderId="128" xfId="59" applyFont="1" applyBorder="1" applyAlignment="1">
      <alignment horizontal="left" vertical="center"/>
      <protection/>
    </xf>
    <xf numFmtId="0" fontId="23" fillId="0" borderId="59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wrapText="1"/>
      <protection/>
    </xf>
    <xf numFmtId="0" fontId="23" fillId="0" borderId="25" xfId="59" applyFont="1" applyBorder="1" applyAlignment="1">
      <alignment horizontal="left" wrapText="1"/>
      <protection/>
    </xf>
    <xf numFmtId="0" fontId="51" fillId="0" borderId="38" xfId="59" applyFont="1" applyBorder="1" applyAlignment="1">
      <alignment horizontal="left"/>
      <protection/>
    </xf>
    <xf numFmtId="0" fontId="24" fillId="0" borderId="23" xfId="59" applyFont="1" applyBorder="1" applyAlignment="1">
      <alignment horizontal="right"/>
      <protection/>
    </xf>
    <xf numFmtId="3" fontId="16" fillId="0" borderId="57" xfId="59" applyNumberFormat="1" applyFont="1" applyBorder="1" applyAlignment="1">
      <alignment horizontal="right" vertical="center"/>
      <protection/>
    </xf>
    <xf numFmtId="0" fontId="16" fillId="36" borderId="45" xfId="59" applyFont="1" applyFill="1" applyBorder="1" applyAlignment="1">
      <alignment horizontal="right" vertical="center" wrapText="1"/>
      <protection/>
    </xf>
    <xf numFmtId="0" fontId="19" fillId="36" borderId="61" xfId="0" applyFont="1" applyFill="1" applyBorder="1" applyAlignment="1">
      <alignment horizontal="right" vertical="center" wrapText="1"/>
    </xf>
    <xf numFmtId="0" fontId="19" fillId="36" borderId="121" xfId="0" applyFont="1" applyFill="1" applyBorder="1" applyAlignment="1">
      <alignment horizontal="right" vertical="center" wrapText="1"/>
    </xf>
    <xf numFmtId="0" fontId="16" fillId="36" borderId="61" xfId="59" applyFont="1" applyFill="1" applyBorder="1" applyAlignment="1">
      <alignment vertical="center"/>
      <protection/>
    </xf>
    <xf numFmtId="0" fontId="16" fillId="36" borderId="61" xfId="0" applyFont="1" applyFill="1" applyBorder="1" applyAlignment="1">
      <alignment vertical="center"/>
    </xf>
    <xf numFmtId="0" fontId="16" fillId="36" borderId="127" xfId="0" applyFont="1" applyFill="1" applyBorder="1" applyAlignment="1">
      <alignment vertical="center"/>
    </xf>
    <xf numFmtId="0" fontId="24" fillId="0" borderId="21" xfId="59" applyFont="1" applyBorder="1" applyAlignment="1">
      <alignment horizontal="right"/>
      <protection/>
    </xf>
    <xf numFmtId="0" fontId="23" fillId="0" borderId="26" xfId="59" applyFont="1" applyBorder="1" applyAlignment="1">
      <alignment horizontal="left"/>
      <protection/>
    </xf>
    <xf numFmtId="0" fontId="23" fillId="0" borderId="25" xfId="59" applyFont="1" applyBorder="1" applyAlignment="1">
      <alignment horizontal="left"/>
      <protection/>
    </xf>
    <xf numFmtId="0" fontId="50" fillId="0" borderId="34" xfId="59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19" fillId="0" borderId="129" xfId="0" applyFont="1" applyBorder="1" applyAlignment="1">
      <alignment vertical="center"/>
    </xf>
    <xf numFmtId="0" fontId="50" fillId="0" borderId="34" xfId="59" applyFont="1" applyBorder="1" applyAlignment="1">
      <alignment horizontal="center" vertical="center"/>
      <protection/>
    </xf>
    <xf numFmtId="0" fontId="23" fillId="0" borderId="21" xfId="59" applyFont="1" applyBorder="1" applyAlignment="1">
      <alignment horizontal="left"/>
      <protection/>
    </xf>
    <xf numFmtId="0" fontId="23" fillId="0" borderId="21" xfId="59" applyFont="1" applyBorder="1" applyAlignment="1">
      <alignment horizontal="left" wrapText="1"/>
      <protection/>
    </xf>
    <xf numFmtId="0" fontId="23" fillId="0" borderId="38" xfId="59" applyFont="1" applyBorder="1" applyAlignment="1">
      <alignment horizontal="left" wrapText="1"/>
      <protection/>
    </xf>
    <xf numFmtId="0" fontId="20" fillId="0" borderId="0" xfId="59" applyFont="1" applyAlignment="1">
      <alignment horizontal="center"/>
      <protection/>
    </xf>
    <xf numFmtId="3" fontId="16" fillId="0" borderId="123" xfId="59" applyNumberFormat="1" applyFont="1" applyBorder="1" applyAlignment="1">
      <alignment horizontal="center" vertical="center"/>
      <protection/>
    </xf>
    <xf numFmtId="3" fontId="16" fillId="0" borderId="75" xfId="59" applyNumberFormat="1" applyFont="1" applyBorder="1" applyAlignment="1">
      <alignment horizontal="center" vertical="center"/>
      <protection/>
    </xf>
    <xf numFmtId="0" fontId="23" fillId="0" borderId="38" xfId="59" applyFont="1" applyBorder="1" applyAlignment="1">
      <alignment horizontal="left" vertical="center" wrapText="1"/>
      <protection/>
    </xf>
    <xf numFmtId="0" fontId="23" fillId="0" borderId="128" xfId="59" applyFont="1" applyBorder="1" applyAlignment="1">
      <alignment horizontal="left" wrapText="1"/>
      <protection/>
    </xf>
    <xf numFmtId="0" fontId="23" fillId="0" borderId="59" xfId="59" applyFont="1" applyBorder="1" applyAlignment="1">
      <alignment horizontal="left" wrapText="1"/>
      <protection/>
    </xf>
    <xf numFmtId="0" fontId="19" fillId="0" borderId="0" xfId="59" applyFont="1" applyAlignment="1">
      <alignment horizontal="center"/>
      <protection/>
    </xf>
    <xf numFmtId="3" fontId="16" fillId="0" borderId="130" xfId="59" applyNumberFormat="1" applyFont="1" applyBorder="1" applyAlignment="1">
      <alignment horizontal="right" vertical="center"/>
      <protection/>
    </xf>
    <xf numFmtId="3" fontId="16" fillId="0" borderId="131" xfId="59" applyNumberFormat="1" applyFont="1" applyBorder="1" applyAlignment="1">
      <alignment horizontal="right" vertical="center"/>
      <protection/>
    </xf>
    <xf numFmtId="0" fontId="23" fillId="0" borderId="21" xfId="59" applyFont="1" applyBorder="1" applyAlignment="1">
      <alignment horizontal="left" vertical="center" wrapText="1"/>
      <protection/>
    </xf>
    <xf numFmtId="0" fontId="50" fillId="0" borderId="19" xfId="59" applyFont="1" applyBorder="1" applyAlignment="1">
      <alignment horizontal="center" vertical="center"/>
      <protection/>
    </xf>
    <xf numFmtId="0" fontId="50" fillId="0" borderId="73" xfId="59" applyFont="1" applyBorder="1" applyAlignment="1">
      <alignment horizontal="center" vertical="center"/>
      <protection/>
    </xf>
    <xf numFmtId="0" fontId="50" fillId="0" borderId="58" xfId="59" applyFont="1" applyBorder="1" applyAlignment="1">
      <alignment horizontal="center" vertical="center"/>
      <protection/>
    </xf>
    <xf numFmtId="0" fontId="50" fillId="0" borderId="59" xfId="59" applyFont="1" applyBorder="1" applyAlignment="1">
      <alignment horizontal="center" vertical="center"/>
      <protection/>
    </xf>
    <xf numFmtId="0" fontId="50" fillId="0" borderId="60" xfId="59" applyFont="1" applyBorder="1" applyAlignment="1">
      <alignment horizontal="center" vertical="center"/>
      <protection/>
    </xf>
    <xf numFmtId="0" fontId="24" fillId="0" borderId="26" xfId="59" applyFont="1" applyBorder="1" applyAlignment="1">
      <alignment horizontal="right" vertical="center"/>
      <protection/>
    </xf>
    <xf numFmtId="0" fontId="24" fillId="0" borderId="25" xfId="59" applyFont="1" applyBorder="1" applyAlignment="1">
      <alignment horizontal="right" vertical="center"/>
      <protection/>
    </xf>
    <xf numFmtId="0" fontId="24" fillId="0" borderId="22" xfId="59" applyFont="1" applyBorder="1" applyAlignment="1">
      <alignment horizontal="right" vertical="center"/>
      <protection/>
    </xf>
    <xf numFmtId="0" fontId="23" fillId="0" borderId="58" xfId="59" applyFont="1" applyBorder="1" applyAlignment="1">
      <alignment horizontal="left" vertical="center" wrapText="1"/>
      <protection/>
    </xf>
    <xf numFmtId="0" fontId="23" fillId="0" borderId="59" xfId="59" applyFont="1" applyBorder="1" applyAlignment="1">
      <alignment horizontal="left" vertical="center" wrapText="1"/>
      <protection/>
    </xf>
    <xf numFmtId="0" fontId="36" fillId="0" borderId="132" xfId="59" applyFont="1" applyBorder="1" applyAlignment="1">
      <alignment horizontal="center"/>
      <protection/>
    </xf>
    <xf numFmtId="0" fontId="19" fillId="0" borderId="46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36" fillId="0" borderId="19" xfId="59" applyFont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23" fillId="0" borderId="26" xfId="59" applyFont="1" applyBorder="1" applyAlignment="1">
      <alignment horizontal="left" wrapText="1"/>
      <protection/>
    </xf>
    <xf numFmtId="0" fontId="51" fillId="0" borderId="38" xfId="59" applyFont="1" applyBorder="1" applyAlignment="1">
      <alignment horizontal="left" wrapText="1"/>
      <protection/>
    </xf>
    <xf numFmtId="0" fontId="19" fillId="0" borderId="23" xfId="0" applyFont="1" applyBorder="1" applyAlignment="1">
      <alignment horizontal="right"/>
    </xf>
    <xf numFmtId="0" fontId="50" fillId="36" borderId="45" xfId="59" applyFont="1" applyFill="1" applyBorder="1" applyAlignment="1">
      <alignment vertical="center" wrapText="1"/>
      <protection/>
    </xf>
    <xf numFmtId="0" fontId="15" fillId="36" borderId="61" xfId="0" applyFont="1" applyFill="1" applyBorder="1" applyAlignment="1">
      <alignment vertical="center" wrapText="1"/>
    </xf>
    <xf numFmtId="0" fontId="15" fillId="36" borderId="121" xfId="0" applyFont="1" applyFill="1" applyBorder="1" applyAlignment="1">
      <alignment vertical="center" wrapText="1"/>
    </xf>
    <xf numFmtId="0" fontId="23" fillId="0" borderId="25" xfId="59" applyFont="1" applyBorder="1" applyAlignment="1">
      <alignment horizontal="left" vertical="center" wrapText="1"/>
      <protection/>
    </xf>
    <xf numFmtId="0" fontId="23" fillId="0" borderId="21" xfId="59" applyFont="1" applyBorder="1" applyAlignment="1">
      <alignment horizontal="left" vertical="center"/>
      <protection/>
    </xf>
    <xf numFmtId="0" fontId="23" fillId="0" borderId="57" xfId="59" applyFont="1" applyBorder="1" applyAlignment="1">
      <alignment horizontal="left" vertical="center" wrapText="1"/>
      <protection/>
    </xf>
    <xf numFmtId="0" fontId="16" fillId="36" borderId="45" xfId="59" applyFont="1" applyFill="1" applyBorder="1" applyAlignment="1">
      <alignment horizontal="right"/>
      <protection/>
    </xf>
    <xf numFmtId="0" fontId="19" fillId="36" borderId="61" xfId="0" applyFont="1" applyFill="1" applyBorder="1" applyAlignment="1">
      <alignment horizontal="right"/>
    </xf>
    <xf numFmtId="0" fontId="19" fillId="36" borderId="121" xfId="0" applyFont="1" applyFill="1" applyBorder="1" applyAlignment="1">
      <alignment horizontal="right"/>
    </xf>
    <xf numFmtId="3" fontId="16" fillId="0" borderId="30" xfId="59" applyNumberFormat="1" applyFont="1" applyBorder="1" applyAlignment="1">
      <alignment horizontal="right" vertical="center"/>
      <protection/>
    </xf>
    <xf numFmtId="0" fontId="23" fillId="0" borderId="26" xfId="59" applyFont="1" applyBorder="1" applyAlignment="1">
      <alignment horizontal="left" vertical="center"/>
      <protection/>
    </xf>
    <xf numFmtId="0" fontId="23" fillId="0" borderId="25" xfId="59" applyFont="1" applyBorder="1" applyAlignment="1">
      <alignment horizontal="left" vertical="center"/>
      <protection/>
    </xf>
    <xf numFmtId="3" fontId="23" fillId="0" borderId="30" xfId="0" applyNumberFormat="1" applyFont="1" applyBorder="1" applyAlignment="1">
      <alignment horizontal="center" vertical="center"/>
    </xf>
    <xf numFmtId="3" fontId="23" fillId="0" borderId="29" xfId="0" applyNumberFormat="1" applyFont="1" applyBorder="1" applyAlignment="1">
      <alignment horizontal="center" vertical="center"/>
    </xf>
    <xf numFmtId="0" fontId="24" fillId="0" borderId="122" xfId="59" applyFont="1" applyBorder="1" applyAlignment="1">
      <alignment horizontal="right"/>
      <protection/>
    </xf>
    <xf numFmtId="0" fontId="24" fillId="0" borderId="108" xfId="59" applyFont="1" applyBorder="1" applyAlignment="1">
      <alignment horizontal="right"/>
      <protection/>
    </xf>
    <xf numFmtId="0" fontId="24" fillId="0" borderId="116" xfId="59" applyFont="1" applyBorder="1" applyAlignment="1">
      <alignment horizontal="right"/>
      <protection/>
    </xf>
    <xf numFmtId="0" fontId="23" fillId="0" borderId="33" xfId="59" applyFont="1" applyBorder="1" applyAlignment="1">
      <alignment horizontal="left" vertical="center"/>
      <protection/>
    </xf>
    <xf numFmtId="0" fontId="23" fillId="0" borderId="19" xfId="59" applyFont="1" applyBorder="1" applyAlignment="1">
      <alignment horizontal="left" vertical="center"/>
      <protection/>
    </xf>
    <xf numFmtId="0" fontId="24" fillId="0" borderId="49" xfId="59" applyFont="1" applyBorder="1" applyAlignment="1">
      <alignment horizontal="right" vertical="center"/>
      <protection/>
    </xf>
    <xf numFmtId="0" fontId="24" fillId="0" borderId="133" xfId="59" applyFont="1" applyBorder="1" applyAlignment="1">
      <alignment horizontal="right" vertical="center"/>
      <protection/>
    </xf>
    <xf numFmtId="0" fontId="16" fillId="36" borderId="45" xfId="59" applyFont="1" applyFill="1" applyBorder="1" applyAlignment="1">
      <alignment horizontal="right" vertical="center"/>
      <protection/>
    </xf>
    <xf numFmtId="0" fontId="19" fillId="36" borderId="61" xfId="0" applyFont="1" applyFill="1" applyBorder="1" applyAlignment="1">
      <alignment horizontal="right" vertical="center"/>
    </xf>
    <xf numFmtId="0" fontId="19" fillId="36" borderId="121" xfId="0" applyFont="1" applyFill="1" applyBorder="1" applyAlignment="1">
      <alignment horizontal="right" vertical="center"/>
    </xf>
    <xf numFmtId="0" fontId="17" fillId="0" borderId="0" xfId="60" applyFont="1" applyFill="1" applyAlignment="1">
      <alignment horizontal="right" vertical="center"/>
      <protection/>
    </xf>
    <xf numFmtId="0" fontId="17" fillId="0" borderId="0" xfId="60" applyFont="1" applyAlignment="1">
      <alignment horizontal="right"/>
      <protection/>
    </xf>
    <xf numFmtId="0" fontId="17" fillId="0" borderId="0" xfId="0" applyFont="1" applyAlignment="1">
      <alignment/>
    </xf>
    <xf numFmtId="3" fontId="16" fillId="0" borderId="130" xfId="59" applyNumberFormat="1" applyFont="1" applyBorder="1" applyAlignment="1">
      <alignment horizontal="center" vertical="center"/>
      <protection/>
    </xf>
    <xf numFmtId="3" fontId="16" fillId="0" borderId="131" xfId="59" applyNumberFormat="1" applyFont="1" applyBorder="1" applyAlignment="1">
      <alignment horizontal="center" vertical="center"/>
      <protection/>
    </xf>
    <xf numFmtId="3" fontId="16" fillId="0" borderId="33" xfId="59" applyNumberFormat="1" applyFont="1" applyBorder="1" applyAlignment="1">
      <alignment horizontal="right" vertical="center"/>
      <protection/>
    </xf>
    <xf numFmtId="3" fontId="16" fillId="0" borderId="128" xfId="59" applyNumberFormat="1" applyFont="1" applyBorder="1" applyAlignment="1">
      <alignment horizontal="right" vertical="center"/>
      <protection/>
    </xf>
    <xf numFmtId="0" fontId="19" fillId="0" borderId="19" xfId="59" applyFont="1" applyBorder="1" applyAlignment="1">
      <alignment horizontal="center" vertical="center"/>
      <protection/>
    </xf>
    <xf numFmtId="0" fontId="19" fillId="0" borderId="73" xfId="59" applyFont="1" applyBorder="1" applyAlignment="1">
      <alignment horizontal="center" vertical="center"/>
      <protection/>
    </xf>
    <xf numFmtId="0" fontId="19" fillId="0" borderId="58" xfId="59" applyFont="1" applyBorder="1" applyAlignment="1">
      <alignment horizontal="center" vertical="center"/>
      <protection/>
    </xf>
    <xf numFmtId="0" fontId="19" fillId="0" borderId="59" xfId="59" applyFont="1" applyBorder="1" applyAlignment="1">
      <alignment horizontal="center" vertical="center"/>
      <protection/>
    </xf>
    <xf numFmtId="0" fontId="19" fillId="0" borderId="60" xfId="59" applyFont="1" applyBorder="1" applyAlignment="1">
      <alignment horizontal="center" vertical="center"/>
      <protection/>
    </xf>
    <xf numFmtId="0" fontId="35" fillId="0" borderId="0" xfId="60" applyFont="1" applyFill="1" applyAlignment="1">
      <alignment horizontal="center" vertical="center" wrapText="1"/>
      <protection/>
    </xf>
    <xf numFmtId="0" fontId="23" fillId="0" borderId="57" xfId="59" applyFont="1" applyBorder="1" applyAlignment="1">
      <alignment horizontal="left"/>
      <protection/>
    </xf>
    <xf numFmtId="3" fontId="16" fillId="0" borderId="134" xfId="59" applyNumberFormat="1" applyFont="1" applyBorder="1" applyAlignment="1">
      <alignment horizontal="right" vertical="center"/>
      <protection/>
    </xf>
    <xf numFmtId="3" fontId="16" fillId="0" borderId="51" xfId="59" applyNumberFormat="1" applyFont="1" applyBorder="1" applyAlignment="1">
      <alignment horizontal="right" vertical="center"/>
      <protection/>
    </xf>
    <xf numFmtId="0" fontId="23" fillId="0" borderId="38" xfId="59" applyFont="1" applyBorder="1" applyAlignment="1">
      <alignment horizontal="left"/>
      <protection/>
    </xf>
    <xf numFmtId="0" fontId="23" fillId="0" borderId="34" xfId="59" applyFont="1" applyBorder="1" applyAlignment="1">
      <alignment horizontal="left"/>
      <protection/>
    </xf>
    <xf numFmtId="0" fontId="23" fillId="0" borderId="19" xfId="59" applyFont="1" applyBorder="1" applyAlignment="1">
      <alignment horizontal="left"/>
      <protection/>
    </xf>
    <xf numFmtId="0" fontId="51" fillId="0" borderId="48" xfId="59" applyFont="1" applyBorder="1" applyAlignment="1">
      <alignment horizontal="left" vertical="center"/>
      <protection/>
    </xf>
    <xf numFmtId="0" fontId="51" fillId="0" borderId="49" xfId="59" applyFont="1" applyBorder="1" applyAlignment="1">
      <alignment horizontal="left" vertical="center"/>
      <protection/>
    </xf>
    <xf numFmtId="3" fontId="16" fillId="0" borderId="123" xfId="59" applyNumberFormat="1" applyFont="1" applyBorder="1" applyAlignment="1">
      <alignment horizontal="right" vertical="center" wrapText="1"/>
      <protection/>
    </xf>
    <xf numFmtId="3" fontId="16" fillId="0" borderId="75" xfId="59" applyNumberFormat="1" applyFont="1" applyBorder="1" applyAlignment="1">
      <alignment horizontal="right" vertical="center" wrapText="1"/>
      <protection/>
    </xf>
    <xf numFmtId="0" fontId="23" fillId="0" borderId="57" xfId="59" applyFont="1" applyBorder="1" applyAlignment="1">
      <alignment horizontal="left" vertical="center"/>
      <protection/>
    </xf>
    <xf numFmtId="0" fontId="23" fillId="0" borderId="100" xfId="59" applyFont="1" applyBorder="1" applyAlignment="1">
      <alignment horizontal="center" vertical="center" wrapText="1"/>
      <protection/>
    </xf>
    <xf numFmtId="0" fontId="23" fillId="0" borderId="66" xfId="59" applyFont="1" applyBorder="1" applyAlignment="1">
      <alignment horizontal="center" vertical="center" wrapText="1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32" fillId="0" borderId="0" xfId="0" applyFont="1" applyAlignment="1">
      <alignment/>
    </xf>
    <xf numFmtId="0" fontId="53" fillId="0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1" fillId="0" borderId="135" xfId="0" applyFont="1" applyBorder="1" applyAlignment="1">
      <alignment horizontal="center" vertical="center"/>
    </xf>
    <xf numFmtId="0" fontId="21" fillId="0" borderId="1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33" borderId="13" xfId="61" applyFont="1" applyFill="1" applyBorder="1" applyAlignment="1">
      <alignment horizontal="right"/>
      <protection/>
    </xf>
    <xf numFmtId="0" fontId="2" fillId="33" borderId="10" xfId="61" applyFont="1" applyFill="1" applyBorder="1" applyAlignment="1">
      <alignment horizontal="right"/>
      <protection/>
    </xf>
    <xf numFmtId="0" fontId="31" fillId="33" borderId="13" xfId="61" applyFont="1" applyFill="1" applyBorder="1" applyAlignment="1">
      <alignment horizontal="left"/>
      <protection/>
    </xf>
    <xf numFmtId="0" fontId="31" fillId="33" borderId="10" xfId="61" applyFont="1" applyFill="1" applyBorder="1" applyAlignment="1">
      <alignment horizontal="left"/>
      <protection/>
    </xf>
    <xf numFmtId="0" fontId="1" fillId="0" borderId="123" xfId="61" applyFont="1" applyBorder="1" applyAlignment="1">
      <alignment horizontal="center" vertical="center" wrapText="1"/>
      <protection/>
    </xf>
    <xf numFmtId="0" fontId="14" fillId="0" borderId="16" xfId="61" applyBorder="1" applyAlignment="1">
      <alignment horizontal="center" vertical="center" wrapText="1"/>
      <protection/>
    </xf>
    <xf numFmtId="0" fontId="1" fillId="0" borderId="136" xfId="61" applyFont="1" applyBorder="1" applyAlignment="1">
      <alignment horizontal="center" vertical="center"/>
      <protection/>
    </xf>
    <xf numFmtId="0" fontId="1" fillId="0" borderId="137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82" xfId="61" applyFont="1" applyBorder="1" applyAlignment="1">
      <alignment horizontal="center" vertical="center"/>
      <protection/>
    </xf>
    <xf numFmtId="0" fontId="1" fillId="0" borderId="138" xfId="61" applyFont="1" applyBorder="1" applyAlignment="1">
      <alignment horizontal="center" vertical="center"/>
      <protection/>
    </xf>
    <xf numFmtId="0" fontId="1" fillId="0" borderId="94" xfId="61" applyFont="1" applyBorder="1" applyAlignment="1">
      <alignment horizontal="center" vertical="center"/>
      <protection/>
    </xf>
    <xf numFmtId="0" fontId="1" fillId="0" borderId="139" xfId="61" applyFont="1" applyBorder="1" applyAlignment="1">
      <alignment horizontal="center" vertical="center"/>
      <protection/>
    </xf>
    <xf numFmtId="0" fontId="1" fillId="0" borderId="94" xfId="61" applyFont="1" applyBorder="1" applyAlignment="1">
      <alignment horizontal="center" vertical="center" wrapText="1"/>
      <protection/>
    </xf>
    <xf numFmtId="0" fontId="1" fillId="0" borderId="95" xfId="61" applyFont="1" applyBorder="1" applyAlignment="1">
      <alignment horizontal="center" vertical="center" wrapText="1"/>
      <protection/>
    </xf>
    <xf numFmtId="0" fontId="1" fillId="0" borderId="82" xfId="61" applyFont="1" applyBorder="1" applyAlignment="1">
      <alignment horizontal="center" vertical="center" wrapText="1"/>
      <protection/>
    </xf>
    <xf numFmtId="0" fontId="1" fillId="0" borderId="139" xfId="6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right" vertical="center"/>
    </xf>
    <xf numFmtId="0" fontId="36" fillId="0" borderId="0" xfId="0" applyFont="1" applyAlignment="1">
      <alignment horizontal="center" wrapText="1"/>
    </xf>
    <xf numFmtId="0" fontId="20" fillId="0" borderId="123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6" fillId="0" borderId="57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56" fillId="0" borderId="100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56" fillId="0" borderId="138" xfId="0" applyFont="1" applyBorder="1" applyAlignment="1">
      <alignment horizontal="center" vertical="center" wrapText="1"/>
    </xf>
    <xf numFmtId="0" fontId="57" fillId="0" borderId="123" xfId="0" applyFont="1" applyBorder="1" applyAlignment="1">
      <alignment horizontal="center" vertical="center" wrapText="1"/>
    </xf>
    <xf numFmtId="0" fontId="57" fillId="0" borderId="7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3" fontId="0" fillId="37" borderId="123" xfId="0" applyNumberFormat="1" applyFill="1" applyBorder="1" applyAlignment="1">
      <alignment horizontal="center"/>
    </xf>
    <xf numFmtId="3" fontId="0" fillId="37" borderId="75" xfId="0" applyNumberFormat="1" applyFill="1" applyBorder="1" applyAlignment="1">
      <alignment horizontal="center"/>
    </xf>
    <xf numFmtId="3" fontId="0" fillId="37" borderId="51" xfId="0" applyNumberFormat="1" applyFill="1" applyBorder="1" applyAlignment="1">
      <alignment horizontal="center"/>
    </xf>
    <xf numFmtId="0" fontId="58" fillId="40" borderId="63" xfId="0" applyFont="1" applyFill="1" applyBorder="1" applyAlignment="1">
      <alignment horizontal="center" vertical="center"/>
    </xf>
    <xf numFmtId="0" fontId="58" fillId="40" borderId="46" xfId="0" applyFont="1" applyFill="1" applyBorder="1" applyAlignment="1">
      <alignment horizontal="center" vertical="center"/>
    </xf>
    <xf numFmtId="0" fontId="58" fillId="40" borderId="140" xfId="0" applyFont="1" applyFill="1" applyBorder="1" applyAlignment="1">
      <alignment horizontal="center" vertical="center"/>
    </xf>
    <xf numFmtId="0" fontId="59" fillId="0" borderId="141" xfId="0" applyFont="1" applyBorder="1" applyAlignment="1">
      <alignment horizontal="left" vertical="center"/>
    </xf>
    <xf numFmtId="0" fontId="59" fillId="0" borderId="142" xfId="0" applyFont="1" applyBorder="1" applyAlignment="1">
      <alignment horizontal="left" vertical="center"/>
    </xf>
    <xf numFmtId="0" fontId="59" fillId="0" borderId="143" xfId="0" applyFont="1" applyBorder="1" applyAlignment="1">
      <alignment horizontal="left" vertical="center"/>
    </xf>
    <xf numFmtId="3" fontId="0" fillId="37" borderId="124" xfId="0" applyNumberForma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/>
    </xf>
    <xf numFmtId="0" fontId="59" fillId="0" borderId="141" xfId="0" applyFont="1" applyBorder="1" applyAlignment="1">
      <alignment horizontal="left" vertical="center" wrapText="1"/>
    </xf>
    <xf numFmtId="0" fontId="59" fillId="0" borderId="142" xfId="0" applyFont="1" applyBorder="1" applyAlignment="1">
      <alignment horizontal="left" vertical="center" wrapText="1"/>
    </xf>
    <xf numFmtId="0" fontId="59" fillId="0" borderId="143" xfId="0" applyFont="1" applyBorder="1" applyAlignment="1">
      <alignment horizontal="left" vertical="center" wrapText="1"/>
    </xf>
    <xf numFmtId="3" fontId="0" fillId="37" borderId="30" xfId="0" applyNumberFormat="1" applyFill="1" applyBorder="1" applyAlignment="1">
      <alignment horizontal="center"/>
    </xf>
    <xf numFmtId="3" fontId="0" fillId="37" borderId="29" xfId="0" applyNumberFormat="1" applyFill="1" applyBorder="1" applyAlignment="1">
      <alignment horizontal="center"/>
    </xf>
    <xf numFmtId="0" fontId="59" fillId="0" borderId="144" xfId="0" applyFont="1" applyBorder="1" applyAlignment="1">
      <alignment horizontal="left" vertical="center" wrapText="1"/>
    </xf>
    <xf numFmtId="0" fontId="59" fillId="0" borderId="125" xfId="0" applyFont="1" applyBorder="1" applyAlignment="1">
      <alignment horizontal="left" vertical="center" wrapText="1"/>
    </xf>
    <xf numFmtId="3" fontId="0" fillId="4" borderId="117" xfId="0" applyNumberFormat="1" applyFill="1" applyBorder="1" applyAlignment="1">
      <alignment horizontal="right" vertical="center"/>
    </xf>
    <xf numFmtId="3" fontId="0" fillId="4" borderId="93" xfId="0" applyNumberFormat="1" applyFill="1" applyBorder="1" applyAlignment="1">
      <alignment horizontal="right" vertical="center"/>
    </xf>
    <xf numFmtId="3" fontId="22" fillId="35" borderId="46" xfId="0" applyNumberFormat="1" applyFont="1" applyFill="1" applyBorder="1" applyAlignment="1">
      <alignment horizontal="center"/>
    </xf>
    <xf numFmtId="0" fontId="59" fillId="0" borderId="33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73" xfId="0" applyFont="1" applyBorder="1" applyAlignment="1">
      <alignment horizontal="left" vertical="center" wrapText="1"/>
    </xf>
    <xf numFmtId="0" fontId="16" fillId="0" borderId="0" xfId="57" applyFont="1" applyAlignment="1">
      <alignment horizontal="center"/>
      <protection/>
    </xf>
    <xf numFmtId="0" fontId="18" fillId="0" borderId="13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21" fillId="0" borderId="13" xfId="57" applyFont="1" applyBorder="1" applyAlignment="1">
      <alignment horizontal="center" vertical="center" wrapText="1"/>
      <protection/>
    </xf>
    <xf numFmtId="0" fontId="86" fillId="0" borderId="13" xfId="57" applyFont="1" applyBorder="1" applyAlignment="1">
      <alignment horizontal="left" vertical="center" wrapText="1"/>
      <protection/>
    </xf>
    <xf numFmtId="3" fontId="87" fillId="0" borderId="13" xfId="57" applyNumberFormat="1" applyFont="1" applyBorder="1" applyAlignment="1">
      <alignment horizontal="right" vertical="center"/>
      <protection/>
    </xf>
    <xf numFmtId="0" fontId="21" fillId="0" borderId="13" xfId="57" applyFont="1" applyBorder="1" applyAlignment="1">
      <alignment horizontal="center"/>
      <protection/>
    </xf>
    <xf numFmtId="0" fontId="88" fillId="0" borderId="13" xfId="57" applyFont="1" applyBorder="1" applyAlignment="1">
      <alignment vertical="center"/>
      <protection/>
    </xf>
    <xf numFmtId="3" fontId="88" fillId="0" borderId="13" xfId="42" applyNumberFormat="1" applyFont="1" applyBorder="1" applyAlignment="1">
      <alignment horizontal="right"/>
    </xf>
    <xf numFmtId="0" fontId="88" fillId="0" borderId="13" xfId="57" applyFont="1" applyBorder="1">
      <alignment/>
      <protection/>
    </xf>
    <xf numFmtId="0" fontId="20" fillId="0" borderId="13" xfId="57" applyFont="1" applyBorder="1" applyAlignment="1">
      <alignment horizontal="left" vertical="center" indent="1"/>
      <protection/>
    </xf>
    <xf numFmtId="3" fontId="20" fillId="0" borderId="13" xfId="42" applyNumberFormat="1" applyFont="1" applyBorder="1" applyAlignment="1">
      <alignment horizontal="right"/>
    </xf>
    <xf numFmtId="0" fontId="20" fillId="0" borderId="13" xfId="57" applyFont="1" applyBorder="1" applyAlignment="1">
      <alignment horizontal="left" indent="1"/>
      <protection/>
    </xf>
    <xf numFmtId="0" fontId="23" fillId="0" borderId="13" xfId="57" applyFont="1" applyBorder="1" applyAlignment="1">
      <alignment horizontal="left" vertical="center" indent="2"/>
      <protection/>
    </xf>
    <xf numFmtId="3" fontId="23" fillId="0" borderId="13" xfId="42" applyNumberFormat="1" applyFont="1" applyBorder="1" applyAlignment="1">
      <alignment horizontal="right"/>
    </xf>
    <xf numFmtId="0" fontId="20" fillId="0" borderId="13" xfId="57" applyFont="1" applyBorder="1" applyAlignment="1">
      <alignment horizontal="left" vertical="top" indent="1"/>
      <protection/>
    </xf>
    <xf numFmtId="0" fontId="23" fillId="0" borderId="13" xfId="57" applyFont="1" applyBorder="1" applyAlignment="1">
      <alignment horizontal="left" indent="2"/>
      <protection/>
    </xf>
    <xf numFmtId="16" fontId="23" fillId="0" borderId="13" xfId="57" applyNumberFormat="1" applyFont="1" applyBorder="1" applyAlignment="1">
      <alignment horizontal="left" vertical="center" indent="2"/>
      <protection/>
    </xf>
    <xf numFmtId="0" fontId="19" fillId="0" borderId="13" xfId="57" applyFont="1" applyBorder="1">
      <alignment/>
      <protection/>
    </xf>
    <xf numFmtId="3" fontId="19" fillId="0" borderId="13" xfId="42" applyNumberFormat="1" applyFont="1" applyBorder="1" applyAlignment="1">
      <alignment horizontal="right"/>
    </xf>
    <xf numFmtId="0" fontId="88" fillId="0" borderId="13" xfId="57" applyFont="1" applyBorder="1" applyAlignment="1">
      <alignment vertical="center" wrapText="1"/>
      <protection/>
    </xf>
    <xf numFmtId="0" fontId="23" fillId="0" borderId="13" xfId="57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8" fillId="0" borderId="10" xfId="57" applyFont="1" applyBorder="1" applyAlignment="1">
      <alignment horizontal="right" vertical="center"/>
      <protection/>
    </xf>
    <xf numFmtId="0" fontId="18" fillId="0" borderId="15" xfId="57" applyFont="1" applyBorder="1" applyAlignment="1">
      <alignment horizontal="right" vertical="center"/>
      <protection/>
    </xf>
    <xf numFmtId="3" fontId="18" fillId="0" borderId="13" xfId="57" applyNumberFormat="1" applyFont="1" applyBorder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5" xfId="57" applyFont="1" applyBorder="1" applyAlignment="1">
      <alignment horizontal="center" vertical="center" wrapText="1"/>
      <protection/>
    </xf>
    <xf numFmtId="0" fontId="21" fillId="0" borderId="12" xfId="57" applyFont="1" applyBorder="1" applyAlignment="1">
      <alignment horizontal="center" vertical="center" wrapText="1"/>
      <protection/>
    </xf>
    <xf numFmtId="3" fontId="86" fillId="0" borderId="13" xfId="42" applyNumberFormat="1" applyFont="1" applyBorder="1" applyAlignment="1">
      <alignment horizontal="right"/>
    </xf>
    <xf numFmtId="0" fontId="86" fillId="0" borderId="13" xfId="57" applyFont="1" applyBorder="1">
      <alignment/>
      <protection/>
    </xf>
    <xf numFmtId="0" fontId="88" fillId="0" borderId="13" xfId="57" applyFont="1" applyBorder="1" applyAlignment="1">
      <alignment horizontal="left" vertical="center" wrapText="1"/>
      <protection/>
    </xf>
    <xf numFmtId="0" fontId="86" fillId="0" borderId="13" xfId="57" applyFont="1" applyBorder="1" applyAlignment="1">
      <alignment vertical="top"/>
      <protection/>
    </xf>
    <xf numFmtId="0" fontId="88" fillId="0" borderId="13" xfId="57" applyFont="1" applyBorder="1" applyAlignment="1">
      <alignment horizontal="left" vertical="center"/>
      <protection/>
    </xf>
    <xf numFmtId="0" fontId="89" fillId="0" borderId="13" xfId="57" applyFont="1" applyBorder="1" applyAlignment="1">
      <alignment horizontal="right"/>
      <protection/>
    </xf>
    <xf numFmtId="3" fontId="87" fillId="0" borderId="13" xfId="42" applyNumberFormat="1" applyFont="1" applyBorder="1" applyAlignment="1">
      <alignment horizontal="right"/>
    </xf>
    <xf numFmtId="0" fontId="16" fillId="0" borderId="10" xfId="57" applyFont="1" applyBorder="1" applyAlignment="1">
      <alignment horizontal="center" vertical="center"/>
      <protection/>
    </xf>
    <xf numFmtId="0" fontId="16" fillId="0" borderId="15" xfId="57" applyFont="1" applyBorder="1" applyAlignment="1">
      <alignment horizontal="center" vertical="center"/>
      <protection/>
    </xf>
    <xf numFmtId="0" fontId="16" fillId="0" borderId="12" xfId="57" applyFont="1" applyBorder="1" applyAlignment="1">
      <alignment horizontal="center" vertical="center"/>
      <protection/>
    </xf>
    <xf numFmtId="0" fontId="21" fillId="0" borderId="135" xfId="57" applyFont="1" applyBorder="1" applyAlignment="1">
      <alignment horizontal="center" vertical="center"/>
      <protection/>
    </xf>
    <xf numFmtId="0" fontId="21" fillId="0" borderId="27" xfId="57" applyFont="1" applyBorder="1" applyAlignment="1">
      <alignment horizontal="center" vertical="center"/>
      <protection/>
    </xf>
    <xf numFmtId="0" fontId="21" fillId="0" borderId="1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right" vertical="center"/>
      <protection/>
    </xf>
    <xf numFmtId="0" fontId="119" fillId="0" borderId="0" xfId="57" applyFont="1" applyAlignment="1">
      <alignment horizontal="right"/>
      <protection/>
    </xf>
    <xf numFmtId="49" fontId="16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4" fillId="0" borderId="59" xfId="0" applyFont="1" applyBorder="1" applyAlignment="1">
      <alignment horizontal="center" vertical="center"/>
    </xf>
    <xf numFmtId="49" fontId="21" fillId="0" borderId="117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54" fillId="0" borderId="114" xfId="0" applyFont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/>
    </xf>
    <xf numFmtId="0" fontId="21" fillId="0" borderId="145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146" xfId="0" applyFont="1" applyBorder="1" applyAlignment="1">
      <alignment horizontal="center" vertical="center" wrapText="1"/>
    </xf>
    <xf numFmtId="49" fontId="21" fillId="0" borderId="99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54" fillId="0" borderId="74" xfId="0" applyFont="1" applyBorder="1" applyAlignment="1">
      <alignment horizontal="center" vertical="center" wrapText="1"/>
    </xf>
    <xf numFmtId="0" fontId="37" fillId="0" borderId="135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7" xfId="0" applyFont="1" applyBorder="1" applyAlignment="1">
      <alignment horizontal="center" vertical="center" wrapText="1"/>
    </xf>
    <xf numFmtId="0" fontId="21" fillId="0" borderId="147" xfId="0" applyFont="1" applyBorder="1" applyAlignment="1">
      <alignment horizontal="center" vertical="center" wrapText="1"/>
    </xf>
    <xf numFmtId="0" fontId="54" fillId="0" borderId="148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21" fillId="0" borderId="93" xfId="0" applyNumberFormat="1" applyFont="1" applyBorder="1" applyAlignment="1">
      <alignment horizontal="center" vertical="center"/>
    </xf>
    <xf numFmtId="0" fontId="33" fillId="0" borderId="118" xfId="0" applyFont="1" applyBorder="1" applyAlignment="1">
      <alignment horizontal="center" vertical="center"/>
    </xf>
    <xf numFmtId="0" fontId="48" fillId="0" borderId="149" xfId="0" applyFont="1" applyBorder="1" applyAlignment="1">
      <alignment horizontal="center" vertical="center" wrapText="1"/>
    </xf>
    <xf numFmtId="0" fontId="34" fillId="0" borderId="120" xfId="0" applyFont="1" applyBorder="1" applyAlignment="1">
      <alignment horizontal="center" vertical="center" wrapText="1"/>
    </xf>
    <xf numFmtId="0" fontId="34" fillId="0" borderId="118" xfId="0" applyFont="1" applyBorder="1" applyAlignment="1">
      <alignment horizontal="center" vertical="center" wrapText="1"/>
    </xf>
    <xf numFmtId="3" fontId="34" fillId="0" borderId="118" xfId="0" applyNumberFormat="1" applyFont="1" applyBorder="1" applyAlignment="1">
      <alignment horizontal="center" vertical="center"/>
    </xf>
    <xf numFmtId="0" fontId="34" fillId="0" borderId="14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93" xfId="0" applyNumberFormat="1" applyFont="1" applyBorder="1" applyAlignment="1">
      <alignment horizontal="center" vertical="center"/>
    </xf>
    <xf numFmtId="0" fontId="21" fillId="0" borderId="118" xfId="0" applyFont="1" applyBorder="1" applyAlignment="1">
      <alignment vertical="center" wrapText="1"/>
    </xf>
    <xf numFmtId="3" fontId="48" fillId="0" borderId="149" xfId="0" applyNumberFormat="1" applyFont="1" applyBorder="1" applyAlignment="1">
      <alignment vertical="center"/>
    </xf>
    <xf numFmtId="3" fontId="34" fillId="0" borderId="120" xfId="0" applyNumberFormat="1" applyFont="1" applyBorder="1" applyAlignment="1">
      <alignment vertical="center"/>
    </xf>
    <xf numFmtId="3" fontId="34" fillId="0" borderId="118" xfId="0" applyNumberFormat="1" applyFont="1" applyBorder="1" applyAlignment="1">
      <alignment vertical="center"/>
    </xf>
    <xf numFmtId="3" fontId="34" fillId="0" borderId="1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49" fontId="33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3" fontId="48" fillId="0" borderId="150" xfId="0" applyNumberFormat="1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3" fontId="48" fillId="0" borderId="15" xfId="0" applyNumberFormat="1" applyFont="1" applyBorder="1" applyAlignment="1">
      <alignment vertical="center"/>
    </xf>
    <xf numFmtId="49" fontId="34" fillId="0" borderId="11" xfId="0" applyNumberFormat="1" applyFont="1" applyBorder="1" applyAlignment="1">
      <alignment horizontal="center" textRotation="90"/>
    </xf>
    <xf numFmtId="3" fontId="48" fillId="0" borderId="13" xfId="0" applyNumberFormat="1" applyFont="1" applyBorder="1" applyAlignment="1">
      <alignment vertical="center"/>
    </xf>
    <xf numFmtId="3" fontId="48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horizontal="left" vertical="center" wrapText="1"/>
    </xf>
    <xf numFmtId="49" fontId="33" fillId="0" borderId="96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right" vertical="center"/>
    </xf>
    <xf numFmtId="3" fontId="34" fillId="0" borderId="135" xfId="0" applyNumberFormat="1" applyFont="1" applyBorder="1" applyAlignment="1">
      <alignment vertical="center"/>
    </xf>
    <xf numFmtId="3" fontId="48" fillId="0" borderId="136" xfId="0" applyNumberFormat="1" applyFont="1" applyBorder="1" applyAlignment="1">
      <alignment vertical="center"/>
    </xf>
    <xf numFmtId="3" fontId="34" fillId="0" borderId="137" xfId="0" applyNumberFormat="1" applyFont="1" applyBorder="1" applyAlignment="1">
      <alignment vertical="center"/>
    </xf>
    <xf numFmtId="0" fontId="21" fillId="0" borderId="135" xfId="0" applyFont="1" applyBorder="1" applyAlignment="1">
      <alignment vertical="center" wrapText="1"/>
    </xf>
    <xf numFmtId="49" fontId="20" fillId="0" borderId="101" xfId="0" applyNumberFormat="1" applyFont="1" applyBorder="1" applyAlignment="1">
      <alignment horizontal="center" vertical="center"/>
    </xf>
    <xf numFmtId="0" fontId="20" fillId="0" borderId="86" xfId="0" applyFont="1" applyBorder="1" applyAlignment="1">
      <alignment vertical="center"/>
    </xf>
    <xf numFmtId="3" fontId="55" fillId="0" borderId="98" xfId="0" applyNumberFormat="1" applyFont="1" applyBorder="1" applyAlignment="1">
      <alignment vertical="center"/>
    </xf>
    <xf numFmtId="3" fontId="20" fillId="0" borderId="116" xfId="0" applyNumberFormat="1" applyFont="1" applyBorder="1" applyAlignment="1">
      <alignment vertical="center"/>
    </xf>
    <xf numFmtId="3" fontId="20" fillId="0" borderId="98" xfId="0" applyNumberFormat="1" applyFont="1" applyBorder="1" applyAlignment="1">
      <alignment vertical="center"/>
    </xf>
    <xf numFmtId="49" fontId="119" fillId="0" borderId="0" xfId="0" applyNumberFormat="1" applyFont="1" applyFill="1" applyAlignment="1">
      <alignment horizontal="right" vertical="center"/>
    </xf>
    <xf numFmtId="0" fontId="33" fillId="0" borderId="27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3" fillId="0" borderId="151" xfId="0" applyFont="1" applyBorder="1" applyAlignment="1">
      <alignment horizontal="center" vertical="center" wrapText="1"/>
    </xf>
    <xf numFmtId="49" fontId="36" fillId="12" borderId="81" xfId="0" applyNumberFormat="1" applyFont="1" applyFill="1" applyBorder="1" applyAlignment="1">
      <alignment horizontal="left" vertical="center"/>
    </xf>
    <xf numFmtId="49" fontId="36" fillId="12" borderId="145" xfId="0" applyNumberFormat="1" applyFont="1" applyFill="1" applyBorder="1" applyAlignment="1">
      <alignment horizontal="left" vertical="center"/>
    </xf>
    <xf numFmtId="49" fontId="36" fillId="12" borderId="152" xfId="0" applyNumberFormat="1" applyFont="1" applyFill="1" applyBorder="1" applyAlignment="1">
      <alignment horizontal="left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3" fontId="17" fillId="0" borderId="13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49" fontId="17" fillId="0" borderId="96" xfId="0" applyNumberFormat="1" applyFont="1" applyBorder="1" applyAlignment="1">
      <alignment horizontal="center" vertical="center"/>
    </xf>
    <xf numFmtId="0" fontId="18" fillId="0" borderId="135" xfId="0" applyFont="1" applyBorder="1" applyAlignment="1">
      <alignment vertical="center" wrapText="1"/>
    </xf>
    <xf numFmtId="3" fontId="17" fillId="0" borderId="137" xfId="0" applyNumberFormat="1" applyFont="1" applyBorder="1" applyAlignment="1">
      <alignment vertical="center"/>
    </xf>
    <xf numFmtId="49" fontId="17" fillId="0" borderId="99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vertical="center" wrapText="1"/>
    </xf>
    <xf numFmtId="3" fontId="17" fillId="0" borderId="23" xfId="0" applyNumberFormat="1" applyFont="1" applyBorder="1" applyAlignment="1">
      <alignment vertical="center"/>
    </xf>
    <xf numFmtId="3" fontId="18" fillId="0" borderId="147" xfId="0" applyNumberFormat="1" applyFont="1" applyBorder="1" applyAlignment="1">
      <alignment vertical="center"/>
    </xf>
    <xf numFmtId="49" fontId="18" fillId="0" borderId="91" xfId="0" applyNumberFormat="1" applyFont="1" applyBorder="1" applyAlignment="1">
      <alignment horizontal="center" vertical="center"/>
    </xf>
    <xf numFmtId="0" fontId="18" fillId="0" borderId="67" xfId="0" applyFont="1" applyBorder="1" applyAlignment="1">
      <alignment vertical="center"/>
    </xf>
    <xf numFmtId="3" fontId="18" fillId="0" borderId="153" xfId="0" applyNumberFormat="1" applyFont="1" applyBorder="1" applyAlignment="1">
      <alignment vertical="center"/>
    </xf>
    <xf numFmtId="3" fontId="18" fillId="0" borderId="154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3" fontId="18" fillId="0" borderId="151" xfId="0" applyNumberFormat="1" applyFont="1" applyBorder="1" applyAlignment="1">
      <alignment vertical="center"/>
    </xf>
    <xf numFmtId="0" fontId="16" fillId="0" borderId="0" xfId="60" applyFont="1" applyAlignment="1">
      <alignment horizontal="center" vertical="center" wrapText="1"/>
      <protection/>
    </xf>
    <xf numFmtId="0" fontId="20" fillId="0" borderId="0" xfId="60" applyFont="1" applyAlignment="1">
      <alignment vertical="center"/>
      <protection/>
    </xf>
    <xf numFmtId="0" fontId="16" fillId="0" borderId="0" xfId="60" applyFont="1" applyAlignment="1">
      <alignment vertical="center" wrapText="1"/>
      <protection/>
    </xf>
    <xf numFmtId="0" fontId="20" fillId="0" borderId="0" xfId="60" applyFont="1" applyAlignment="1">
      <alignment horizontal="left" vertical="center"/>
      <protection/>
    </xf>
    <xf numFmtId="49" fontId="21" fillId="0" borderId="117" xfId="60" applyNumberFormat="1" applyFont="1" applyBorder="1" applyAlignment="1">
      <alignment horizontal="center" vertical="center"/>
      <protection/>
    </xf>
    <xf numFmtId="0" fontId="21" fillId="0" borderId="47" xfId="60" applyFont="1" applyBorder="1" applyAlignment="1">
      <alignment horizontal="center" vertical="center"/>
      <protection/>
    </xf>
    <xf numFmtId="0" fontId="16" fillId="0" borderId="107" xfId="60" applyFont="1" applyBorder="1" applyAlignment="1">
      <alignment horizontal="center" vertical="center"/>
      <protection/>
    </xf>
    <xf numFmtId="0" fontId="16" fillId="0" borderId="154" xfId="60" applyFont="1" applyBorder="1" applyAlignment="1">
      <alignment horizontal="center" vertical="center"/>
      <protection/>
    </xf>
    <xf numFmtId="0" fontId="33" fillId="0" borderId="0" xfId="60" applyFont="1" applyAlignment="1">
      <alignment vertical="center"/>
      <protection/>
    </xf>
    <xf numFmtId="0" fontId="34" fillId="0" borderId="59" xfId="60" applyFont="1" applyBorder="1" applyAlignment="1">
      <alignment horizontal="center" vertical="center"/>
      <protection/>
    </xf>
    <xf numFmtId="49" fontId="21" fillId="0" borderId="99" xfId="60" applyNumberFormat="1" applyFont="1" applyBorder="1" applyAlignment="1">
      <alignment horizontal="center" vertical="center"/>
      <protection/>
    </xf>
    <xf numFmtId="0" fontId="21" fillId="0" borderId="27" xfId="60" applyFont="1" applyBorder="1" applyAlignment="1">
      <alignment horizontal="center" vertical="center"/>
      <protection/>
    </xf>
    <xf numFmtId="0" fontId="21" fillId="0" borderId="30" xfId="60" applyFont="1" applyBorder="1" applyAlignment="1">
      <alignment horizontal="center" vertical="center" wrapText="1"/>
      <protection/>
    </xf>
    <xf numFmtId="0" fontId="21" fillId="0" borderId="120" xfId="60" applyFont="1" applyBorder="1" applyAlignment="1">
      <alignment horizontal="center" vertical="center" wrapText="1"/>
      <protection/>
    </xf>
    <xf numFmtId="0" fontId="21" fillId="0" borderId="118" xfId="60" applyFont="1" applyBorder="1" applyAlignment="1">
      <alignment horizontal="center" vertical="center" wrapText="1"/>
      <protection/>
    </xf>
    <xf numFmtId="0" fontId="21" fillId="0" borderId="18" xfId="60" applyFont="1" applyBorder="1" applyAlignment="1">
      <alignment horizontal="center" vertical="center" wrapText="1"/>
      <protection/>
    </xf>
    <xf numFmtId="0" fontId="18" fillId="0" borderId="123" xfId="60" applyFont="1" applyBorder="1" applyAlignment="1">
      <alignment horizontal="center" vertical="center" wrapText="1"/>
      <protection/>
    </xf>
    <xf numFmtId="0" fontId="21" fillId="0" borderId="29" xfId="60" applyFont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14" xfId="60" applyFont="1" applyBorder="1" applyAlignment="1">
      <alignment horizontal="center" vertical="center" wrapText="1"/>
      <protection/>
    </xf>
    <xf numFmtId="0" fontId="18" fillId="0" borderId="75" xfId="60" applyFont="1" applyBorder="1" applyAlignment="1">
      <alignment horizontal="center" vertical="center" wrapText="1"/>
      <protection/>
    </xf>
    <xf numFmtId="49" fontId="21" fillId="0" borderId="155" xfId="60" applyNumberFormat="1" applyFont="1" applyBorder="1" applyAlignment="1">
      <alignment horizontal="center" vertical="center"/>
      <protection/>
    </xf>
    <xf numFmtId="0" fontId="21" fillId="0" borderId="156" xfId="60" applyFont="1" applyBorder="1" applyAlignment="1">
      <alignment horizontal="center" vertical="center"/>
      <protection/>
    </xf>
    <xf numFmtId="0" fontId="21" fillId="0" borderId="60" xfId="60" applyFont="1" applyBorder="1" applyAlignment="1">
      <alignment horizontal="center" vertical="center" wrapText="1"/>
      <protection/>
    </xf>
    <xf numFmtId="0" fontId="21" fillId="0" borderId="101" xfId="60" applyFont="1" applyBorder="1" applyAlignment="1">
      <alignment horizontal="center" vertical="center" wrapText="1"/>
      <protection/>
    </xf>
    <xf numFmtId="0" fontId="21" fillId="0" borderId="86" xfId="60" applyFont="1" applyBorder="1" applyAlignment="1">
      <alignment horizontal="center" vertical="center" wrapText="1"/>
      <protection/>
    </xf>
    <xf numFmtId="0" fontId="21" fillId="0" borderId="98" xfId="60" applyFont="1" applyBorder="1" applyAlignment="1">
      <alignment horizontal="center" vertical="center" wrapText="1"/>
      <protection/>
    </xf>
    <xf numFmtId="0" fontId="21" fillId="0" borderId="116" xfId="60" applyFont="1" applyBorder="1" applyAlignment="1">
      <alignment horizontal="center" vertical="center" wrapText="1"/>
      <protection/>
    </xf>
    <xf numFmtId="0" fontId="18" fillId="0" borderId="124" xfId="60" applyFont="1" applyBorder="1" applyAlignment="1">
      <alignment horizontal="center" vertical="center" wrapText="1"/>
      <protection/>
    </xf>
    <xf numFmtId="49" fontId="33" fillId="0" borderId="94" xfId="60" applyNumberFormat="1" applyFont="1" applyBorder="1" applyAlignment="1">
      <alignment horizontal="center" vertical="center"/>
      <protection/>
    </xf>
    <xf numFmtId="0" fontId="21" fillId="0" borderId="82" xfId="60" applyFont="1" applyBorder="1" applyAlignment="1">
      <alignment vertical="center" wrapText="1"/>
      <protection/>
    </xf>
    <xf numFmtId="3" fontId="34" fillId="0" borderId="139" xfId="60" applyNumberFormat="1" applyFont="1" applyBorder="1" applyAlignment="1">
      <alignment vertical="center" wrapText="1"/>
      <protection/>
    </xf>
    <xf numFmtId="3" fontId="34" fillId="0" borderId="93" xfId="60" applyNumberFormat="1" applyFont="1" applyBorder="1" applyAlignment="1">
      <alignment vertical="center" wrapText="1"/>
      <protection/>
    </xf>
    <xf numFmtId="3" fontId="34" fillId="0" borderId="118" xfId="60" applyNumberFormat="1" applyFont="1" applyBorder="1" applyAlignment="1">
      <alignment vertical="center" wrapText="1"/>
      <protection/>
    </xf>
    <xf numFmtId="3" fontId="34" fillId="0" borderId="14" xfId="60" applyNumberFormat="1" applyFont="1" applyBorder="1" applyAlignment="1">
      <alignment vertical="center" wrapText="1"/>
      <protection/>
    </xf>
    <xf numFmtId="3" fontId="114" fillId="0" borderId="120" xfId="60" applyNumberFormat="1" applyFont="1" applyBorder="1" applyAlignment="1">
      <alignment vertical="center" wrapText="1"/>
      <protection/>
    </xf>
    <xf numFmtId="3" fontId="114" fillId="0" borderId="118" xfId="60" applyNumberFormat="1" applyFont="1" applyBorder="1" applyAlignment="1">
      <alignment vertical="center" wrapText="1"/>
      <protection/>
    </xf>
    <xf numFmtId="3" fontId="33" fillId="0" borderId="120" xfId="60" applyNumberFormat="1" applyFont="1" applyBorder="1" applyAlignment="1">
      <alignment vertical="center"/>
      <protection/>
    </xf>
    <xf numFmtId="3" fontId="33" fillId="0" borderId="118" xfId="60" applyNumberFormat="1" applyFont="1" applyBorder="1" applyAlignment="1">
      <alignment vertical="center"/>
      <protection/>
    </xf>
    <xf numFmtId="3" fontId="21" fillId="0" borderId="17" xfId="60" applyNumberFormat="1" applyFont="1" applyBorder="1" applyAlignment="1">
      <alignment vertical="center"/>
      <protection/>
    </xf>
    <xf numFmtId="49" fontId="33" fillId="0" borderId="93" xfId="60" applyNumberFormat="1" applyFont="1" applyBorder="1" applyAlignment="1">
      <alignment horizontal="center" vertical="center"/>
      <protection/>
    </xf>
    <xf numFmtId="0" fontId="21" fillId="0" borderId="10" xfId="60" applyFont="1" applyBorder="1" applyAlignment="1">
      <alignment vertical="center" wrapText="1"/>
      <protection/>
    </xf>
    <xf numFmtId="3" fontId="34" fillId="0" borderId="18" xfId="60" applyNumberFormat="1" applyFont="1" applyBorder="1" applyAlignment="1">
      <alignment vertical="center" wrapText="1"/>
      <protection/>
    </xf>
    <xf numFmtId="3" fontId="34" fillId="0" borderId="120" xfId="60" applyNumberFormat="1" applyFont="1" applyBorder="1" applyAlignment="1">
      <alignment vertical="center" wrapText="1"/>
      <protection/>
    </xf>
    <xf numFmtId="3" fontId="49" fillId="0" borderId="14" xfId="60" applyNumberFormat="1" applyFont="1" applyBorder="1" applyAlignment="1">
      <alignment vertical="center"/>
      <protection/>
    </xf>
    <xf numFmtId="3" fontId="114" fillId="0" borderId="93" xfId="60" applyNumberFormat="1" applyFont="1" applyBorder="1" applyAlignment="1">
      <alignment vertical="center" wrapText="1"/>
      <protection/>
    </xf>
    <xf numFmtId="0" fontId="21" fillId="0" borderId="10" xfId="60" applyFont="1" applyBorder="1" applyAlignment="1">
      <alignment horizontal="left" vertical="center" wrapText="1"/>
      <protection/>
    </xf>
    <xf numFmtId="3" fontId="34" fillId="0" borderId="11" xfId="60" applyNumberFormat="1" applyFont="1" applyBorder="1" applyAlignment="1">
      <alignment vertical="center" wrapText="1"/>
      <protection/>
    </xf>
    <xf numFmtId="3" fontId="114" fillId="0" borderId="13" xfId="60" applyNumberFormat="1" applyFont="1" applyBorder="1" applyAlignment="1">
      <alignment vertical="center" wrapText="1"/>
      <protection/>
    </xf>
    <xf numFmtId="3" fontId="114" fillId="0" borderId="12" xfId="60" applyNumberFormat="1" applyFont="1" applyBorder="1" applyAlignment="1">
      <alignment vertical="center" wrapText="1"/>
      <protection/>
    </xf>
    <xf numFmtId="3" fontId="33" fillId="0" borderId="12" xfId="60" applyNumberFormat="1" applyFont="1" applyBorder="1" applyAlignment="1">
      <alignment vertical="center"/>
      <protection/>
    </xf>
    <xf numFmtId="3" fontId="33" fillId="0" borderId="13" xfId="60" applyNumberFormat="1" applyFont="1" applyBorder="1" applyAlignment="1">
      <alignment vertical="center"/>
      <protection/>
    </xf>
    <xf numFmtId="3" fontId="114" fillId="0" borderId="11" xfId="60" applyNumberFormat="1" applyFont="1" applyBorder="1" applyAlignment="1">
      <alignment vertical="center" wrapText="1"/>
      <protection/>
    </xf>
    <xf numFmtId="3" fontId="34" fillId="0" borderId="13" xfId="60" applyNumberFormat="1" applyFont="1" applyBorder="1" applyAlignment="1">
      <alignment vertical="center" wrapText="1"/>
      <protection/>
    </xf>
    <xf numFmtId="49" fontId="33" fillId="0" borderId="11" xfId="60" applyNumberFormat="1" applyFont="1" applyBorder="1" applyAlignment="1">
      <alignment horizontal="center" vertical="center"/>
      <protection/>
    </xf>
    <xf numFmtId="3" fontId="34" fillId="0" borderId="12" xfId="60" applyNumberFormat="1" applyFont="1" applyBorder="1" applyAlignment="1">
      <alignment vertical="center" wrapText="1"/>
      <protection/>
    </xf>
    <xf numFmtId="3" fontId="34" fillId="0" borderId="14" xfId="60" applyNumberFormat="1" applyFont="1" applyBorder="1" applyAlignment="1">
      <alignment horizontal="left" vertical="center" wrapText="1"/>
      <protection/>
    </xf>
    <xf numFmtId="0" fontId="21" fillId="0" borderId="136" xfId="60" applyFont="1" applyBorder="1" applyAlignment="1">
      <alignment vertical="center" wrapText="1"/>
      <protection/>
    </xf>
    <xf numFmtId="0" fontId="21" fillId="0" borderId="13" xfId="60" applyFont="1" applyBorder="1" applyAlignment="1">
      <alignment vertical="center" wrapText="1"/>
      <protection/>
    </xf>
    <xf numFmtId="3" fontId="34" fillId="0" borderId="12" xfId="60" applyNumberFormat="1" applyFont="1" applyBorder="1" applyAlignment="1">
      <alignment horizontal="right" vertical="center" wrapText="1"/>
      <protection/>
    </xf>
    <xf numFmtId="3" fontId="114" fillId="0" borderId="11" xfId="60" applyNumberFormat="1" applyFont="1" applyBorder="1" applyAlignment="1">
      <alignment vertical="center"/>
      <protection/>
    </xf>
    <xf numFmtId="3" fontId="114" fillId="0" borderId="13" xfId="60" applyNumberFormat="1" applyFont="1" applyBorder="1" applyAlignment="1">
      <alignment vertical="center"/>
      <protection/>
    </xf>
    <xf numFmtId="3" fontId="34" fillId="0" borderId="12" xfId="60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3" fontId="34" fillId="0" borderId="14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3" fontId="114" fillId="0" borderId="12" xfId="60" applyNumberFormat="1" applyFont="1" applyBorder="1" applyAlignment="1">
      <alignment vertical="center"/>
      <protection/>
    </xf>
    <xf numFmtId="3" fontId="47" fillId="0" borderId="12" xfId="60" applyNumberFormat="1" applyFont="1" applyBorder="1" applyAlignment="1">
      <alignment vertical="center"/>
      <protection/>
    </xf>
    <xf numFmtId="3" fontId="43" fillId="0" borderId="98" xfId="60" applyNumberFormat="1" applyFont="1" applyBorder="1" applyAlignment="1">
      <alignment vertical="center"/>
      <protection/>
    </xf>
    <xf numFmtId="3" fontId="114" fillId="0" borderId="96" xfId="60" applyNumberFormat="1" applyFont="1" applyBorder="1" applyAlignment="1">
      <alignment vertical="center"/>
      <protection/>
    </xf>
    <xf numFmtId="3" fontId="114" fillId="0" borderId="135" xfId="60" applyNumberFormat="1" applyFont="1" applyBorder="1" applyAlignment="1">
      <alignment vertical="center"/>
      <protection/>
    </xf>
    <xf numFmtId="3" fontId="34" fillId="0" borderId="151" xfId="60" applyNumberFormat="1" applyFont="1" applyBorder="1" applyAlignment="1">
      <alignment vertical="center" wrapText="1"/>
      <protection/>
    </xf>
    <xf numFmtId="3" fontId="34" fillId="0" borderId="137" xfId="60" applyNumberFormat="1" applyFont="1" applyBorder="1" applyAlignment="1">
      <alignment vertical="center"/>
      <protection/>
    </xf>
    <xf numFmtId="3" fontId="33" fillId="0" borderId="137" xfId="60" applyNumberFormat="1" applyFont="1" applyBorder="1" applyAlignment="1">
      <alignment vertical="center"/>
      <protection/>
    </xf>
    <xf numFmtId="3" fontId="21" fillId="0" borderId="92" xfId="60" applyNumberFormat="1" applyFont="1" applyBorder="1" applyAlignment="1">
      <alignment vertical="center"/>
      <protection/>
    </xf>
    <xf numFmtId="0" fontId="24" fillId="0" borderId="88" xfId="60" applyFont="1" applyBorder="1" applyAlignment="1">
      <alignment horizontal="left" vertical="center"/>
      <protection/>
    </xf>
    <xf numFmtId="0" fontId="24" fillId="0" borderId="107" xfId="60" applyFont="1" applyBorder="1" applyAlignment="1">
      <alignment horizontal="left" vertical="center"/>
      <protection/>
    </xf>
    <xf numFmtId="0" fontId="24" fillId="0" borderId="154" xfId="60" applyFont="1" applyBorder="1" applyAlignment="1">
      <alignment horizontal="left" vertical="center"/>
      <protection/>
    </xf>
    <xf numFmtId="3" fontId="24" fillId="0" borderId="91" xfId="60" applyNumberFormat="1" applyFont="1" applyBorder="1" applyAlignment="1">
      <alignment vertical="center"/>
      <protection/>
    </xf>
    <xf numFmtId="3" fontId="24" fillId="0" borderId="153" xfId="60" applyNumberFormat="1" applyFont="1" applyBorder="1" applyAlignment="1">
      <alignment vertical="center"/>
      <protection/>
    </xf>
    <xf numFmtId="3" fontId="24" fillId="0" borderId="90" xfId="60" applyNumberFormat="1" applyFont="1" applyBorder="1" applyAlignment="1">
      <alignment vertical="center"/>
      <protection/>
    </xf>
    <xf numFmtId="3" fontId="34" fillId="0" borderId="94" xfId="60" applyNumberFormat="1" applyFont="1" applyBorder="1" applyAlignment="1">
      <alignment vertical="center" wrapText="1"/>
      <protection/>
    </xf>
    <xf numFmtId="3" fontId="34" fillId="0" borderId="82" xfId="60" applyNumberFormat="1" applyFont="1" applyBorder="1" applyAlignment="1">
      <alignment vertical="center" wrapText="1"/>
      <protection/>
    </xf>
    <xf numFmtId="3" fontId="34" fillId="0" borderId="146" xfId="60" applyNumberFormat="1" applyFont="1" applyBorder="1" applyAlignment="1">
      <alignment vertical="center" wrapText="1"/>
      <protection/>
    </xf>
    <xf numFmtId="3" fontId="34" fillId="0" borderId="150" xfId="60" applyNumberFormat="1" applyFont="1" applyBorder="1" applyAlignment="1">
      <alignment vertical="center" wrapText="1"/>
      <protection/>
    </xf>
    <xf numFmtId="0" fontId="21" fillId="0" borderId="135" xfId="60" applyFont="1" applyBorder="1" applyAlignment="1">
      <alignment vertical="center" wrapText="1"/>
      <protection/>
    </xf>
    <xf numFmtId="3" fontId="34" fillId="0" borderId="96" xfId="60" applyNumberFormat="1" applyFont="1" applyBorder="1" applyAlignment="1">
      <alignment vertical="center" wrapText="1"/>
      <protection/>
    </xf>
    <xf numFmtId="3" fontId="34" fillId="0" borderId="135" xfId="60" applyNumberFormat="1" applyFont="1" applyBorder="1" applyAlignment="1">
      <alignment vertical="center" wrapText="1"/>
      <protection/>
    </xf>
    <xf numFmtId="3" fontId="34" fillId="0" borderId="151" xfId="60" applyNumberFormat="1" applyFont="1" applyBorder="1" applyAlignment="1">
      <alignment vertical="center"/>
      <protection/>
    </xf>
    <xf numFmtId="3" fontId="49" fillId="0" borderId="12" xfId="60" applyNumberFormat="1" applyFont="1" applyBorder="1" applyAlignment="1">
      <alignment vertical="center"/>
      <protection/>
    </xf>
    <xf numFmtId="3" fontId="49" fillId="0" borderId="13" xfId="60" applyNumberFormat="1" applyFont="1" applyBorder="1" applyAlignment="1">
      <alignment vertical="center"/>
      <protection/>
    </xf>
    <xf numFmtId="3" fontId="34" fillId="0" borderId="96" xfId="60" applyNumberFormat="1" applyFont="1" applyBorder="1" applyAlignment="1">
      <alignment vertical="center"/>
      <protection/>
    </xf>
    <xf numFmtId="3" fontId="34" fillId="0" borderId="135" xfId="60" applyNumberFormat="1" applyFont="1" applyBorder="1" applyAlignment="1">
      <alignment vertical="center"/>
      <protection/>
    </xf>
    <xf numFmtId="49" fontId="33" fillId="0" borderId="101" xfId="60" applyNumberFormat="1" applyFont="1" applyBorder="1" applyAlignment="1">
      <alignment horizontal="center" vertical="center"/>
      <protection/>
    </xf>
    <xf numFmtId="0" fontId="24" fillId="0" borderId="88" xfId="60" applyFont="1" applyBorder="1" applyAlignment="1">
      <alignment horizontal="left" vertical="center" wrapText="1"/>
      <protection/>
    </xf>
    <xf numFmtId="0" fontId="24" fillId="0" borderId="107" xfId="60" applyFont="1" applyBorder="1" applyAlignment="1">
      <alignment horizontal="left" vertical="center" wrapText="1"/>
      <protection/>
    </xf>
    <xf numFmtId="0" fontId="24" fillId="0" borderId="154" xfId="60" applyFont="1" applyBorder="1" applyAlignment="1">
      <alignment horizontal="left" vertical="center" wrapText="1"/>
      <protection/>
    </xf>
    <xf numFmtId="3" fontId="24" fillId="0" borderId="88" xfId="60" applyNumberFormat="1" applyFont="1" applyBorder="1" applyAlignment="1">
      <alignment horizontal="right" vertical="center"/>
      <protection/>
    </xf>
    <xf numFmtId="3" fontId="24" fillId="0" borderId="67" xfId="60" applyNumberFormat="1" applyFont="1" applyBorder="1" applyAlignment="1">
      <alignment horizontal="right" vertical="center"/>
      <protection/>
    </xf>
    <xf numFmtId="3" fontId="24" fillId="0" borderId="107" xfId="60" applyNumberFormat="1" applyFont="1" applyBorder="1" applyAlignment="1">
      <alignment horizontal="right" vertical="center"/>
      <protection/>
    </xf>
    <xf numFmtId="3" fontId="24" fillId="0" borderId="87" xfId="60" applyNumberFormat="1" applyFont="1" applyBorder="1" applyAlignment="1">
      <alignment vertical="center"/>
      <protection/>
    </xf>
    <xf numFmtId="0" fontId="50" fillId="0" borderId="85" xfId="60" applyFont="1" applyBorder="1" applyAlignment="1">
      <alignment horizontal="left" vertical="center"/>
      <protection/>
    </xf>
    <xf numFmtId="0" fontId="50" fillId="0" borderId="108" xfId="60" applyFont="1" applyBorder="1" applyAlignment="1">
      <alignment horizontal="left" vertical="center"/>
      <protection/>
    </xf>
    <xf numFmtId="0" fontId="50" fillId="0" borderId="110" xfId="60" applyFont="1" applyBorder="1" applyAlignment="1">
      <alignment horizontal="left" vertical="center"/>
      <protection/>
    </xf>
    <xf numFmtId="3" fontId="50" fillId="0" borderId="129" xfId="60" applyNumberFormat="1" applyFont="1" applyBorder="1" applyAlignment="1">
      <alignment vertical="center"/>
      <protection/>
    </xf>
    <xf numFmtId="3" fontId="50" fillId="0" borderId="90" xfId="60" applyNumberFormat="1" applyFont="1" applyBorder="1" applyAlignment="1">
      <alignment vertical="center"/>
      <protection/>
    </xf>
    <xf numFmtId="3" fontId="50" fillId="0" borderId="59" xfId="60" applyNumberFormat="1" applyFont="1" applyBorder="1" applyAlignment="1">
      <alignment vertical="center"/>
      <protection/>
    </xf>
    <xf numFmtId="3" fontId="50" fillId="0" borderId="91" xfId="60" applyNumberFormat="1" applyFont="1" applyBorder="1" applyAlignment="1">
      <alignment vertical="center"/>
      <protection/>
    </xf>
    <xf numFmtId="3" fontId="50" fillId="0" borderId="153" xfId="60" applyNumberFormat="1" applyFont="1" applyBorder="1" applyAlignment="1">
      <alignment vertical="center"/>
      <protection/>
    </xf>
    <xf numFmtId="3" fontId="50" fillId="0" borderId="154" xfId="60" applyNumberFormat="1" applyFont="1" applyBorder="1" applyAlignment="1">
      <alignment vertical="center"/>
      <protection/>
    </xf>
    <xf numFmtId="3" fontId="50" fillId="0" borderId="87" xfId="60" applyNumberFormat="1" applyFont="1" applyBorder="1" applyAlignment="1">
      <alignment vertical="center"/>
      <protection/>
    </xf>
    <xf numFmtId="0" fontId="35" fillId="0" borderId="0" xfId="60" applyFont="1" applyAlignment="1">
      <alignment horizontal="center" vertical="center" wrapText="1"/>
      <protection/>
    </xf>
    <xf numFmtId="0" fontId="35" fillId="0" borderId="0" xfId="60" applyFont="1" applyAlignment="1">
      <alignment vertical="center" wrapText="1"/>
      <protection/>
    </xf>
    <xf numFmtId="0" fontId="35" fillId="0" borderId="49" xfId="60" applyFont="1" applyBorder="1" applyAlignment="1">
      <alignment vertical="center" wrapText="1"/>
      <protection/>
    </xf>
    <xf numFmtId="0" fontId="50" fillId="0" borderId="19" xfId="59" applyFont="1" applyBorder="1" applyAlignment="1">
      <alignment horizontal="center" vertical="center" wrapText="1"/>
      <protection/>
    </xf>
    <xf numFmtId="0" fontId="16" fillId="0" borderId="40" xfId="60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/>
    </xf>
    <xf numFmtId="0" fontId="19" fillId="0" borderId="36" xfId="0" applyFont="1" applyBorder="1" applyAlignment="1">
      <alignment/>
    </xf>
    <xf numFmtId="0" fontId="50" fillId="0" borderId="33" xfId="60" applyFont="1" applyBorder="1" applyAlignment="1">
      <alignment horizontal="center" vertical="center" wrapText="1"/>
      <protection/>
    </xf>
    <xf numFmtId="0" fontId="50" fillId="0" borderId="19" xfId="60" applyFont="1" applyBorder="1" applyAlignment="1">
      <alignment horizontal="center" vertical="center" wrapText="1"/>
      <protection/>
    </xf>
    <xf numFmtId="0" fontId="50" fillId="0" borderId="73" xfId="60" applyFont="1" applyBorder="1" applyAlignment="1">
      <alignment horizontal="center" vertical="center" wrapText="1"/>
      <protection/>
    </xf>
    <xf numFmtId="0" fontId="16" fillId="0" borderId="34" xfId="60" applyFont="1" applyBorder="1" applyAlignment="1">
      <alignment horizontal="center" vertical="center" wrapText="1"/>
      <protection/>
    </xf>
    <xf numFmtId="0" fontId="16" fillId="0" borderId="157" xfId="60" applyFont="1" applyBorder="1" applyAlignment="1">
      <alignment horizontal="center" vertical="center" wrapText="1"/>
      <protection/>
    </xf>
    <xf numFmtId="0" fontId="50" fillId="0" borderId="58" xfId="59" applyFont="1" applyBorder="1" applyAlignment="1">
      <alignment horizontal="center" vertical="center" wrapText="1"/>
      <protection/>
    </xf>
    <xf numFmtId="0" fontId="50" fillId="0" borderId="59" xfId="59" applyFont="1" applyBorder="1" applyAlignment="1">
      <alignment horizontal="center" vertical="center" wrapText="1"/>
      <protection/>
    </xf>
    <xf numFmtId="0" fontId="20" fillId="0" borderId="158" xfId="60" applyFont="1" applyBorder="1" applyAlignment="1">
      <alignment horizontal="center" vertical="center" wrapText="1"/>
      <protection/>
    </xf>
    <xf numFmtId="0" fontId="50" fillId="0" borderId="128" xfId="60" applyFont="1" applyBorder="1" applyAlignment="1">
      <alignment horizontal="center" vertical="center" wrapText="1"/>
      <protection/>
    </xf>
    <xf numFmtId="0" fontId="50" fillId="0" borderId="59" xfId="60" applyFont="1" applyBorder="1" applyAlignment="1">
      <alignment horizontal="center" vertical="center" wrapText="1"/>
      <protection/>
    </xf>
    <xf numFmtId="0" fontId="50" fillId="0" borderId="60" xfId="60" applyFont="1" applyBorder="1" applyAlignment="1">
      <alignment horizontal="center" vertical="center" wrapText="1"/>
      <protection/>
    </xf>
    <xf numFmtId="0" fontId="20" fillId="0" borderId="159" xfId="60" applyFont="1" applyBorder="1" applyAlignment="1">
      <alignment horizontal="center" vertical="center" wrapText="1"/>
      <protection/>
    </xf>
    <xf numFmtId="0" fontId="23" fillId="0" borderId="0" xfId="59" applyFont="1">
      <alignment/>
      <protection/>
    </xf>
    <xf numFmtId="3" fontId="23" fillId="0" borderId="0" xfId="59" applyNumberFormat="1" applyFont="1" applyAlignment="1">
      <alignment vertical="center"/>
      <protection/>
    </xf>
    <xf numFmtId="0" fontId="23" fillId="0" borderId="0" xfId="59" applyFont="1" applyAlignment="1">
      <alignment horizontal="left" vertical="center"/>
      <protection/>
    </xf>
    <xf numFmtId="3" fontId="16" fillId="0" borderId="0" xfId="59" applyNumberFormat="1" applyFont="1" applyAlignment="1">
      <alignment horizontal="right" vertical="center"/>
      <protection/>
    </xf>
    <xf numFmtId="0" fontId="16" fillId="0" borderId="26" xfId="60" applyFont="1" applyBorder="1" applyAlignment="1">
      <alignment horizontal="center" vertical="center" wrapText="1"/>
      <protection/>
    </xf>
    <xf numFmtId="0" fontId="16" fillId="0" borderId="27" xfId="60" applyFont="1" applyBorder="1" applyAlignment="1">
      <alignment horizontal="center" vertical="center" wrapText="1"/>
      <protection/>
    </xf>
    <xf numFmtId="0" fontId="16" fillId="0" borderId="56" xfId="60" applyFont="1" applyBorder="1" applyAlignment="1">
      <alignment horizontal="center" vertical="center" wrapText="1"/>
      <protection/>
    </xf>
    <xf numFmtId="0" fontId="23" fillId="0" borderId="0" xfId="59" applyFont="1" applyAlignment="1">
      <alignment horizontal="left" wrapText="1"/>
      <protection/>
    </xf>
    <xf numFmtId="0" fontId="23" fillId="0" borderId="0" xfId="59" applyFont="1" applyAlignment="1">
      <alignment horizontal="left" vertical="center" wrapText="1"/>
      <protection/>
    </xf>
    <xf numFmtId="0" fontId="24" fillId="0" borderId="0" xfId="59" applyFont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23" fillId="0" borderId="0" xfId="59" applyFont="1" applyAlignment="1">
      <alignment horizontal="left"/>
      <protection/>
    </xf>
    <xf numFmtId="3" fontId="23" fillId="0" borderId="0" xfId="59" applyNumberFormat="1" applyFont="1">
      <alignment/>
      <protection/>
    </xf>
    <xf numFmtId="0" fontId="23" fillId="0" borderId="21" xfId="59" applyFont="1" applyBorder="1" applyAlignment="1">
      <alignment horizontal="center" wrapText="1"/>
      <protection/>
    </xf>
    <xf numFmtId="0" fontId="23" fillId="0" borderId="0" xfId="59" applyFont="1" applyAlignment="1">
      <alignment horizontal="center" wrapText="1"/>
      <protection/>
    </xf>
    <xf numFmtId="0" fontId="23" fillId="0" borderId="0" xfId="59" applyFont="1" applyAlignment="1">
      <alignment horizontal="right"/>
      <protection/>
    </xf>
    <xf numFmtId="0" fontId="23" fillId="0" borderId="0" xfId="59" applyFont="1" applyAlignment="1">
      <alignment horizontal="left" vertical="center"/>
      <protection/>
    </xf>
    <xf numFmtId="3" fontId="23" fillId="0" borderId="60" xfId="59" applyNumberFormat="1" applyFont="1" applyBorder="1">
      <alignment/>
      <protection/>
    </xf>
    <xf numFmtId="0" fontId="51" fillId="0" borderId="0" xfId="59" applyFont="1" applyAlignment="1">
      <alignment horizontal="left"/>
      <protection/>
    </xf>
    <xf numFmtId="0" fontId="51" fillId="0" borderId="0" xfId="59" applyFont="1">
      <alignment/>
      <protection/>
    </xf>
    <xf numFmtId="3" fontId="51" fillId="0" borderId="19" xfId="59" applyNumberFormat="1" applyFont="1" applyBorder="1">
      <alignment/>
      <protection/>
    </xf>
    <xf numFmtId="3" fontId="24" fillId="0" borderId="49" xfId="59" applyNumberFormat="1" applyFont="1" applyBorder="1" applyAlignment="1">
      <alignment vertical="center"/>
      <protection/>
    </xf>
    <xf numFmtId="3" fontId="51" fillId="0" borderId="29" xfId="59" applyNumberFormat="1" applyFont="1" applyBorder="1">
      <alignment/>
      <protection/>
    </xf>
    <xf numFmtId="0" fontId="24" fillId="0" borderId="0" xfId="59" applyFont="1" applyAlignment="1">
      <alignment horizontal="right"/>
      <protection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left" wrapText="1"/>
      <protection/>
    </xf>
    <xf numFmtId="0" fontId="19" fillId="0" borderId="73" xfId="0" applyFont="1" applyBorder="1" applyAlignment="1">
      <alignment/>
    </xf>
    <xf numFmtId="0" fontId="16" fillId="0" borderId="33" xfId="60" applyFont="1" applyBorder="1" applyAlignment="1">
      <alignment horizontal="center" vertical="center" wrapText="1"/>
      <protection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0" xfId="0" applyFont="1" applyAlignment="1">
      <alignment/>
    </xf>
    <xf numFmtId="0" fontId="19" fillId="0" borderId="60" xfId="0" applyFont="1" applyBorder="1" applyAlignment="1">
      <alignment/>
    </xf>
    <xf numFmtId="0" fontId="19" fillId="0" borderId="128" xfId="0" applyFont="1" applyBorder="1" applyAlignment="1">
      <alignment/>
    </xf>
    <xf numFmtId="0" fontId="19" fillId="0" borderId="160" xfId="0" applyFont="1" applyBorder="1" applyAlignment="1">
      <alignment/>
    </xf>
    <xf numFmtId="0" fontId="16" fillId="0" borderId="0" xfId="59" applyFont="1" applyAlignment="1">
      <alignment horizontal="right" vertical="center"/>
      <protection/>
    </xf>
    <xf numFmtId="3" fontId="50" fillId="0" borderId="0" xfId="59" applyNumberFormat="1" applyFont="1" applyAlignment="1">
      <alignment horizontal="right" vertical="center"/>
      <protection/>
    </xf>
    <xf numFmtId="0" fontId="23" fillId="0" borderId="38" xfId="59" applyFont="1" applyBorder="1" applyAlignment="1">
      <alignment horizontal="center" vertical="center" wrapText="1"/>
      <protection/>
    </xf>
    <xf numFmtId="0" fontId="23" fillId="0" borderId="0" xfId="59" applyFont="1" applyAlignment="1">
      <alignment horizontal="center" vertical="center" wrapText="1"/>
      <protection/>
    </xf>
    <xf numFmtId="3" fontId="23" fillId="0" borderId="0" xfId="59" applyNumberFormat="1" applyFont="1" applyAlignment="1">
      <alignment horizontal="right" vertical="center"/>
      <protection/>
    </xf>
    <xf numFmtId="0" fontId="23" fillId="0" borderId="108" xfId="0" applyFont="1" applyBorder="1" applyAlignment="1">
      <alignment/>
    </xf>
    <xf numFmtId="0" fontId="16" fillId="36" borderId="61" xfId="59" applyFont="1" applyFill="1" applyBorder="1">
      <alignment/>
      <protection/>
    </xf>
    <xf numFmtId="0" fontId="16" fillId="36" borderId="61" xfId="0" applyFont="1" applyFill="1" applyBorder="1" applyAlignment="1">
      <alignment/>
    </xf>
    <xf numFmtId="0" fontId="16" fillId="36" borderId="127" xfId="0" applyFont="1" applyFill="1" applyBorder="1" applyAlignment="1">
      <alignment/>
    </xf>
    <xf numFmtId="0" fontId="50" fillId="36" borderId="61" xfId="59" applyFont="1" applyFill="1" applyBorder="1">
      <alignment/>
      <protection/>
    </xf>
    <xf numFmtId="0" fontId="50" fillId="36" borderId="127" xfId="59" applyFont="1" applyFill="1" applyBorder="1">
      <alignment/>
      <protection/>
    </xf>
    <xf numFmtId="0" fontId="23" fillId="0" borderId="0" xfId="59" applyFont="1" applyAlignment="1">
      <alignment wrapText="1"/>
      <protection/>
    </xf>
    <xf numFmtId="3" fontId="23" fillId="0" borderId="30" xfId="59" applyNumberFormat="1" applyFont="1" applyBorder="1" applyAlignment="1">
      <alignment horizontal="right"/>
      <protection/>
    </xf>
    <xf numFmtId="3" fontId="50" fillId="0" borderId="105" xfId="59" applyNumberFormat="1" applyFont="1" applyBorder="1" applyAlignment="1">
      <alignment horizontal="right" vertical="center"/>
      <protection/>
    </xf>
    <xf numFmtId="3" fontId="50" fillId="0" borderId="47" xfId="59" applyNumberFormat="1" applyFont="1" applyBorder="1" applyAlignment="1">
      <alignment horizontal="right" vertical="center"/>
      <protection/>
    </xf>
    <xf numFmtId="3" fontId="50" fillId="0" borderId="56" xfId="59" applyNumberFormat="1" applyFont="1" applyBorder="1" applyAlignment="1">
      <alignment horizontal="right" vertical="center"/>
      <protection/>
    </xf>
    <xf numFmtId="3" fontId="51" fillId="0" borderId="0" xfId="59" applyNumberFormat="1" applyFont="1">
      <alignment/>
      <protection/>
    </xf>
    <xf numFmtId="3" fontId="23" fillId="0" borderId="29" xfId="59" applyNumberFormat="1" applyFont="1" applyBorder="1" applyAlignment="1">
      <alignment horizontal="right"/>
      <protection/>
    </xf>
    <xf numFmtId="0" fontId="51" fillId="0" borderId="0" xfId="59" applyFont="1" applyAlignment="1">
      <alignment horizontal="left"/>
      <protection/>
    </xf>
    <xf numFmtId="3" fontId="50" fillId="0" borderId="41" xfId="59" applyNumberFormat="1" applyFont="1" applyBorder="1" applyAlignment="1">
      <alignment horizontal="right" vertical="center"/>
      <protection/>
    </xf>
    <xf numFmtId="3" fontId="50" fillId="0" borderId="27" xfId="59" applyNumberFormat="1" applyFont="1" applyBorder="1" applyAlignment="1">
      <alignment horizontal="right" vertical="center"/>
      <protection/>
    </xf>
    <xf numFmtId="3" fontId="50" fillId="0" borderId="24" xfId="5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right"/>
    </xf>
    <xf numFmtId="3" fontId="16" fillId="0" borderId="24" xfId="59" applyNumberFormat="1" applyFont="1" applyBorder="1" applyAlignment="1">
      <alignment horizontal="center"/>
      <protection/>
    </xf>
    <xf numFmtId="0" fontId="52" fillId="0" borderId="21" xfId="59" applyFont="1" applyBorder="1">
      <alignment/>
      <protection/>
    </xf>
    <xf numFmtId="0" fontId="52" fillId="0" borderId="0" xfId="59" applyFont="1">
      <alignment/>
      <protection/>
    </xf>
    <xf numFmtId="0" fontId="52" fillId="0" borderId="29" xfId="59" applyFont="1" applyBorder="1">
      <alignment/>
      <protection/>
    </xf>
    <xf numFmtId="3" fontId="16" fillId="0" borderId="161" xfId="59" applyNumberFormat="1" applyFont="1" applyBorder="1" applyAlignment="1">
      <alignment horizontal="center"/>
      <protection/>
    </xf>
    <xf numFmtId="3" fontId="16" fillId="0" borderId="162" xfId="59" applyNumberFormat="1" applyFont="1" applyBorder="1" applyAlignment="1">
      <alignment horizontal="right" vertical="center"/>
      <protection/>
    </xf>
    <xf numFmtId="3" fontId="50" fillId="0" borderId="106" xfId="59" applyNumberFormat="1" applyFont="1" applyBorder="1" applyAlignment="1">
      <alignment horizontal="right" vertical="center"/>
      <protection/>
    </xf>
    <xf numFmtId="3" fontId="50" fillId="0" borderId="156" xfId="59" applyNumberFormat="1" applyFont="1" applyBorder="1" applyAlignment="1">
      <alignment horizontal="right" vertical="center"/>
      <protection/>
    </xf>
    <xf numFmtId="3" fontId="50" fillId="0" borderId="161" xfId="59" applyNumberFormat="1" applyFont="1" applyBorder="1" applyAlignment="1">
      <alignment horizontal="right" vertical="center"/>
      <protection/>
    </xf>
    <xf numFmtId="0" fontId="50" fillId="0" borderId="36" xfId="60" applyFont="1" applyBorder="1" applyAlignment="1">
      <alignment horizontal="center" vertical="center" wrapText="1"/>
      <protection/>
    </xf>
    <xf numFmtId="0" fontId="50" fillId="0" borderId="160" xfId="60" applyFont="1" applyBorder="1" applyAlignment="1">
      <alignment horizontal="center" vertical="center" wrapText="1"/>
      <protection/>
    </xf>
    <xf numFmtId="0" fontId="51" fillId="0" borderId="0" xfId="59" applyFont="1" applyAlignment="1">
      <alignment horizontal="left" wrapText="1"/>
      <protection/>
    </xf>
    <xf numFmtId="0" fontId="51" fillId="0" borderId="0" xfId="59" applyFont="1" applyAlignment="1">
      <alignment horizontal="left" wrapText="1"/>
      <protection/>
    </xf>
    <xf numFmtId="0" fontId="19" fillId="0" borderId="0" xfId="0" applyFont="1" applyAlignment="1">
      <alignment horizontal="right"/>
    </xf>
    <xf numFmtId="3" fontId="50" fillId="0" borderId="0" xfId="59" applyNumberFormat="1" applyFont="1">
      <alignment/>
      <protection/>
    </xf>
    <xf numFmtId="3" fontId="20" fillId="0" borderId="47" xfId="59" applyNumberFormat="1" applyFont="1" applyBorder="1" applyAlignment="1">
      <alignment horizontal="right" vertical="center"/>
      <protection/>
    </xf>
    <xf numFmtId="3" fontId="20" fillId="0" borderId="56" xfId="59" applyNumberFormat="1" applyFont="1" applyBorder="1" applyAlignment="1">
      <alignment horizontal="right" vertical="center"/>
      <protection/>
    </xf>
    <xf numFmtId="0" fontId="23" fillId="0" borderId="26" xfId="59" applyFont="1" applyBorder="1" applyAlignment="1">
      <alignment horizontal="center" vertical="center" wrapText="1"/>
      <protection/>
    </xf>
    <xf numFmtId="0" fontId="23" fillId="0" borderId="25" xfId="59" applyFont="1" applyBorder="1" applyAlignment="1">
      <alignment horizontal="center" vertical="center" wrapText="1"/>
      <protection/>
    </xf>
    <xf numFmtId="0" fontId="23" fillId="0" borderId="30" xfId="59" applyFont="1" applyBorder="1" applyAlignment="1">
      <alignment horizontal="center" vertical="center" wrapText="1"/>
      <protection/>
    </xf>
    <xf numFmtId="0" fontId="23" fillId="0" borderId="22" xfId="59" applyFont="1" applyBorder="1" applyAlignment="1">
      <alignment horizontal="left" vertical="center"/>
      <protection/>
    </xf>
    <xf numFmtId="0" fontId="24" fillId="0" borderId="58" xfId="59" applyFont="1" applyBorder="1" applyAlignment="1">
      <alignment horizontal="right" vertical="center"/>
      <protection/>
    </xf>
    <xf numFmtId="0" fontId="24" fillId="0" borderId="59" xfId="59" applyFont="1" applyBorder="1" applyAlignment="1">
      <alignment horizontal="right" vertical="center"/>
      <protection/>
    </xf>
    <xf numFmtId="0" fontId="24" fillId="0" borderId="129" xfId="59" applyFont="1" applyBorder="1" applyAlignment="1">
      <alignment horizontal="right" vertical="center"/>
      <protection/>
    </xf>
    <xf numFmtId="3" fontId="20" fillId="0" borderId="156" xfId="59" applyNumberFormat="1" applyFont="1" applyBorder="1" applyAlignment="1">
      <alignment horizontal="right" vertical="center"/>
      <protection/>
    </xf>
    <xf numFmtId="3" fontId="20" fillId="0" borderId="161" xfId="59" applyNumberFormat="1" applyFont="1" applyBorder="1" applyAlignment="1">
      <alignment horizontal="right" vertical="center"/>
      <protection/>
    </xf>
    <xf numFmtId="0" fontId="23" fillId="0" borderId="58" xfId="59" applyFont="1" applyBorder="1" applyAlignment="1">
      <alignment horizontal="center" vertical="center" wrapText="1"/>
      <protection/>
    </xf>
    <xf numFmtId="0" fontId="23" fillId="0" borderId="59" xfId="59" applyFont="1" applyBorder="1" applyAlignment="1">
      <alignment horizontal="center" vertical="center" wrapText="1"/>
      <protection/>
    </xf>
    <xf numFmtId="0" fontId="23" fillId="0" borderId="60" xfId="59" applyFont="1" applyBorder="1" applyAlignment="1">
      <alignment horizontal="center" vertical="center" wrapText="1"/>
      <protection/>
    </xf>
    <xf numFmtId="0" fontId="23" fillId="0" borderId="129" xfId="59" applyFont="1" applyBorder="1" applyAlignment="1">
      <alignment horizontal="left" vertical="center"/>
      <protection/>
    </xf>
    <xf numFmtId="3" fontId="23" fillId="0" borderId="60" xfId="59" applyNumberFormat="1" applyFont="1" applyBorder="1" applyAlignment="1">
      <alignment horizontal="right" vertical="center"/>
      <protection/>
    </xf>
    <xf numFmtId="3" fontId="50" fillId="0" borderId="163" xfId="59" applyNumberFormat="1" applyFont="1" applyBorder="1" applyAlignment="1">
      <alignment horizontal="right" vertical="center"/>
      <protection/>
    </xf>
    <xf numFmtId="3" fontId="50" fillId="0" borderId="50" xfId="59" applyNumberFormat="1" applyFont="1" applyBorder="1" applyAlignment="1">
      <alignment horizontal="right" vertical="center"/>
      <protection/>
    </xf>
    <xf numFmtId="3" fontId="50" fillId="0" borderId="37" xfId="59" applyNumberFormat="1" applyFont="1" applyBorder="1" applyAlignment="1">
      <alignment horizontal="right" vertical="center"/>
      <protection/>
    </xf>
    <xf numFmtId="0" fontId="23" fillId="36" borderId="61" xfId="59" applyFont="1" applyFill="1" applyBorder="1" applyAlignment="1">
      <alignment horizontal="left" vertical="center" wrapText="1"/>
      <protection/>
    </xf>
    <xf numFmtId="0" fontId="23" fillId="0" borderId="46" xfId="59" applyFont="1" applyBorder="1" applyAlignment="1">
      <alignment horizontal="left"/>
      <protection/>
    </xf>
    <xf numFmtId="0" fontId="16" fillId="0" borderId="49" xfId="59" applyFont="1" applyBorder="1">
      <alignment/>
      <protection/>
    </xf>
    <xf numFmtId="0" fontId="16" fillId="0" borderId="49" xfId="0" applyFont="1" applyBorder="1" applyAlignment="1">
      <alignment/>
    </xf>
    <xf numFmtId="0" fontId="16" fillId="0" borderId="103" xfId="0" applyFont="1" applyBorder="1" applyAlignment="1">
      <alignment/>
    </xf>
    <xf numFmtId="0" fontId="50" fillId="0" borderId="49" xfId="59" applyFont="1" applyBorder="1">
      <alignment/>
      <protection/>
    </xf>
    <xf numFmtId="0" fontId="50" fillId="0" borderId="103" xfId="59" applyFont="1" applyBorder="1">
      <alignment/>
      <protection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35" borderId="84" xfId="0" applyFont="1" applyFill="1" applyBorder="1" applyAlignment="1">
      <alignment horizontal="center" wrapText="1"/>
    </xf>
    <xf numFmtId="0" fontId="22" fillId="35" borderId="15" xfId="0" applyFont="1" applyFill="1" applyBorder="1" applyAlignment="1">
      <alignment horizontal="center" wrapText="1"/>
    </xf>
    <xf numFmtId="0" fontId="22" fillId="35" borderId="12" xfId="0" applyFont="1" applyFill="1" applyBorder="1" applyAlignment="1">
      <alignment horizontal="center" wrapText="1"/>
    </xf>
    <xf numFmtId="0" fontId="22" fillId="32" borderId="84" xfId="0" applyFont="1" applyFill="1" applyBorder="1" applyAlignment="1">
      <alignment horizontal="left" vertical="center"/>
    </xf>
    <xf numFmtId="0" fontId="22" fillId="32" borderId="15" xfId="0" applyFont="1" applyFill="1" applyBorder="1" applyAlignment="1">
      <alignment horizontal="left" vertical="center"/>
    </xf>
    <xf numFmtId="0" fontId="22" fillId="32" borderId="12" xfId="0" applyFont="1" applyFill="1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22" fillId="5" borderId="11" xfId="0" applyFont="1" applyFill="1" applyBorder="1" applyAlignment="1">
      <alignment vertical="center" wrapText="1"/>
    </xf>
    <xf numFmtId="0" fontId="120" fillId="0" borderId="0" xfId="0" applyFont="1" applyAlignment="1">
      <alignment horizontal="right"/>
    </xf>
    <xf numFmtId="0" fontId="121" fillId="0" borderId="0" xfId="0" applyFont="1" applyFill="1" applyAlignment="1">
      <alignment horizontal="right" vertical="center"/>
    </xf>
    <xf numFmtId="0" fontId="12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6" fontId="7" fillId="0" borderId="14" xfId="0" applyNumberFormat="1" applyFont="1" applyBorder="1" applyAlignment="1">
      <alignment vertical="center"/>
    </xf>
    <xf numFmtId="0" fontId="8" fillId="0" borderId="137" xfId="0" applyFont="1" applyBorder="1" applyAlignment="1">
      <alignment vertical="center"/>
    </xf>
    <xf numFmtId="0" fontId="8" fillId="0" borderId="136" xfId="0" applyFont="1" applyBorder="1" applyAlignment="1">
      <alignment vertical="center"/>
    </xf>
    <xf numFmtId="166" fontId="8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66" fontId="6" fillId="0" borderId="18" xfId="0" applyNumberFormat="1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166" fontId="8" fillId="0" borderId="14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5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12" fillId="0" borderId="101" xfId="0" applyFont="1" applyBorder="1" applyAlignment="1">
      <alignment horizontal="center" vertical="center"/>
    </xf>
    <xf numFmtId="0" fontId="7" fillId="0" borderId="86" xfId="0" applyFont="1" applyBorder="1" applyAlignment="1">
      <alignment vertical="center"/>
    </xf>
    <xf numFmtId="166" fontId="7" fillId="0" borderId="164" xfId="0" applyNumberFormat="1" applyFont="1" applyBorder="1" applyAlignment="1">
      <alignment vertical="center"/>
    </xf>
    <xf numFmtId="0" fontId="12" fillId="0" borderId="93" xfId="0" applyFont="1" applyBorder="1" applyAlignment="1">
      <alignment horizontal="center" vertical="center"/>
    </xf>
    <xf numFmtId="0" fontId="7" fillId="0" borderId="66" xfId="0" applyFont="1" applyBorder="1" applyAlignment="1">
      <alignment horizontal="left" vertical="center"/>
    </xf>
    <xf numFmtId="0" fontId="7" fillId="0" borderId="14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3" fontId="8" fillId="0" borderId="150" xfId="0" applyNumberFormat="1" applyFont="1" applyBorder="1" applyAlignment="1">
      <alignment horizontal="left" vertical="center"/>
    </xf>
    <xf numFmtId="0" fontId="8" fillId="0" borderId="6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66" fontId="8" fillId="0" borderId="18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166" fontId="7" fillId="0" borderId="60" xfId="0" applyNumberFormat="1" applyFont="1" applyBorder="1" applyAlignment="1">
      <alignment vertical="center"/>
    </xf>
    <xf numFmtId="0" fontId="8" fillId="0" borderId="165" xfId="0" applyFont="1" applyBorder="1" applyAlignment="1">
      <alignment horizontal="left" vertical="center"/>
    </xf>
    <xf numFmtId="3" fontId="8" fillId="0" borderId="166" xfId="0" applyNumberFormat="1" applyFont="1" applyBorder="1" applyAlignment="1">
      <alignment horizontal="left" vertical="center"/>
    </xf>
    <xf numFmtId="166" fontId="6" fillId="0" borderId="14" xfId="0" applyNumberFormat="1" applyFont="1" applyBorder="1" applyAlignment="1">
      <alignment vertical="center"/>
    </xf>
    <xf numFmtId="0" fontId="7" fillId="0" borderId="116" xfId="0" applyFont="1" applyBorder="1" applyAlignment="1">
      <alignment vertical="center"/>
    </xf>
    <xf numFmtId="166" fontId="7" fillId="0" borderId="11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3" fontId="6" fillId="0" borderId="166" xfId="0" applyNumberFormat="1" applyFont="1" applyBorder="1" applyAlignment="1">
      <alignment horizontal="right" vertical="center"/>
    </xf>
    <xf numFmtId="3" fontId="7" fillId="0" borderId="11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49" xfId="0" applyFont="1" applyBorder="1" applyAlignment="1">
      <alignment horizontal="left" vertical="center"/>
    </xf>
    <xf numFmtId="0" fontId="7" fillId="0" borderId="108" xfId="0" applyFont="1" applyBorder="1" applyAlignment="1">
      <alignment vertical="center"/>
    </xf>
    <xf numFmtId="0" fontId="119" fillId="0" borderId="0" xfId="0" applyFont="1" applyAlignment="1">
      <alignment horizontal="right" vertical="center"/>
    </xf>
    <xf numFmtId="0" fontId="14" fillId="0" borderId="13" xfId="61" applyBorder="1">
      <alignment/>
      <protection/>
    </xf>
    <xf numFmtId="0" fontId="14" fillId="0" borderId="10" xfId="61" applyBorder="1">
      <alignment/>
      <protection/>
    </xf>
    <xf numFmtId="0" fontId="14" fillId="0" borderId="10" xfId="61" applyBorder="1" applyAlignment="1">
      <alignment wrapText="1"/>
      <protection/>
    </xf>
    <xf numFmtId="3" fontId="22" fillId="0" borderId="11" xfId="61" applyNumberFormat="1" applyFont="1" applyBorder="1" applyAlignment="1">
      <alignment horizontal="center" vertical="center"/>
      <protection/>
    </xf>
    <xf numFmtId="3" fontId="22" fillId="0" borderId="13" xfId="6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83" xfId="0" applyBorder="1" applyAlignment="1">
      <alignment horizontal="left"/>
    </xf>
    <xf numFmtId="3" fontId="0" fillId="35" borderId="95" xfId="0" applyNumberFormat="1" applyFill="1" applyBorder="1" applyAlignment="1">
      <alignment/>
    </xf>
    <xf numFmtId="3" fontId="0" fillId="35" borderId="152" xfId="0" applyNumberFormat="1" applyFill="1" applyBorder="1" applyAlignment="1">
      <alignment/>
    </xf>
    <xf numFmtId="0" fontId="19" fillId="0" borderId="167" xfId="0" applyFont="1" applyBorder="1" applyAlignment="1">
      <alignment horizontal="center" vertical="center"/>
    </xf>
    <xf numFmtId="0" fontId="0" fillId="0" borderId="93" xfId="0" applyBorder="1" applyAlignment="1">
      <alignment horizontal="left" vertical="center" wrapText="1"/>
    </xf>
    <xf numFmtId="3" fontId="0" fillId="4" borderId="93" xfId="0" applyNumberFormat="1" applyFill="1" applyBorder="1" applyAlignment="1">
      <alignment vertical="center"/>
    </xf>
    <xf numFmtId="3" fontId="0" fillId="0" borderId="120" xfId="0" applyNumberFormat="1" applyBorder="1" applyAlignment="1">
      <alignment vertical="center"/>
    </xf>
    <xf numFmtId="3" fontId="0" fillId="0" borderId="118" xfId="0" applyNumberFormat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4" borderId="96" xfId="0" applyNumberFormat="1" applyFill="1" applyBorder="1" applyAlignment="1">
      <alignment/>
    </xf>
    <xf numFmtId="3" fontId="0" fillId="37" borderId="135" xfId="0" applyNumberFormat="1" applyFill="1" applyBorder="1" applyAlignment="1">
      <alignment/>
    </xf>
    <xf numFmtId="3" fontId="0" fillId="37" borderId="151" xfId="0" applyNumberFormat="1" applyFill="1" applyBorder="1" applyAlignment="1">
      <alignment/>
    </xf>
    <xf numFmtId="0" fontId="0" fillId="0" borderId="27" xfId="0" applyBorder="1" applyAlignment="1">
      <alignment horizontal="right"/>
    </xf>
    <xf numFmtId="3" fontId="0" fillId="37" borderId="139" xfId="0" applyNumberFormat="1" applyFill="1" applyBorder="1" applyAlignment="1">
      <alignment/>
    </xf>
    <xf numFmtId="0" fontId="19" fillId="0" borderId="16" xfId="0" applyFont="1" applyBorder="1" applyAlignment="1">
      <alignment horizontal="center" vertical="center"/>
    </xf>
    <xf numFmtId="0" fontId="0" fillId="0" borderId="100" xfId="0" applyBorder="1" applyAlignment="1">
      <alignment vertical="center" wrapText="1"/>
    </xf>
    <xf numFmtId="3" fontId="0" fillId="4" borderId="99" xfId="0" applyNumberFormat="1" applyFill="1" applyBorder="1" applyAlignment="1">
      <alignment vertical="center"/>
    </xf>
    <xf numFmtId="3" fontId="0" fillId="37" borderId="27" xfId="0" applyNumberFormat="1" applyFill="1" applyBorder="1" applyAlignment="1">
      <alignment vertical="center"/>
    </xf>
    <xf numFmtId="3" fontId="0" fillId="37" borderId="74" xfId="0" applyNumberFormat="1" applyFill="1" applyBorder="1" applyAlignment="1">
      <alignment vertical="center"/>
    </xf>
    <xf numFmtId="3" fontId="0" fillId="4" borderId="17" xfId="0" applyNumberFormat="1" applyFill="1" applyBorder="1" applyAlignment="1">
      <alignment vertical="center"/>
    </xf>
    <xf numFmtId="3" fontId="0" fillId="37" borderId="14" xfId="0" applyNumberFormat="1" applyFill="1" applyBorder="1" applyAlignment="1">
      <alignment/>
    </xf>
    <xf numFmtId="3" fontId="0" fillId="4" borderId="38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37" borderId="147" xfId="0" applyNumberFormat="1" applyFill="1" applyBorder="1" applyAlignment="1">
      <alignment/>
    </xf>
    <xf numFmtId="0" fontId="0" fillId="0" borderId="96" xfId="0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83" xfId="0" applyBorder="1" applyAlignment="1">
      <alignment horizontal="left" vertical="center"/>
    </xf>
    <xf numFmtId="3" fontId="0" fillId="0" borderId="82" xfId="0" applyNumberFormat="1" applyBorder="1" applyAlignment="1">
      <alignment vertical="center"/>
    </xf>
    <xf numFmtId="3" fontId="0" fillId="0" borderId="95" xfId="0" applyNumberFormat="1" applyBorder="1" applyAlignment="1">
      <alignment vertical="center"/>
    </xf>
    <xf numFmtId="3" fontId="0" fillId="4" borderId="83" xfId="0" applyNumberFormat="1" applyFill="1" applyBorder="1" applyAlignment="1">
      <alignment vertical="center"/>
    </xf>
    <xf numFmtId="0" fontId="19" fillId="0" borderId="124" xfId="0" applyFont="1" applyBorder="1" applyAlignment="1">
      <alignment horizontal="center" vertical="center"/>
    </xf>
    <xf numFmtId="0" fontId="59" fillId="0" borderId="155" xfId="0" applyFont="1" applyBorder="1" applyAlignment="1">
      <alignment horizontal="left" vertical="center"/>
    </xf>
    <xf numFmtId="0" fontId="59" fillId="0" borderId="156" xfId="0" applyFont="1" applyBorder="1" applyAlignment="1">
      <alignment horizontal="left" vertical="center"/>
    </xf>
    <xf numFmtId="0" fontId="59" fillId="0" borderId="168" xfId="0" applyFont="1" applyBorder="1" applyAlignment="1">
      <alignment horizontal="left" vertical="center"/>
    </xf>
    <xf numFmtId="0" fontId="0" fillId="0" borderId="81" xfId="0" applyBorder="1" applyAlignment="1">
      <alignment vertical="center" wrapText="1"/>
    </xf>
    <xf numFmtId="3" fontId="0" fillId="4" borderId="94" xfId="0" applyNumberFormat="1" applyFill="1" applyBorder="1" applyAlignment="1">
      <alignment vertical="center"/>
    </xf>
    <xf numFmtId="3" fontId="22" fillId="37" borderId="138" xfId="0" applyNumberFormat="1" applyFont="1" applyFill="1" applyBorder="1" applyAlignment="1">
      <alignment vertical="center"/>
    </xf>
    <xf numFmtId="3" fontId="0" fillId="37" borderId="82" xfId="0" applyNumberFormat="1" applyFill="1" applyBorder="1" applyAlignment="1">
      <alignment vertical="center"/>
    </xf>
    <xf numFmtId="0" fontId="0" fillId="0" borderId="16" xfId="0" applyBorder="1" applyAlignment="1">
      <alignment/>
    </xf>
    <xf numFmtId="3" fontId="22" fillId="37" borderId="148" xfId="0" applyNumberFormat="1" applyFont="1" applyFill="1" applyBorder="1" applyAlignment="1">
      <alignment/>
    </xf>
    <xf numFmtId="3" fontId="22" fillId="37" borderId="82" xfId="0" applyNumberFormat="1" applyFont="1" applyFill="1" applyBorder="1" applyAlignment="1">
      <alignment/>
    </xf>
    <xf numFmtId="0" fontId="0" fillId="0" borderId="38" xfId="0" applyBorder="1" applyAlignment="1">
      <alignment horizontal="left"/>
    </xf>
    <xf numFmtId="3" fontId="22" fillId="37" borderId="74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0" fontId="0" fillId="0" borderId="83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86" xfId="0" applyBorder="1" applyAlignment="1">
      <alignment horizontal="right"/>
    </xf>
    <xf numFmtId="3" fontId="0" fillId="0" borderId="86" xfId="0" applyNumberFormat="1" applyBorder="1" applyAlignment="1">
      <alignment horizontal="right"/>
    </xf>
    <xf numFmtId="3" fontId="22" fillId="4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3" fontId="22" fillId="38" borderId="0" xfId="0" applyNumberFormat="1" applyFont="1" applyFill="1" applyAlignment="1">
      <alignment/>
    </xf>
    <xf numFmtId="3" fontId="0" fillId="37" borderId="0" xfId="0" applyNumberFormat="1" applyFill="1" applyAlignment="1">
      <alignment horizontal="center"/>
    </xf>
    <xf numFmtId="0" fontId="0" fillId="0" borderId="38" xfId="0" applyBorder="1" applyAlignment="1">
      <alignment vertical="center" wrapText="1"/>
    </xf>
    <xf numFmtId="3" fontId="22" fillId="37" borderId="10" xfId="0" applyNumberFormat="1" applyFont="1" applyFill="1" applyBorder="1" applyAlignment="1">
      <alignment vertical="center"/>
    </xf>
    <xf numFmtId="3" fontId="0" fillId="37" borderId="139" xfId="0" applyNumberFormat="1" applyFill="1" applyBorder="1" applyAlignment="1">
      <alignment vertical="center"/>
    </xf>
    <xf numFmtId="3" fontId="0" fillId="37" borderId="156" xfId="0" applyNumberFormat="1" applyFill="1" applyBorder="1" applyAlignment="1">
      <alignment/>
    </xf>
    <xf numFmtId="3" fontId="0" fillId="37" borderId="164" xfId="0" applyNumberFormat="1" applyFill="1" applyBorder="1" applyAlignment="1">
      <alignment/>
    </xf>
    <xf numFmtId="3" fontId="22" fillId="35" borderId="63" xfId="0" applyNumberFormat="1" applyFont="1" applyFill="1" applyBorder="1" applyAlignment="1">
      <alignment horizontal="center"/>
    </xf>
    <xf numFmtId="3" fontId="22" fillId="35" borderId="140" xfId="0" applyNumberFormat="1" applyFont="1" applyFill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2%20Elfogadott%202019.%20&#233;vi%20KV.%20mell&#233;kletei%20II.%20Rm&#243;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bevételek"/>
      <sheetName val="2. kiadások "/>
      <sheetName val="3.műk.-felh."/>
      <sheetName val="4.önkorm.kiad.feladat"/>
      <sheetName val="5. Óvoda, Kult. kiad. feladat"/>
      <sheetName val="6. kiadások megbontása"/>
      <sheetName val="7. források sz. bontás"/>
      <sheetName val="8. létszámok"/>
      <sheetName val="9.felhki"/>
      <sheetName val="10.tartalékok"/>
      <sheetName val="11.normatívák"/>
      <sheetName val="12. EU projektek"/>
      <sheetName val="Munka1"/>
    </sheetNames>
    <sheetDataSet>
      <sheetData sheetId="5">
        <row r="60">
          <cell r="D60">
            <v>2156000</v>
          </cell>
        </row>
        <row r="68">
          <cell r="D68">
            <v>28507248</v>
          </cell>
          <cell r="E68">
            <v>152400</v>
          </cell>
        </row>
        <row r="80">
          <cell r="D80">
            <v>32372619</v>
          </cell>
          <cell r="E80">
            <v>635000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05"/>
  <sheetViews>
    <sheetView tabSelected="1" zoomScalePageLayoutView="0" workbookViewId="0" topLeftCell="A1">
      <selection activeCell="B205" sqref="B205:E205"/>
    </sheetView>
  </sheetViews>
  <sheetFormatPr defaultColWidth="9.00390625" defaultRowHeight="12.75"/>
  <cols>
    <col min="1" max="1" width="5.125" style="108" customWidth="1"/>
    <col min="2" max="3" width="9.125" style="108" customWidth="1"/>
    <col min="4" max="4" width="5.875" style="108" customWidth="1"/>
    <col min="5" max="5" width="49.875" style="108" customWidth="1"/>
    <col min="6" max="6" width="16.125" style="108" bestFit="1" customWidth="1"/>
    <col min="7" max="7" width="13.625" style="108" customWidth="1"/>
    <col min="8" max="9" width="15.125" style="108" customWidth="1"/>
    <col min="10" max="10" width="15.875" style="108" bestFit="1" customWidth="1"/>
    <col min="11" max="11" width="9.125" style="172" customWidth="1"/>
    <col min="12" max="16384" width="9.125" style="108" customWidth="1"/>
  </cols>
  <sheetData>
    <row r="1" spans="1:10" ht="15.75">
      <c r="A1" s="39"/>
      <c r="B1" s="130"/>
      <c r="C1" s="130"/>
      <c r="D1" s="130"/>
      <c r="E1" s="131"/>
      <c r="F1" s="640" t="s">
        <v>1030</v>
      </c>
      <c r="G1" s="641"/>
      <c r="H1" s="641"/>
      <c r="I1" s="641"/>
      <c r="J1" s="641"/>
    </row>
    <row r="2" spans="1:10" ht="15.75">
      <c r="A2" s="645" t="s">
        <v>811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0" ht="12.75">
      <c r="A3" s="39"/>
      <c r="B3" s="39"/>
      <c r="C3" s="39"/>
      <c r="D3" s="39"/>
      <c r="E3" s="39"/>
      <c r="F3" s="130"/>
      <c r="G3" s="130"/>
      <c r="H3" s="130"/>
      <c r="I3" s="130"/>
      <c r="J3" s="130"/>
    </row>
    <row r="4" spans="1:10" ht="12.75">
      <c r="A4" s="39"/>
      <c r="B4" s="130"/>
      <c r="C4" s="130"/>
      <c r="D4" s="130"/>
      <c r="E4" s="130"/>
      <c r="F4" s="130"/>
      <c r="G4" s="130"/>
      <c r="H4" s="130"/>
      <c r="I4" s="130"/>
      <c r="J4" s="131" t="s">
        <v>602</v>
      </c>
    </row>
    <row r="5" spans="1:10" ht="60">
      <c r="A5" s="631" t="s">
        <v>0</v>
      </c>
      <c r="B5" s="632"/>
      <c r="C5" s="632"/>
      <c r="D5" s="632"/>
      <c r="E5" s="633"/>
      <c r="F5" s="623" t="s">
        <v>55</v>
      </c>
      <c r="G5" s="623" t="s">
        <v>337</v>
      </c>
      <c r="H5" s="623" t="s">
        <v>716</v>
      </c>
      <c r="I5" s="623" t="s">
        <v>779</v>
      </c>
      <c r="J5" s="623" t="s">
        <v>330</v>
      </c>
    </row>
    <row r="6" spans="1:11" s="114" customFormat="1" ht="15">
      <c r="A6" s="624" t="s">
        <v>399</v>
      </c>
      <c r="B6" s="642" t="s">
        <v>400</v>
      </c>
      <c r="C6" s="643"/>
      <c r="D6" s="643"/>
      <c r="E6" s="644"/>
      <c r="F6" s="625" t="s">
        <v>401</v>
      </c>
      <c r="G6" s="625" t="s">
        <v>402</v>
      </c>
      <c r="H6" s="625" t="s">
        <v>403</v>
      </c>
      <c r="I6" s="625" t="s">
        <v>404</v>
      </c>
      <c r="J6" s="625" t="s">
        <v>406</v>
      </c>
      <c r="K6" s="392"/>
    </row>
    <row r="7" spans="1:11" s="134" customFormat="1" ht="12.75">
      <c r="A7" s="132" t="s">
        <v>179</v>
      </c>
      <c r="B7" s="634" t="s">
        <v>180</v>
      </c>
      <c r="C7" s="634"/>
      <c r="D7" s="634"/>
      <c r="E7" s="634"/>
      <c r="F7" s="133">
        <f>SUM(F8+F15+F16+F17+F28+F29)</f>
        <v>686655475</v>
      </c>
      <c r="G7" s="133">
        <f>SUM(G8+G15+G16+G17+G28+G29)</f>
        <v>4164053</v>
      </c>
      <c r="H7" s="133">
        <f>SUM(H8+H15+H16+H17+H28+H29)</f>
        <v>1444366</v>
      </c>
      <c r="I7" s="133">
        <f>SUM(I8+I15+I16+I17+I28+I29)</f>
        <v>22765512</v>
      </c>
      <c r="J7" s="133">
        <f>SUM(F7:I7)</f>
        <v>715029406</v>
      </c>
      <c r="K7" s="393"/>
    </row>
    <row r="8" spans="1:11" ht="12.75">
      <c r="A8" s="135"/>
      <c r="B8" s="135" t="s">
        <v>181</v>
      </c>
      <c r="C8" s="630" t="s">
        <v>182</v>
      </c>
      <c r="D8" s="630"/>
      <c r="E8" s="630"/>
      <c r="F8" s="136">
        <f>SUM(F9:F14)</f>
        <v>516487799</v>
      </c>
      <c r="G8" s="136">
        <f>SUM(G9:G14)</f>
        <v>0</v>
      </c>
      <c r="H8" s="136">
        <f>SUM(H9:H14)</f>
        <v>0</v>
      </c>
      <c r="I8" s="136">
        <f>SUM(I9:I14)</f>
        <v>0</v>
      </c>
      <c r="J8" s="137">
        <f aca="true" t="shared" si="0" ref="J8:J72">SUM(F8:I8)</f>
        <v>516487799</v>
      </c>
      <c r="K8" s="394"/>
    </row>
    <row r="9" spans="1:11" ht="12.75">
      <c r="A9" s="138"/>
      <c r="B9" s="138"/>
      <c r="C9" s="138" t="s">
        <v>183</v>
      </c>
      <c r="D9" s="138"/>
      <c r="E9" s="138" t="s">
        <v>624</v>
      </c>
      <c r="F9" s="139">
        <f>187405500+593921+81261+3401000</f>
        <v>191481682</v>
      </c>
      <c r="G9" s="139">
        <v>0</v>
      </c>
      <c r="H9" s="139">
        <v>0</v>
      </c>
      <c r="I9" s="139">
        <v>0</v>
      </c>
      <c r="J9" s="140">
        <f t="shared" si="0"/>
        <v>191481682</v>
      </c>
      <c r="K9" s="395"/>
    </row>
    <row r="10" spans="1:11" ht="12.75">
      <c r="A10" s="138"/>
      <c r="B10" s="141"/>
      <c r="C10" s="138" t="s">
        <v>184</v>
      </c>
      <c r="D10" s="138"/>
      <c r="E10" s="138" t="s">
        <v>630</v>
      </c>
      <c r="F10" s="139">
        <f>113053183+2145000</f>
        <v>115198183</v>
      </c>
      <c r="G10" s="139">
        <v>0</v>
      </c>
      <c r="H10" s="139">
        <v>0</v>
      </c>
      <c r="I10" s="139">
        <v>0</v>
      </c>
      <c r="J10" s="140">
        <f t="shared" si="0"/>
        <v>115198183</v>
      </c>
      <c r="K10" s="395"/>
    </row>
    <row r="11" spans="1:11" ht="12.75">
      <c r="A11" s="138"/>
      <c r="B11" s="138"/>
      <c r="C11" s="138" t="s">
        <v>185</v>
      </c>
      <c r="D11" s="138"/>
      <c r="E11" s="138" t="s">
        <v>603</v>
      </c>
      <c r="F11" s="139">
        <f>163358480+10844656+2556000</f>
        <v>176759136</v>
      </c>
      <c r="G11" s="139">
        <v>0</v>
      </c>
      <c r="H11" s="139">
        <v>0</v>
      </c>
      <c r="I11" s="139">
        <v>0</v>
      </c>
      <c r="J11" s="140">
        <f t="shared" si="0"/>
        <v>176759136</v>
      </c>
      <c r="K11" s="395"/>
    </row>
    <row r="12" spans="1:11" ht="12.75">
      <c r="A12" s="138"/>
      <c r="B12" s="138"/>
      <c r="C12" s="138" t="s">
        <v>186</v>
      </c>
      <c r="D12" s="138"/>
      <c r="E12" s="138" t="s">
        <v>631</v>
      </c>
      <c r="F12" s="139">
        <f>10507640+862312+356000</f>
        <v>11725952</v>
      </c>
      <c r="G12" s="139">
        <v>0</v>
      </c>
      <c r="H12" s="139">
        <v>0</v>
      </c>
      <c r="I12" s="139">
        <v>0</v>
      </c>
      <c r="J12" s="140">
        <f t="shared" si="0"/>
        <v>11725952</v>
      </c>
      <c r="K12" s="395"/>
    </row>
    <row r="13" spans="1:11" ht="11.25" customHeight="1">
      <c r="A13" s="138"/>
      <c r="B13" s="138"/>
      <c r="C13" s="138" t="s">
        <v>187</v>
      </c>
      <c r="D13" s="138"/>
      <c r="E13" s="138" t="s">
        <v>625</v>
      </c>
      <c r="F13" s="139">
        <f>10464000+10858846</f>
        <v>21322846</v>
      </c>
      <c r="G13" s="139">
        <v>0</v>
      </c>
      <c r="H13" s="139">
        <v>0</v>
      </c>
      <c r="I13" s="139">
        <v>0</v>
      </c>
      <c r="J13" s="140">
        <f t="shared" si="0"/>
        <v>21322846</v>
      </c>
      <c r="K13" s="395"/>
    </row>
    <row r="14" spans="1:11" ht="0.75" customHeight="1" hidden="1">
      <c r="A14" s="142"/>
      <c r="B14" s="142"/>
      <c r="C14" s="138" t="s">
        <v>188</v>
      </c>
      <c r="D14" s="142"/>
      <c r="E14" s="138" t="s">
        <v>511</v>
      </c>
      <c r="F14" s="139">
        <v>0</v>
      </c>
      <c r="G14" s="139">
        <v>0</v>
      </c>
      <c r="H14" s="139">
        <v>0</v>
      </c>
      <c r="I14" s="139">
        <v>0</v>
      </c>
      <c r="J14" s="140">
        <f t="shared" si="0"/>
        <v>0</v>
      </c>
      <c r="K14" s="395"/>
    </row>
    <row r="15" spans="1:11" ht="12.75">
      <c r="A15" s="135"/>
      <c r="B15" s="135" t="s">
        <v>189</v>
      </c>
      <c r="C15" s="630" t="s">
        <v>190</v>
      </c>
      <c r="D15" s="630"/>
      <c r="E15" s="630"/>
      <c r="F15" s="136">
        <v>0</v>
      </c>
      <c r="G15" s="136">
        <v>0</v>
      </c>
      <c r="H15" s="136">
        <v>0</v>
      </c>
      <c r="I15" s="136">
        <v>0</v>
      </c>
      <c r="J15" s="137">
        <f t="shared" si="0"/>
        <v>0</v>
      </c>
      <c r="K15" s="394"/>
    </row>
    <row r="16" spans="1:11" ht="12.75">
      <c r="A16" s="135"/>
      <c r="B16" s="135" t="s">
        <v>191</v>
      </c>
      <c r="C16" s="630" t="s">
        <v>626</v>
      </c>
      <c r="D16" s="630"/>
      <c r="E16" s="630"/>
      <c r="F16" s="136">
        <v>0</v>
      </c>
      <c r="G16" s="136">
        <v>0</v>
      </c>
      <c r="H16" s="136">
        <v>0</v>
      </c>
      <c r="I16" s="136">
        <v>0</v>
      </c>
      <c r="J16" s="137">
        <f t="shared" si="0"/>
        <v>0</v>
      </c>
      <c r="K16" s="394"/>
    </row>
    <row r="17" spans="1:11" ht="12.75">
      <c r="A17" s="135"/>
      <c r="B17" s="135" t="s">
        <v>192</v>
      </c>
      <c r="C17" s="630" t="s">
        <v>627</v>
      </c>
      <c r="D17" s="630"/>
      <c r="E17" s="630"/>
      <c r="F17" s="136">
        <f>SUM(F18:F27)</f>
        <v>0</v>
      </c>
      <c r="G17" s="136">
        <f>SUM(G18:G27)</f>
        <v>0</v>
      </c>
      <c r="H17" s="136">
        <f>SUM(H18:H27)</f>
        <v>0</v>
      </c>
      <c r="I17" s="136">
        <f>SUM(I18:I27)</f>
        <v>0</v>
      </c>
      <c r="J17" s="137">
        <f t="shared" si="0"/>
        <v>0</v>
      </c>
      <c r="K17" s="394"/>
    </row>
    <row r="18" spans="1:11" ht="12.75" customHeight="1" hidden="1">
      <c r="A18" s="143"/>
      <c r="B18" s="143"/>
      <c r="C18" s="144" t="s">
        <v>2</v>
      </c>
      <c r="D18" s="144" t="s">
        <v>117</v>
      </c>
      <c r="E18" s="144" t="s">
        <v>118</v>
      </c>
      <c r="F18" s="145">
        <v>0</v>
      </c>
      <c r="G18" s="145">
        <v>0</v>
      </c>
      <c r="H18" s="145">
        <v>0</v>
      </c>
      <c r="I18" s="145">
        <v>0</v>
      </c>
      <c r="J18" s="146">
        <f t="shared" si="0"/>
        <v>0</v>
      </c>
      <c r="K18" s="396"/>
    </row>
    <row r="19" spans="1:11" ht="12.75" customHeight="1" hidden="1">
      <c r="A19" s="143"/>
      <c r="B19" s="143"/>
      <c r="C19" s="144"/>
      <c r="D19" s="144" t="s">
        <v>119</v>
      </c>
      <c r="E19" s="144" t="s">
        <v>120</v>
      </c>
      <c r="F19" s="145">
        <v>0</v>
      </c>
      <c r="G19" s="145">
        <v>0</v>
      </c>
      <c r="H19" s="145">
        <v>0</v>
      </c>
      <c r="I19" s="145">
        <v>0</v>
      </c>
      <c r="J19" s="146">
        <f t="shared" si="0"/>
        <v>0</v>
      </c>
      <c r="K19" s="396"/>
    </row>
    <row r="20" spans="1:11" ht="12.75" customHeight="1" hidden="1">
      <c r="A20" s="143"/>
      <c r="B20" s="143"/>
      <c r="C20" s="144"/>
      <c r="D20" s="144" t="s">
        <v>121</v>
      </c>
      <c r="E20" s="144" t="s">
        <v>193</v>
      </c>
      <c r="F20" s="145">
        <v>0</v>
      </c>
      <c r="G20" s="145">
        <v>0</v>
      </c>
      <c r="H20" s="145">
        <v>0</v>
      </c>
      <c r="I20" s="145">
        <v>0</v>
      </c>
      <c r="J20" s="146">
        <f t="shared" si="0"/>
        <v>0</v>
      </c>
      <c r="K20" s="396"/>
    </row>
    <row r="21" spans="1:11" ht="12.75" customHeight="1" hidden="1">
      <c r="A21" s="143"/>
      <c r="B21" s="143"/>
      <c r="C21" s="144"/>
      <c r="D21" s="144" t="s">
        <v>123</v>
      </c>
      <c r="E21" s="144" t="s">
        <v>124</v>
      </c>
      <c r="F21" s="145">
        <v>0</v>
      </c>
      <c r="G21" s="145">
        <v>0</v>
      </c>
      <c r="H21" s="145">
        <v>0</v>
      </c>
      <c r="I21" s="145">
        <v>0</v>
      </c>
      <c r="J21" s="146">
        <f t="shared" si="0"/>
        <v>0</v>
      </c>
      <c r="K21" s="396"/>
    </row>
    <row r="22" spans="1:11" ht="12.75" customHeight="1" hidden="1">
      <c r="A22" s="143"/>
      <c r="B22" s="143"/>
      <c r="C22" s="144"/>
      <c r="D22" s="144" t="s">
        <v>125</v>
      </c>
      <c r="E22" s="144" t="s">
        <v>126</v>
      </c>
      <c r="F22" s="145">
        <v>0</v>
      </c>
      <c r="G22" s="145">
        <v>0</v>
      </c>
      <c r="H22" s="145">
        <v>0</v>
      </c>
      <c r="I22" s="145">
        <v>0</v>
      </c>
      <c r="J22" s="146">
        <f t="shared" si="0"/>
        <v>0</v>
      </c>
      <c r="K22" s="396"/>
    </row>
    <row r="23" spans="1:11" ht="12.75" customHeight="1" hidden="1">
      <c r="A23" s="143"/>
      <c r="B23" s="143"/>
      <c r="C23" s="144"/>
      <c r="D23" s="144" t="s">
        <v>127</v>
      </c>
      <c r="E23" s="144" t="s">
        <v>128</v>
      </c>
      <c r="F23" s="145">
        <v>0</v>
      </c>
      <c r="G23" s="145">
        <v>0</v>
      </c>
      <c r="H23" s="145">
        <v>0</v>
      </c>
      <c r="I23" s="145">
        <v>0</v>
      </c>
      <c r="J23" s="146">
        <f t="shared" si="0"/>
        <v>0</v>
      </c>
      <c r="K23" s="396"/>
    </row>
    <row r="24" spans="1:11" ht="12.75" customHeight="1" hidden="1">
      <c r="A24" s="143"/>
      <c r="B24" s="143"/>
      <c r="C24" s="144"/>
      <c r="D24" s="144" t="s">
        <v>129</v>
      </c>
      <c r="E24" s="144" t="s">
        <v>130</v>
      </c>
      <c r="F24" s="145">
        <v>0</v>
      </c>
      <c r="G24" s="145">
        <v>0</v>
      </c>
      <c r="H24" s="145">
        <v>0</v>
      </c>
      <c r="I24" s="145">
        <v>0</v>
      </c>
      <c r="J24" s="146">
        <f t="shared" si="0"/>
        <v>0</v>
      </c>
      <c r="K24" s="396"/>
    </row>
    <row r="25" spans="1:11" ht="12.75" customHeight="1" hidden="1">
      <c r="A25" s="143"/>
      <c r="B25" s="143"/>
      <c r="C25" s="144"/>
      <c r="D25" s="144" t="s">
        <v>131</v>
      </c>
      <c r="E25" s="144" t="s">
        <v>132</v>
      </c>
      <c r="F25" s="145"/>
      <c r="G25" s="145">
        <v>0</v>
      </c>
      <c r="H25" s="145">
        <v>0</v>
      </c>
      <c r="I25" s="145">
        <v>0</v>
      </c>
      <c r="J25" s="146">
        <f t="shared" si="0"/>
        <v>0</v>
      </c>
      <c r="K25" s="396"/>
    </row>
    <row r="26" spans="1:11" ht="12.75" customHeight="1" hidden="1">
      <c r="A26" s="143"/>
      <c r="B26" s="143"/>
      <c r="C26" s="144"/>
      <c r="D26" s="144" t="s">
        <v>133</v>
      </c>
      <c r="E26" s="144" t="s">
        <v>134</v>
      </c>
      <c r="F26" s="145">
        <v>0</v>
      </c>
      <c r="G26" s="145">
        <v>0</v>
      </c>
      <c r="H26" s="145">
        <v>0</v>
      </c>
      <c r="I26" s="145">
        <v>0</v>
      </c>
      <c r="J26" s="146">
        <f t="shared" si="0"/>
        <v>0</v>
      </c>
      <c r="K26" s="396"/>
    </row>
    <row r="27" spans="1:11" ht="12.75" customHeight="1" hidden="1">
      <c r="A27" s="143"/>
      <c r="B27" s="143"/>
      <c r="C27" s="144"/>
      <c r="D27" s="144" t="s">
        <v>135</v>
      </c>
      <c r="E27" s="144" t="s">
        <v>136</v>
      </c>
      <c r="F27" s="145">
        <v>0</v>
      </c>
      <c r="G27" s="145">
        <v>0</v>
      </c>
      <c r="H27" s="145">
        <v>0</v>
      </c>
      <c r="I27" s="145">
        <v>0</v>
      </c>
      <c r="J27" s="146">
        <f t="shared" si="0"/>
        <v>0</v>
      </c>
      <c r="K27" s="396"/>
    </row>
    <row r="28" spans="1:11" ht="12.75">
      <c r="A28" s="135"/>
      <c r="B28" s="135" t="s">
        <v>194</v>
      </c>
      <c r="C28" s="630" t="s">
        <v>628</v>
      </c>
      <c r="D28" s="630"/>
      <c r="E28" s="630"/>
      <c r="F28" s="136">
        <v>0</v>
      </c>
      <c r="G28" s="136">
        <v>0</v>
      </c>
      <c r="H28" s="136">
        <v>0</v>
      </c>
      <c r="I28" s="136">
        <v>0</v>
      </c>
      <c r="J28" s="137">
        <f t="shared" si="0"/>
        <v>0</v>
      </c>
      <c r="K28" s="394"/>
    </row>
    <row r="29" spans="1:11" ht="12.75">
      <c r="A29" s="135"/>
      <c r="B29" s="135" t="s">
        <v>195</v>
      </c>
      <c r="C29" s="630" t="s">
        <v>629</v>
      </c>
      <c r="D29" s="630"/>
      <c r="E29" s="630"/>
      <c r="F29" s="136">
        <f>SUM(F30:F39)</f>
        <v>170167676</v>
      </c>
      <c r="G29" s="136">
        <f>SUM(G30:G39)</f>
        <v>4164053</v>
      </c>
      <c r="H29" s="136">
        <f>SUM(H30:H39)</f>
        <v>1444366</v>
      </c>
      <c r="I29" s="136">
        <f>SUM(I30:I39)</f>
        <v>22765512</v>
      </c>
      <c r="J29" s="137">
        <f t="shared" si="0"/>
        <v>198541607</v>
      </c>
      <c r="K29" s="394"/>
    </row>
    <row r="30" spans="1:11" ht="12.75" customHeight="1" hidden="1">
      <c r="A30" s="143"/>
      <c r="B30" s="143"/>
      <c r="C30" s="144" t="s">
        <v>2</v>
      </c>
      <c r="D30" s="144" t="s">
        <v>117</v>
      </c>
      <c r="E30" s="144" t="s">
        <v>118</v>
      </c>
      <c r="F30" s="145">
        <v>0</v>
      </c>
      <c r="G30" s="145">
        <v>0</v>
      </c>
      <c r="H30" s="145">
        <v>0</v>
      </c>
      <c r="I30" s="145">
        <v>0</v>
      </c>
      <c r="J30" s="146">
        <f t="shared" si="0"/>
        <v>0</v>
      </c>
      <c r="K30" s="396"/>
    </row>
    <row r="31" spans="1:11" ht="12.75" customHeight="1" hidden="1">
      <c r="A31" s="143"/>
      <c r="B31" s="143"/>
      <c r="C31" s="144"/>
      <c r="D31" s="144" t="s">
        <v>119</v>
      </c>
      <c r="E31" s="144" t="s">
        <v>120</v>
      </c>
      <c r="F31" s="145">
        <v>0</v>
      </c>
      <c r="G31" s="145">
        <v>0</v>
      </c>
      <c r="H31" s="145">
        <v>0</v>
      </c>
      <c r="I31" s="145">
        <v>0</v>
      </c>
      <c r="J31" s="146">
        <f t="shared" si="0"/>
        <v>0</v>
      </c>
      <c r="K31" s="396"/>
    </row>
    <row r="32" spans="1:11" ht="12.75">
      <c r="A32" s="143"/>
      <c r="B32" s="143"/>
      <c r="C32" s="144" t="s">
        <v>2</v>
      </c>
      <c r="D32" s="144"/>
      <c r="E32" s="144" t="s">
        <v>632</v>
      </c>
      <c r="F32" s="145">
        <f>52411853+3303941+2000000</f>
        <v>57715794</v>
      </c>
      <c r="G32" s="145">
        <v>0</v>
      </c>
      <c r="H32" s="145">
        <v>0</v>
      </c>
      <c r="I32" s="145">
        <v>22502900</v>
      </c>
      <c r="J32" s="146">
        <f t="shared" si="0"/>
        <v>80218694</v>
      </c>
      <c r="K32" s="396"/>
    </row>
    <row r="33" spans="1:11" ht="12.75">
      <c r="A33" s="143"/>
      <c r="B33" s="143"/>
      <c r="C33" s="144"/>
      <c r="D33" s="144"/>
      <c r="E33" s="144" t="s">
        <v>124</v>
      </c>
      <c r="F33" s="145">
        <f>15675115-2000000</f>
        <v>13675115</v>
      </c>
      <c r="G33" s="145">
        <f>1960719+47334+2156000</f>
        <v>4164053</v>
      </c>
      <c r="H33" s="145">
        <v>0</v>
      </c>
      <c r="I33" s="145">
        <v>0</v>
      </c>
      <c r="J33" s="146">
        <f t="shared" si="0"/>
        <v>17839168</v>
      </c>
      <c r="K33" s="396"/>
    </row>
    <row r="34" spans="1:11" ht="12.75">
      <c r="A34" s="143"/>
      <c r="B34" s="143"/>
      <c r="C34" s="144"/>
      <c r="D34" s="144"/>
      <c r="E34" s="144" t="s">
        <v>126</v>
      </c>
      <c r="F34" s="145">
        <f>21228000+2577831</f>
        <v>23805831</v>
      </c>
      <c r="G34" s="145">
        <v>0</v>
      </c>
      <c r="H34" s="145">
        <v>0</v>
      </c>
      <c r="I34" s="145">
        <v>0</v>
      </c>
      <c r="J34" s="146">
        <f t="shared" si="0"/>
        <v>23805831</v>
      </c>
      <c r="K34" s="396"/>
    </row>
    <row r="35" spans="1:11" ht="12.75">
      <c r="A35" s="143"/>
      <c r="B35" s="143"/>
      <c r="C35" s="144"/>
      <c r="D35" s="144"/>
      <c r="E35" s="144" t="s">
        <v>128</v>
      </c>
      <c r="F35" s="145">
        <f>23113977-6854236-6737965+42621100+16507503+1152632+3457896</f>
        <v>73260907</v>
      </c>
      <c r="G35" s="145">
        <v>0</v>
      </c>
      <c r="H35" s="145">
        <f>1444366</f>
        <v>1444366</v>
      </c>
      <c r="I35" s="145">
        <f>262612</f>
        <v>262612</v>
      </c>
      <c r="J35" s="146">
        <f t="shared" si="0"/>
        <v>74967885</v>
      </c>
      <c r="K35" s="396"/>
    </row>
    <row r="36" spans="1:11" ht="12.75">
      <c r="A36" s="143"/>
      <c r="B36" s="143"/>
      <c r="C36" s="144"/>
      <c r="D36" s="144"/>
      <c r="E36" s="144" t="s">
        <v>130</v>
      </c>
      <c r="F36" s="145">
        <v>1710029</v>
      </c>
      <c r="G36" s="145">
        <v>0</v>
      </c>
      <c r="H36" s="145">
        <v>0</v>
      </c>
      <c r="I36" s="145">
        <v>0</v>
      </c>
      <c r="J36" s="146">
        <f t="shared" si="0"/>
        <v>1710029</v>
      </c>
      <c r="K36" s="396"/>
    </row>
    <row r="37" spans="1:11" ht="12.75" customHeight="1" hidden="1">
      <c r="A37" s="143"/>
      <c r="B37" s="143"/>
      <c r="C37" s="144"/>
      <c r="D37" s="144"/>
      <c r="E37" s="144" t="s">
        <v>132</v>
      </c>
      <c r="F37" s="145">
        <v>0</v>
      </c>
      <c r="G37" s="145">
        <v>0</v>
      </c>
      <c r="H37" s="145">
        <v>0</v>
      </c>
      <c r="I37" s="145">
        <v>0</v>
      </c>
      <c r="J37" s="146">
        <f t="shared" si="0"/>
        <v>0</v>
      </c>
      <c r="K37" s="396"/>
    </row>
    <row r="38" spans="1:11" ht="12.75" customHeight="1" hidden="1">
      <c r="A38" s="143"/>
      <c r="B38" s="143"/>
      <c r="C38" s="144"/>
      <c r="D38" s="144"/>
      <c r="E38" s="144" t="s">
        <v>633</v>
      </c>
      <c r="F38" s="145">
        <v>0</v>
      </c>
      <c r="G38" s="145">
        <v>0</v>
      </c>
      <c r="H38" s="145">
        <v>0</v>
      </c>
      <c r="I38" s="145">
        <v>0</v>
      </c>
      <c r="J38" s="146">
        <f t="shared" si="0"/>
        <v>0</v>
      </c>
      <c r="K38" s="396"/>
    </row>
    <row r="39" spans="1:11" ht="12.75" customHeight="1" hidden="1">
      <c r="A39" s="143"/>
      <c r="B39" s="143"/>
      <c r="C39" s="144"/>
      <c r="D39" s="144"/>
      <c r="E39" s="144" t="s">
        <v>634</v>
      </c>
      <c r="F39" s="145">
        <v>0</v>
      </c>
      <c r="G39" s="145">
        <v>0</v>
      </c>
      <c r="H39" s="145">
        <v>0</v>
      </c>
      <c r="I39" s="145">
        <v>0</v>
      </c>
      <c r="J39" s="146">
        <f t="shared" si="0"/>
        <v>0</v>
      </c>
      <c r="K39" s="396"/>
    </row>
    <row r="40" spans="1:11" s="134" customFormat="1" ht="12.75">
      <c r="A40" s="132" t="s">
        <v>196</v>
      </c>
      <c r="B40" s="634" t="s">
        <v>640</v>
      </c>
      <c r="C40" s="634"/>
      <c r="D40" s="634"/>
      <c r="E40" s="634"/>
      <c r="F40" s="133">
        <f>SUM(F41:F45)</f>
        <v>58447975</v>
      </c>
      <c r="G40" s="133">
        <f>SUM(G41:G45)</f>
        <v>0</v>
      </c>
      <c r="H40" s="133">
        <f>SUM(H41:H45)</f>
        <v>0</v>
      </c>
      <c r="I40" s="133">
        <f>SUM(I41:I45)</f>
        <v>2497100</v>
      </c>
      <c r="J40" s="133">
        <f t="shared" si="0"/>
        <v>60945075</v>
      </c>
      <c r="K40" s="393"/>
    </row>
    <row r="41" spans="1:11" ht="12.75" customHeight="1" hidden="1">
      <c r="A41" s="135"/>
      <c r="B41" s="135" t="s">
        <v>197</v>
      </c>
      <c r="C41" s="630" t="s">
        <v>635</v>
      </c>
      <c r="D41" s="630"/>
      <c r="E41" s="630"/>
      <c r="F41" s="136">
        <f>29999998</f>
        <v>29999998</v>
      </c>
      <c r="G41" s="136">
        <v>0</v>
      </c>
      <c r="H41" s="136">
        <v>0</v>
      </c>
      <c r="I41" s="136">
        <v>0</v>
      </c>
      <c r="J41" s="137">
        <f t="shared" si="0"/>
        <v>29999998</v>
      </c>
      <c r="K41" s="394"/>
    </row>
    <row r="42" spans="1:11" ht="12.75" customHeight="1" hidden="1">
      <c r="A42" s="135"/>
      <c r="B42" s="135" t="s">
        <v>198</v>
      </c>
      <c r="C42" s="630" t="s">
        <v>636</v>
      </c>
      <c r="D42" s="630"/>
      <c r="E42" s="630"/>
      <c r="F42" s="136">
        <v>0</v>
      </c>
      <c r="G42" s="136">
        <v>0</v>
      </c>
      <c r="H42" s="136">
        <v>0</v>
      </c>
      <c r="I42" s="136">
        <v>0</v>
      </c>
      <c r="J42" s="137">
        <f t="shared" si="0"/>
        <v>0</v>
      </c>
      <c r="K42" s="394"/>
    </row>
    <row r="43" spans="1:11" ht="12.75" customHeight="1" hidden="1">
      <c r="A43" s="135"/>
      <c r="B43" s="135" t="s">
        <v>199</v>
      </c>
      <c r="C43" s="630" t="s">
        <v>637</v>
      </c>
      <c r="D43" s="630"/>
      <c r="E43" s="630"/>
      <c r="F43" s="136">
        <v>0</v>
      </c>
      <c r="G43" s="136">
        <v>0</v>
      </c>
      <c r="H43" s="136">
        <v>0</v>
      </c>
      <c r="I43" s="136">
        <v>0</v>
      </c>
      <c r="J43" s="137">
        <f t="shared" si="0"/>
        <v>0</v>
      </c>
      <c r="K43" s="394"/>
    </row>
    <row r="44" spans="1:11" ht="12.75" customHeight="1" hidden="1">
      <c r="A44" s="135"/>
      <c r="B44" s="135" t="s">
        <v>200</v>
      </c>
      <c r="C44" s="630" t="s">
        <v>638</v>
      </c>
      <c r="D44" s="630"/>
      <c r="E44" s="630"/>
      <c r="F44" s="136">
        <v>0</v>
      </c>
      <c r="G44" s="136">
        <v>0</v>
      </c>
      <c r="H44" s="136">
        <v>0</v>
      </c>
      <c r="I44" s="136">
        <v>0</v>
      </c>
      <c r="J44" s="137">
        <f t="shared" si="0"/>
        <v>0</v>
      </c>
      <c r="K44" s="394"/>
    </row>
    <row r="45" spans="1:11" ht="12.75">
      <c r="A45" s="135"/>
      <c r="B45" s="135" t="s">
        <v>201</v>
      </c>
      <c r="C45" s="630" t="s">
        <v>639</v>
      </c>
      <c r="D45" s="630"/>
      <c r="E45" s="630"/>
      <c r="F45" s="136">
        <f>SUM(F46:F56)</f>
        <v>28447977</v>
      </c>
      <c r="G45" s="136">
        <f>SUM(G46:G56)</f>
        <v>0</v>
      </c>
      <c r="H45" s="136">
        <f>SUM(H46:H56)</f>
        <v>0</v>
      </c>
      <c r="I45" s="136">
        <f>SUM(I46:I56)</f>
        <v>2497100</v>
      </c>
      <c r="J45" s="137">
        <f t="shared" si="0"/>
        <v>30945077</v>
      </c>
      <c r="K45" s="394"/>
    </row>
    <row r="46" spans="1:11" ht="12.75" customHeight="1" hidden="1">
      <c r="A46" s="143"/>
      <c r="B46" s="143"/>
      <c r="C46" s="144" t="s">
        <v>2</v>
      </c>
      <c r="D46" s="144" t="s">
        <v>117</v>
      </c>
      <c r="E46" s="144" t="s">
        <v>118</v>
      </c>
      <c r="F46" s="145">
        <v>0</v>
      </c>
      <c r="G46" s="145">
        <v>0</v>
      </c>
      <c r="H46" s="145">
        <v>0</v>
      </c>
      <c r="I46" s="145">
        <v>0</v>
      </c>
      <c r="J46" s="146">
        <f t="shared" si="0"/>
        <v>0</v>
      </c>
      <c r="K46" s="396"/>
    </row>
    <row r="47" spans="1:11" ht="12.75" customHeight="1" hidden="1">
      <c r="A47" s="143"/>
      <c r="B47" s="143"/>
      <c r="C47" s="144"/>
      <c r="D47" s="144" t="s">
        <v>119</v>
      </c>
      <c r="E47" s="144" t="s">
        <v>120</v>
      </c>
      <c r="F47" s="145">
        <v>0</v>
      </c>
      <c r="G47" s="145">
        <v>0</v>
      </c>
      <c r="H47" s="145">
        <v>0</v>
      </c>
      <c r="I47" s="145">
        <v>0</v>
      </c>
      <c r="J47" s="146">
        <f t="shared" si="0"/>
        <v>0</v>
      </c>
      <c r="K47" s="396"/>
    </row>
    <row r="48" spans="1:11" ht="12" customHeight="1">
      <c r="A48" s="143"/>
      <c r="B48" s="143"/>
      <c r="C48" s="144" t="s">
        <v>2</v>
      </c>
      <c r="D48" s="144"/>
      <c r="E48" s="144" t="s">
        <v>193</v>
      </c>
      <c r="F48" s="145">
        <f>24880301+779383+1499099</f>
        <v>27158783</v>
      </c>
      <c r="G48" s="145">
        <v>0</v>
      </c>
      <c r="H48" s="145">
        <v>0</v>
      </c>
      <c r="I48" s="145">
        <v>2497100</v>
      </c>
      <c r="J48" s="146">
        <f t="shared" si="0"/>
        <v>29655883</v>
      </c>
      <c r="K48" s="396"/>
    </row>
    <row r="49" spans="1:11" ht="12.75" customHeight="1" hidden="1">
      <c r="A49" s="143"/>
      <c r="B49" s="143"/>
      <c r="C49" s="144"/>
      <c r="D49" s="144" t="s">
        <v>123</v>
      </c>
      <c r="E49" s="144" t="s">
        <v>124</v>
      </c>
      <c r="F49" s="145">
        <v>0</v>
      </c>
      <c r="G49" s="145">
        <v>0</v>
      </c>
      <c r="H49" s="145">
        <v>0</v>
      </c>
      <c r="I49" s="145">
        <v>0</v>
      </c>
      <c r="J49" s="146">
        <f t="shared" si="0"/>
        <v>0</v>
      </c>
      <c r="K49" s="396"/>
    </row>
    <row r="50" spans="1:11" ht="12.75" customHeight="1" hidden="1">
      <c r="A50" s="143"/>
      <c r="B50" s="143"/>
      <c r="C50" s="144"/>
      <c r="D50" s="144" t="s">
        <v>125</v>
      </c>
      <c r="E50" s="144" t="s">
        <v>126</v>
      </c>
      <c r="F50" s="145">
        <v>0</v>
      </c>
      <c r="G50" s="145">
        <v>0</v>
      </c>
      <c r="H50" s="145">
        <v>0</v>
      </c>
      <c r="I50" s="145">
        <v>0</v>
      </c>
      <c r="J50" s="146">
        <f t="shared" si="0"/>
        <v>0</v>
      </c>
      <c r="K50" s="396"/>
    </row>
    <row r="51" spans="1:11" ht="12.75" customHeight="1" hidden="1">
      <c r="A51" s="143"/>
      <c r="B51" s="143"/>
      <c r="C51" s="144"/>
      <c r="D51" s="144" t="s">
        <v>127</v>
      </c>
      <c r="E51" s="144" t="s">
        <v>128</v>
      </c>
      <c r="F51" s="145"/>
      <c r="G51" s="145">
        <v>0</v>
      </c>
      <c r="H51" s="145">
        <v>0</v>
      </c>
      <c r="I51" s="145">
        <v>0</v>
      </c>
      <c r="J51" s="146">
        <f t="shared" si="0"/>
        <v>0</v>
      </c>
      <c r="K51" s="396"/>
    </row>
    <row r="52" spans="1:11" ht="12.75" customHeight="1" hidden="1">
      <c r="A52" s="143"/>
      <c r="B52" s="143"/>
      <c r="C52" s="144"/>
      <c r="D52" s="144" t="s">
        <v>129</v>
      </c>
      <c r="E52" s="144" t="s">
        <v>130</v>
      </c>
      <c r="F52" s="145">
        <v>0</v>
      </c>
      <c r="G52" s="145">
        <v>0</v>
      </c>
      <c r="H52" s="145">
        <v>0</v>
      </c>
      <c r="I52" s="145">
        <v>0</v>
      </c>
      <c r="J52" s="146">
        <f t="shared" si="0"/>
        <v>0</v>
      </c>
      <c r="K52" s="396"/>
    </row>
    <row r="53" spans="1:11" ht="12.75" customHeight="1" hidden="1">
      <c r="A53" s="143"/>
      <c r="B53" s="143"/>
      <c r="C53" s="144"/>
      <c r="D53" s="144" t="s">
        <v>131</v>
      </c>
      <c r="E53" s="144" t="s">
        <v>132</v>
      </c>
      <c r="F53" s="145">
        <v>0</v>
      </c>
      <c r="G53" s="145">
        <v>0</v>
      </c>
      <c r="H53" s="145">
        <v>0</v>
      </c>
      <c r="I53" s="145">
        <v>0</v>
      </c>
      <c r="J53" s="146">
        <f t="shared" si="0"/>
        <v>0</v>
      </c>
      <c r="K53" s="396"/>
    </row>
    <row r="54" spans="1:11" ht="12.75" customHeight="1" hidden="1">
      <c r="A54" s="143"/>
      <c r="B54" s="143"/>
      <c r="C54" s="144"/>
      <c r="D54" s="144" t="s">
        <v>133</v>
      </c>
      <c r="E54" s="144" t="s">
        <v>134</v>
      </c>
      <c r="F54" s="145">
        <v>0</v>
      </c>
      <c r="G54" s="145">
        <v>0</v>
      </c>
      <c r="H54" s="145">
        <v>0</v>
      </c>
      <c r="I54" s="145">
        <v>0</v>
      </c>
      <c r="J54" s="146">
        <f t="shared" si="0"/>
        <v>0</v>
      </c>
      <c r="K54" s="396"/>
    </row>
    <row r="55" spans="1:11" ht="12.75" customHeight="1" hidden="1">
      <c r="A55" s="143"/>
      <c r="B55" s="143"/>
      <c r="C55" s="144"/>
      <c r="D55" s="144" t="s">
        <v>135</v>
      </c>
      <c r="E55" s="144" t="s">
        <v>136</v>
      </c>
      <c r="F55" s="145">
        <v>0</v>
      </c>
      <c r="G55" s="145">
        <v>0</v>
      </c>
      <c r="H55" s="145">
        <v>0</v>
      </c>
      <c r="I55" s="145">
        <v>0</v>
      </c>
      <c r="J55" s="146">
        <f t="shared" si="0"/>
        <v>0</v>
      </c>
      <c r="K55" s="396"/>
    </row>
    <row r="56" spans="1:11" ht="12.75">
      <c r="A56" s="143"/>
      <c r="B56" s="143"/>
      <c r="C56" s="144"/>
      <c r="D56" s="144"/>
      <c r="E56" s="144" t="s">
        <v>128</v>
      </c>
      <c r="F56" s="145">
        <f>289870-39360+138684+900000</f>
        <v>1289194</v>
      </c>
      <c r="G56" s="145">
        <v>0</v>
      </c>
      <c r="H56" s="145">
        <v>0</v>
      </c>
      <c r="I56" s="145">
        <v>0</v>
      </c>
      <c r="J56" s="146">
        <f t="shared" si="0"/>
        <v>1289194</v>
      </c>
      <c r="K56" s="396"/>
    </row>
    <row r="57" spans="1:11" s="134" customFormat="1" ht="12.75">
      <c r="A57" s="132" t="s">
        <v>202</v>
      </c>
      <c r="B57" s="634" t="s">
        <v>203</v>
      </c>
      <c r="C57" s="634"/>
      <c r="D57" s="634"/>
      <c r="E57" s="634"/>
      <c r="F57" s="133">
        <f>SUM(F58+F59+F60+F61+F64+F75)</f>
        <v>254780000</v>
      </c>
      <c r="G57" s="133">
        <f>SUM(G58+G59+G60+G61+G64+G75)</f>
        <v>0</v>
      </c>
      <c r="H57" s="133">
        <f>SUM(H58+H59+H60+H61+H64+H75)</f>
        <v>0</v>
      </c>
      <c r="I57" s="133">
        <f>SUM(I58+I59+I60+I61+I64+I75)</f>
        <v>0</v>
      </c>
      <c r="J57" s="133">
        <f t="shared" si="0"/>
        <v>254780000</v>
      </c>
      <c r="K57" s="393"/>
    </row>
    <row r="58" spans="1:11" ht="12.75">
      <c r="A58" s="135"/>
      <c r="B58" s="135" t="s">
        <v>204</v>
      </c>
      <c r="C58" s="630" t="s">
        <v>205</v>
      </c>
      <c r="D58" s="630"/>
      <c r="E58" s="630"/>
      <c r="F58" s="136">
        <v>50000</v>
      </c>
      <c r="G58" s="136">
        <v>0</v>
      </c>
      <c r="H58" s="136">
        <v>0</v>
      </c>
      <c r="I58" s="136">
        <v>0</v>
      </c>
      <c r="J58" s="137">
        <f t="shared" si="0"/>
        <v>50000</v>
      </c>
      <c r="K58" s="394"/>
    </row>
    <row r="59" spans="1:11" ht="12.75">
      <c r="A59" s="135"/>
      <c r="B59" s="135" t="s">
        <v>206</v>
      </c>
      <c r="C59" s="630" t="s">
        <v>207</v>
      </c>
      <c r="D59" s="630"/>
      <c r="E59" s="630"/>
      <c r="F59" s="136">
        <v>0</v>
      </c>
      <c r="G59" s="136">
        <v>0</v>
      </c>
      <c r="H59" s="136">
        <v>0</v>
      </c>
      <c r="I59" s="136">
        <v>0</v>
      </c>
      <c r="J59" s="137">
        <f t="shared" si="0"/>
        <v>0</v>
      </c>
      <c r="K59" s="394"/>
    </row>
    <row r="60" spans="1:11" ht="12.75">
      <c r="A60" s="135"/>
      <c r="B60" s="135" t="s">
        <v>208</v>
      </c>
      <c r="C60" s="630" t="s">
        <v>209</v>
      </c>
      <c r="D60" s="630"/>
      <c r="E60" s="630"/>
      <c r="F60" s="136">
        <v>0</v>
      </c>
      <c r="G60" s="136">
        <v>0</v>
      </c>
      <c r="H60" s="136">
        <v>0</v>
      </c>
      <c r="I60" s="136">
        <v>0</v>
      </c>
      <c r="J60" s="137">
        <f t="shared" si="0"/>
        <v>0</v>
      </c>
      <c r="K60" s="394"/>
    </row>
    <row r="61" spans="1:11" ht="12.75">
      <c r="A61" s="135"/>
      <c r="B61" s="135" t="s">
        <v>210</v>
      </c>
      <c r="C61" s="630" t="s">
        <v>211</v>
      </c>
      <c r="D61" s="630"/>
      <c r="E61" s="630"/>
      <c r="F61" s="136">
        <f>SUM(F62:F63)</f>
        <v>38930000</v>
      </c>
      <c r="G61" s="136">
        <f>SUM(G62:G63)</f>
        <v>0</v>
      </c>
      <c r="H61" s="136">
        <v>0</v>
      </c>
      <c r="I61" s="136">
        <v>0</v>
      </c>
      <c r="J61" s="137">
        <f t="shared" si="0"/>
        <v>38930000</v>
      </c>
      <c r="K61" s="394"/>
    </row>
    <row r="62" spans="1:11" ht="12.75">
      <c r="A62" s="143"/>
      <c r="B62" s="143"/>
      <c r="C62" s="144"/>
      <c r="D62" s="144"/>
      <c r="E62" s="144" t="s">
        <v>212</v>
      </c>
      <c r="F62" s="145">
        <v>38000000</v>
      </c>
      <c r="G62" s="145">
        <v>0</v>
      </c>
      <c r="H62" s="145">
        <v>0</v>
      </c>
      <c r="I62" s="145">
        <v>0</v>
      </c>
      <c r="J62" s="146">
        <f t="shared" si="0"/>
        <v>38000000</v>
      </c>
      <c r="K62" s="396"/>
    </row>
    <row r="63" spans="1:11" ht="12.75">
      <c r="A63" s="143"/>
      <c r="B63" s="143"/>
      <c r="C63" s="144"/>
      <c r="D63" s="144"/>
      <c r="E63" s="144" t="s">
        <v>213</v>
      </c>
      <c r="F63" s="145">
        <v>930000</v>
      </c>
      <c r="G63" s="145">
        <v>0</v>
      </c>
      <c r="H63" s="145">
        <v>0</v>
      </c>
      <c r="I63" s="145">
        <v>0</v>
      </c>
      <c r="J63" s="146">
        <f t="shared" si="0"/>
        <v>930000</v>
      </c>
      <c r="K63" s="396"/>
    </row>
    <row r="64" spans="1:11" ht="12.75">
      <c r="A64" s="135"/>
      <c r="B64" s="135" t="s">
        <v>214</v>
      </c>
      <c r="C64" s="630" t="s">
        <v>215</v>
      </c>
      <c r="D64" s="630"/>
      <c r="E64" s="630"/>
      <c r="F64" s="136">
        <f>SUM(F65+F68+F70+F71+F73)</f>
        <v>215200000</v>
      </c>
      <c r="G64" s="136">
        <f>SUM(G65+G68+G70+G71+G73)</f>
        <v>0</v>
      </c>
      <c r="H64" s="136">
        <v>0</v>
      </c>
      <c r="I64" s="136">
        <v>0</v>
      </c>
      <c r="J64" s="137">
        <f t="shared" si="0"/>
        <v>215200000</v>
      </c>
      <c r="K64" s="394"/>
    </row>
    <row r="65" spans="1:11" ht="12.75">
      <c r="A65" s="138"/>
      <c r="B65" s="138"/>
      <c r="C65" s="138" t="s">
        <v>216</v>
      </c>
      <c r="D65" s="138" t="s">
        <v>217</v>
      </c>
      <c r="E65" s="138"/>
      <c r="F65" s="139">
        <f>SUM(F66:F67)</f>
        <v>193200000</v>
      </c>
      <c r="G65" s="139">
        <f>SUM(G66:G67)</f>
        <v>0</v>
      </c>
      <c r="H65" s="139">
        <v>0</v>
      </c>
      <c r="I65" s="139">
        <v>0</v>
      </c>
      <c r="J65" s="140">
        <f t="shared" si="0"/>
        <v>193200000</v>
      </c>
      <c r="K65" s="395"/>
    </row>
    <row r="66" spans="1:11" ht="12.75">
      <c r="A66" s="143"/>
      <c r="B66" s="143"/>
      <c r="C66" s="144"/>
      <c r="D66" s="144"/>
      <c r="E66" s="144" t="s">
        <v>641</v>
      </c>
      <c r="F66" s="145">
        <v>193000000</v>
      </c>
      <c r="G66" s="145">
        <v>0</v>
      </c>
      <c r="H66" s="145">
        <v>0</v>
      </c>
      <c r="I66" s="145">
        <v>0</v>
      </c>
      <c r="J66" s="146">
        <f t="shared" si="0"/>
        <v>193000000</v>
      </c>
      <c r="K66" s="396"/>
    </row>
    <row r="67" spans="1:11" ht="12.75">
      <c r="A67" s="143"/>
      <c r="B67" s="143"/>
      <c r="C67" s="144"/>
      <c r="D67" s="144"/>
      <c r="E67" s="144" t="s">
        <v>642</v>
      </c>
      <c r="F67" s="145">
        <v>200000</v>
      </c>
      <c r="G67" s="145">
        <v>0</v>
      </c>
      <c r="H67" s="145">
        <v>0</v>
      </c>
      <c r="I67" s="145">
        <v>0</v>
      </c>
      <c r="J67" s="146">
        <f t="shared" si="0"/>
        <v>200000</v>
      </c>
      <c r="K67" s="396"/>
    </row>
    <row r="68" spans="1:11" ht="12.75">
      <c r="A68" s="138"/>
      <c r="B68" s="138"/>
      <c r="C68" s="138" t="s">
        <v>218</v>
      </c>
      <c r="D68" s="138" t="s">
        <v>554</v>
      </c>
      <c r="E68" s="138"/>
      <c r="F68" s="139">
        <f>SUM(F69)</f>
        <v>0</v>
      </c>
      <c r="G68" s="139">
        <f>SUM(G69)</f>
        <v>0</v>
      </c>
      <c r="H68" s="139">
        <f>SUM(H69)</f>
        <v>0</v>
      </c>
      <c r="I68" s="139">
        <f>SUM(I69)</f>
        <v>0</v>
      </c>
      <c r="J68" s="140">
        <f t="shared" si="0"/>
        <v>0</v>
      </c>
      <c r="K68" s="395"/>
    </row>
    <row r="69" spans="1:11" ht="12.75" customHeight="1" hidden="1">
      <c r="A69" s="138"/>
      <c r="B69" s="138"/>
      <c r="C69" s="138"/>
      <c r="D69" s="138"/>
      <c r="E69" s="144" t="s">
        <v>555</v>
      </c>
      <c r="F69" s="139">
        <v>0</v>
      </c>
      <c r="G69" s="139">
        <v>0</v>
      </c>
      <c r="H69" s="139">
        <v>0</v>
      </c>
      <c r="I69" s="139">
        <v>0</v>
      </c>
      <c r="J69" s="140">
        <f t="shared" si="0"/>
        <v>0</v>
      </c>
      <c r="K69" s="395"/>
    </row>
    <row r="70" spans="1:11" ht="12.75">
      <c r="A70" s="138"/>
      <c r="B70" s="138"/>
      <c r="C70" s="138" t="s">
        <v>219</v>
      </c>
      <c r="D70" s="138" t="s">
        <v>220</v>
      </c>
      <c r="E70" s="138"/>
      <c r="F70" s="139">
        <v>0</v>
      </c>
      <c r="G70" s="139">
        <v>0</v>
      </c>
      <c r="H70" s="139">
        <v>0</v>
      </c>
      <c r="I70" s="139">
        <v>0</v>
      </c>
      <c r="J70" s="140">
        <f t="shared" si="0"/>
        <v>0</v>
      </c>
      <c r="K70" s="395"/>
    </row>
    <row r="71" spans="1:11" ht="12.75">
      <c r="A71" s="138"/>
      <c r="B71" s="138"/>
      <c r="C71" s="138" t="s">
        <v>221</v>
      </c>
      <c r="D71" s="138" t="s">
        <v>222</v>
      </c>
      <c r="E71" s="138"/>
      <c r="F71" s="139">
        <f>SUM(F72)</f>
        <v>22000000</v>
      </c>
      <c r="G71" s="139">
        <f>SUM(G72:G72)</f>
        <v>0</v>
      </c>
      <c r="H71" s="139">
        <v>0</v>
      </c>
      <c r="I71" s="139">
        <v>0</v>
      </c>
      <c r="J71" s="140">
        <f t="shared" si="0"/>
        <v>22000000</v>
      </c>
      <c r="K71" s="395"/>
    </row>
    <row r="72" spans="1:11" ht="12.75">
      <c r="A72" s="143"/>
      <c r="B72" s="143"/>
      <c r="C72" s="143"/>
      <c r="D72" s="144"/>
      <c r="E72" s="144" t="s">
        <v>643</v>
      </c>
      <c r="F72" s="145">
        <v>22000000</v>
      </c>
      <c r="G72" s="145">
        <v>0</v>
      </c>
      <c r="H72" s="145">
        <v>0</v>
      </c>
      <c r="I72" s="145">
        <v>0</v>
      </c>
      <c r="J72" s="146">
        <f t="shared" si="0"/>
        <v>22000000</v>
      </c>
      <c r="K72" s="396"/>
    </row>
    <row r="73" spans="1:11" ht="12.75">
      <c r="A73" s="138"/>
      <c r="B73" s="138"/>
      <c r="C73" s="138" t="s">
        <v>223</v>
      </c>
      <c r="D73" s="138" t="s">
        <v>224</v>
      </c>
      <c r="E73" s="138"/>
      <c r="F73" s="139">
        <f>SUM(F74:F74)</f>
        <v>0</v>
      </c>
      <c r="G73" s="139">
        <v>0</v>
      </c>
      <c r="H73" s="139">
        <v>0</v>
      </c>
      <c r="I73" s="139">
        <v>0</v>
      </c>
      <c r="J73" s="140">
        <f aca="true" t="shared" si="1" ref="J73:J136">SUM(F73:I73)</f>
        <v>0</v>
      </c>
      <c r="K73" s="395"/>
    </row>
    <row r="74" spans="1:11" ht="12.75" customHeight="1" hidden="1">
      <c r="A74" s="143"/>
      <c r="B74" s="143"/>
      <c r="C74" s="143"/>
      <c r="D74" s="144"/>
      <c r="E74" s="144" t="s">
        <v>226</v>
      </c>
      <c r="F74" s="145">
        <v>0</v>
      </c>
      <c r="G74" s="145">
        <v>0</v>
      </c>
      <c r="H74" s="145">
        <v>0</v>
      </c>
      <c r="I74" s="145">
        <v>0</v>
      </c>
      <c r="J74" s="146">
        <f t="shared" si="1"/>
        <v>0</v>
      </c>
      <c r="K74" s="396"/>
    </row>
    <row r="75" spans="1:11" ht="12.75">
      <c r="A75" s="135"/>
      <c r="B75" s="135" t="s">
        <v>227</v>
      </c>
      <c r="C75" s="630" t="s">
        <v>228</v>
      </c>
      <c r="D75" s="630"/>
      <c r="E75" s="630"/>
      <c r="F75" s="136">
        <f>SUM(F76:F85)</f>
        <v>600000</v>
      </c>
      <c r="G75" s="136">
        <f>SUM(G76:G85)</f>
        <v>0</v>
      </c>
      <c r="H75" s="136">
        <f>SUM(H76:H85)</f>
        <v>0</v>
      </c>
      <c r="I75" s="136">
        <f>SUM(I76:I85)</f>
        <v>0</v>
      </c>
      <c r="J75" s="137">
        <f t="shared" si="1"/>
        <v>600000</v>
      </c>
      <c r="K75" s="394"/>
    </row>
    <row r="76" spans="1:11" ht="12.75" customHeight="1" hidden="1">
      <c r="A76" s="147"/>
      <c r="B76" s="147"/>
      <c r="C76" s="147"/>
      <c r="D76" s="144"/>
      <c r="E76" s="144" t="s">
        <v>229</v>
      </c>
      <c r="F76" s="145">
        <v>0</v>
      </c>
      <c r="G76" s="145">
        <v>0</v>
      </c>
      <c r="H76" s="145">
        <v>0</v>
      </c>
      <c r="I76" s="145">
        <v>0</v>
      </c>
      <c r="J76" s="146">
        <f t="shared" si="1"/>
        <v>0</v>
      </c>
      <c r="K76" s="396"/>
    </row>
    <row r="77" spans="1:11" ht="12.75" customHeight="1" hidden="1">
      <c r="A77" s="143"/>
      <c r="B77" s="143"/>
      <c r="C77" s="143"/>
      <c r="D77" s="144"/>
      <c r="E77" s="144" t="s">
        <v>230</v>
      </c>
      <c r="F77" s="145">
        <v>0</v>
      </c>
      <c r="G77" s="145"/>
      <c r="H77" s="145">
        <v>0</v>
      </c>
      <c r="I77" s="145">
        <v>0</v>
      </c>
      <c r="J77" s="146">
        <f t="shared" si="1"/>
        <v>0</v>
      </c>
      <c r="K77" s="396"/>
    </row>
    <row r="78" spans="1:11" ht="12.75" customHeight="1" hidden="1">
      <c r="A78" s="147"/>
      <c r="B78" s="147"/>
      <c r="C78" s="147"/>
      <c r="D78" s="144"/>
      <c r="E78" s="144" t="s">
        <v>231</v>
      </c>
      <c r="F78" s="145">
        <v>0</v>
      </c>
      <c r="G78" s="145">
        <v>0</v>
      </c>
      <c r="H78" s="145">
        <v>0</v>
      </c>
      <c r="I78" s="145">
        <v>0</v>
      </c>
      <c r="J78" s="146">
        <f t="shared" si="1"/>
        <v>0</v>
      </c>
      <c r="K78" s="396"/>
    </row>
    <row r="79" spans="1:11" ht="12.75" customHeight="1">
      <c r="A79" s="147"/>
      <c r="B79" s="147"/>
      <c r="C79" s="147"/>
      <c r="D79" s="144"/>
      <c r="E79" s="144" t="s">
        <v>225</v>
      </c>
      <c r="F79" s="145">
        <v>350000</v>
      </c>
      <c r="G79" s="145">
        <v>0</v>
      </c>
      <c r="H79" s="145">
        <v>0</v>
      </c>
      <c r="I79" s="145">
        <v>0</v>
      </c>
      <c r="J79" s="146">
        <f t="shared" si="1"/>
        <v>350000</v>
      </c>
      <c r="K79" s="396"/>
    </row>
    <row r="80" spans="1:11" ht="0.75" customHeight="1" hidden="1">
      <c r="A80" s="147"/>
      <c r="B80" s="147"/>
      <c r="C80" s="147"/>
      <c r="D80" s="144"/>
      <c r="E80" s="144" t="s">
        <v>232</v>
      </c>
      <c r="F80" s="145"/>
      <c r="G80" s="145">
        <v>0</v>
      </c>
      <c r="H80" s="145">
        <v>0</v>
      </c>
      <c r="I80" s="145">
        <v>0</v>
      </c>
      <c r="J80" s="146">
        <f t="shared" si="1"/>
        <v>0</v>
      </c>
      <c r="K80" s="396"/>
    </row>
    <row r="81" spans="1:11" ht="12.75" customHeight="1" hidden="1">
      <c r="A81" s="147"/>
      <c r="B81" s="147"/>
      <c r="C81" s="147"/>
      <c r="D81" s="144"/>
      <c r="E81" s="144" t="s">
        <v>233</v>
      </c>
      <c r="F81" s="145"/>
      <c r="G81" s="145">
        <v>0</v>
      </c>
      <c r="H81" s="145">
        <v>0</v>
      </c>
      <c r="I81" s="145">
        <v>0</v>
      </c>
      <c r="J81" s="146">
        <f t="shared" si="1"/>
        <v>0</v>
      </c>
      <c r="K81" s="396"/>
    </row>
    <row r="82" spans="1:11" ht="12.75" customHeight="1" hidden="1">
      <c r="A82" s="147"/>
      <c r="B82" s="147"/>
      <c r="C82" s="147"/>
      <c r="D82" s="144"/>
      <c r="E82" s="144" t="s">
        <v>604</v>
      </c>
      <c r="F82" s="145"/>
      <c r="G82" s="145">
        <v>0</v>
      </c>
      <c r="H82" s="145">
        <v>0</v>
      </c>
      <c r="I82" s="145">
        <v>0</v>
      </c>
      <c r="J82" s="146">
        <f t="shared" si="1"/>
        <v>0</v>
      </c>
      <c r="K82" s="396"/>
    </row>
    <row r="83" spans="1:11" ht="30" customHeight="1" hidden="1">
      <c r="A83" s="143"/>
      <c r="B83" s="143"/>
      <c r="C83" s="143"/>
      <c r="D83" s="143"/>
      <c r="E83" s="148" t="s">
        <v>644</v>
      </c>
      <c r="F83" s="145"/>
      <c r="G83" s="145">
        <v>0</v>
      </c>
      <c r="H83" s="145">
        <v>0</v>
      </c>
      <c r="I83" s="145">
        <v>0</v>
      </c>
      <c r="J83" s="146">
        <f t="shared" si="1"/>
        <v>0</v>
      </c>
      <c r="K83" s="396"/>
    </row>
    <row r="84" spans="1:11" ht="12.75" customHeight="1" hidden="1">
      <c r="A84" s="147"/>
      <c r="B84" s="147"/>
      <c r="C84" s="147"/>
      <c r="D84" s="147"/>
      <c r="E84" s="144" t="s">
        <v>234</v>
      </c>
      <c r="F84" s="145"/>
      <c r="G84" s="145">
        <v>0</v>
      </c>
      <c r="H84" s="145">
        <v>0</v>
      </c>
      <c r="I84" s="145">
        <v>0</v>
      </c>
      <c r="J84" s="146">
        <f t="shared" si="1"/>
        <v>0</v>
      </c>
      <c r="K84" s="396"/>
    </row>
    <row r="85" spans="1:11" ht="12.75">
      <c r="A85" s="143"/>
      <c r="B85" s="143"/>
      <c r="C85" s="143"/>
      <c r="D85" s="143"/>
      <c r="E85" s="144" t="s">
        <v>235</v>
      </c>
      <c r="F85" s="145">
        <v>250000</v>
      </c>
      <c r="G85" s="145">
        <v>0</v>
      </c>
      <c r="H85" s="145">
        <v>0</v>
      </c>
      <c r="I85" s="145">
        <v>0</v>
      </c>
      <c r="J85" s="146">
        <f t="shared" si="1"/>
        <v>250000</v>
      </c>
      <c r="K85" s="396"/>
    </row>
    <row r="86" spans="1:11" s="134" customFormat="1" ht="12.75">
      <c r="A86" s="132" t="s">
        <v>236</v>
      </c>
      <c r="B86" s="634" t="s">
        <v>237</v>
      </c>
      <c r="C86" s="634"/>
      <c r="D86" s="634"/>
      <c r="E86" s="634"/>
      <c r="F86" s="133">
        <f>SUM(F87+F88+F91+F93+F100+F101+F102+F103+F110+F118+F119)</f>
        <v>42513514</v>
      </c>
      <c r="G86" s="133">
        <f>SUM(G87+G88+G91+G93+G100+G101+G102+G103+G110+G118+G119)</f>
        <v>7049209</v>
      </c>
      <c r="H86" s="133">
        <f>SUM(H87+H88+H91+H93+H100+H101+H102+H103+H110+H118+H119)</f>
        <v>1081470</v>
      </c>
      <c r="I86" s="133">
        <f>SUM(I87+I88+I91+I93+I100+I101+I102+I103+I110+I118+I119)</f>
        <v>16018500</v>
      </c>
      <c r="J86" s="133">
        <f t="shared" si="1"/>
        <v>66662693</v>
      </c>
      <c r="K86" s="393"/>
    </row>
    <row r="87" spans="1:11" ht="12.75">
      <c r="A87" s="138"/>
      <c r="B87" s="138"/>
      <c r="C87" s="138" t="s">
        <v>238</v>
      </c>
      <c r="D87" s="138" t="s">
        <v>512</v>
      </c>
      <c r="E87" s="138"/>
      <c r="F87" s="139">
        <f>8000000+2794000+920000</f>
        <v>11714000</v>
      </c>
      <c r="G87" s="139">
        <v>0</v>
      </c>
      <c r="H87" s="139">
        <v>0</v>
      </c>
      <c r="I87" s="139">
        <v>0</v>
      </c>
      <c r="J87" s="140">
        <f t="shared" si="1"/>
        <v>11714000</v>
      </c>
      <c r="K87" s="395"/>
    </row>
    <row r="88" spans="1:11" ht="12.75">
      <c r="A88" s="138"/>
      <c r="B88" s="138"/>
      <c r="C88" s="138" t="s">
        <v>239</v>
      </c>
      <c r="D88" s="138" t="s">
        <v>304</v>
      </c>
      <c r="E88" s="138"/>
      <c r="F88" s="139">
        <f>13971380+540000</f>
        <v>14511380</v>
      </c>
      <c r="G88" s="139">
        <v>250000</v>
      </c>
      <c r="H88" s="139">
        <v>0</v>
      </c>
      <c r="I88" s="139">
        <f>3596300+1080000+8076772+300000</f>
        <v>13053072</v>
      </c>
      <c r="J88" s="140">
        <f t="shared" si="1"/>
        <v>27814452</v>
      </c>
      <c r="K88" s="395"/>
    </row>
    <row r="89" spans="1:11" ht="12.75">
      <c r="A89" s="143"/>
      <c r="B89" s="143"/>
      <c r="C89" s="144" t="s">
        <v>2</v>
      </c>
      <c r="D89" s="144"/>
      <c r="E89" s="144" t="s">
        <v>240</v>
      </c>
      <c r="F89" s="149">
        <f>9471380+540000</f>
        <v>10011380</v>
      </c>
      <c r="G89" s="149">
        <v>0</v>
      </c>
      <c r="H89" s="145">
        <v>0</v>
      </c>
      <c r="I89" s="145">
        <f>990000+1080000</f>
        <v>2070000</v>
      </c>
      <c r="J89" s="146">
        <f t="shared" si="1"/>
        <v>12081380</v>
      </c>
      <c r="K89" s="396"/>
    </row>
    <row r="90" spans="1:11" ht="12.75" customHeight="1" hidden="1">
      <c r="A90" s="143"/>
      <c r="B90" s="143"/>
      <c r="C90" s="144"/>
      <c r="D90" s="144"/>
      <c r="E90" s="144" t="s">
        <v>975</v>
      </c>
      <c r="F90" s="145">
        <v>0</v>
      </c>
      <c r="G90" s="145">
        <v>0</v>
      </c>
      <c r="H90" s="145">
        <v>0</v>
      </c>
      <c r="I90" s="145">
        <v>0</v>
      </c>
      <c r="J90" s="146">
        <f t="shared" si="1"/>
        <v>0</v>
      </c>
      <c r="K90" s="396"/>
    </row>
    <row r="91" spans="1:11" ht="12.75">
      <c r="A91" s="138"/>
      <c r="B91" s="138"/>
      <c r="C91" s="138" t="s">
        <v>241</v>
      </c>
      <c r="D91" s="138" t="s">
        <v>242</v>
      </c>
      <c r="E91" s="138"/>
      <c r="F91" s="139">
        <v>3613803</v>
      </c>
      <c r="G91" s="139">
        <v>5516975</v>
      </c>
      <c r="H91" s="139">
        <v>0</v>
      </c>
      <c r="I91" s="139"/>
      <c r="J91" s="140">
        <f t="shared" si="1"/>
        <v>9130778</v>
      </c>
      <c r="K91" s="395"/>
    </row>
    <row r="92" spans="1:11" ht="12.75">
      <c r="A92" s="143"/>
      <c r="B92" s="143"/>
      <c r="C92" s="144" t="s">
        <v>2</v>
      </c>
      <c r="D92" s="144"/>
      <c r="E92" s="144" t="s">
        <v>7</v>
      </c>
      <c r="F92" s="145">
        <v>2532447</v>
      </c>
      <c r="G92" s="145">
        <v>1749167</v>
      </c>
      <c r="H92" s="145">
        <v>0</v>
      </c>
      <c r="I92" s="145">
        <v>0</v>
      </c>
      <c r="J92" s="146">
        <f t="shared" si="1"/>
        <v>4281614</v>
      </c>
      <c r="K92" s="396"/>
    </row>
    <row r="93" spans="1:11" ht="12.75">
      <c r="A93" s="138"/>
      <c r="B93" s="138"/>
      <c r="C93" s="138" t="s">
        <v>243</v>
      </c>
      <c r="D93" s="138" t="s">
        <v>244</v>
      </c>
      <c r="E93" s="138"/>
      <c r="F93" s="139">
        <v>721000</v>
      </c>
      <c r="G93" s="139">
        <v>0</v>
      </c>
      <c r="H93" s="139">
        <v>0</v>
      </c>
      <c r="I93" s="139">
        <v>0</v>
      </c>
      <c r="J93" s="140">
        <f t="shared" si="1"/>
        <v>721000</v>
      </c>
      <c r="K93" s="395"/>
    </row>
    <row r="94" spans="1:11" ht="12.75" customHeight="1" hidden="1">
      <c r="A94" s="143"/>
      <c r="B94" s="143"/>
      <c r="C94" s="144" t="s">
        <v>2</v>
      </c>
      <c r="D94" s="144"/>
      <c r="E94" s="144" t="s">
        <v>245</v>
      </c>
      <c r="F94" s="145">
        <v>0</v>
      </c>
      <c r="G94" s="145">
        <v>0</v>
      </c>
      <c r="H94" s="145">
        <v>0</v>
      </c>
      <c r="I94" s="145">
        <v>0</v>
      </c>
      <c r="J94" s="146">
        <f t="shared" si="1"/>
        <v>0</v>
      </c>
      <c r="K94" s="396"/>
    </row>
    <row r="95" spans="1:11" ht="12.75" customHeight="1" hidden="1">
      <c r="A95" s="143"/>
      <c r="B95" s="143"/>
      <c r="C95" s="144"/>
      <c r="D95" s="144"/>
      <c r="E95" s="144" t="s">
        <v>645</v>
      </c>
      <c r="F95" s="145">
        <v>0</v>
      </c>
      <c r="G95" s="145">
        <v>0</v>
      </c>
      <c r="H95" s="145">
        <v>0</v>
      </c>
      <c r="I95" s="145">
        <v>0</v>
      </c>
      <c r="J95" s="146">
        <f t="shared" si="1"/>
        <v>0</v>
      </c>
      <c r="K95" s="396"/>
    </row>
    <row r="96" spans="1:11" ht="12" customHeight="1">
      <c r="A96" s="143"/>
      <c r="B96" s="143"/>
      <c r="C96" s="144" t="s">
        <v>2</v>
      </c>
      <c r="D96" s="144"/>
      <c r="E96" s="144" t="s">
        <v>646</v>
      </c>
      <c r="F96" s="145">
        <v>721000</v>
      </c>
      <c r="G96" s="145">
        <v>0</v>
      </c>
      <c r="H96" s="145">
        <v>0</v>
      </c>
      <c r="I96" s="145">
        <v>0</v>
      </c>
      <c r="J96" s="146">
        <f t="shared" si="1"/>
        <v>721000</v>
      </c>
      <c r="K96" s="396"/>
    </row>
    <row r="97" spans="1:11" ht="12.75" customHeight="1" hidden="1">
      <c r="A97" s="143"/>
      <c r="B97" s="143"/>
      <c r="C97" s="144"/>
      <c r="D97" s="144"/>
      <c r="E97" s="144" t="s">
        <v>647</v>
      </c>
      <c r="F97" s="145">
        <v>0</v>
      </c>
      <c r="G97" s="145">
        <v>0</v>
      </c>
      <c r="H97" s="145">
        <v>0</v>
      </c>
      <c r="I97" s="145">
        <v>0</v>
      </c>
      <c r="J97" s="146">
        <f t="shared" si="1"/>
        <v>0</v>
      </c>
      <c r="K97" s="396"/>
    </row>
    <row r="98" spans="1:11" ht="12.75" customHeight="1" hidden="1">
      <c r="A98" s="143"/>
      <c r="B98" s="143"/>
      <c r="C98" s="144"/>
      <c r="D98" s="144"/>
      <c r="E98" s="144" t="s">
        <v>648</v>
      </c>
      <c r="F98" s="145">
        <v>0</v>
      </c>
      <c r="G98" s="145">
        <v>0</v>
      </c>
      <c r="H98" s="145">
        <v>0</v>
      </c>
      <c r="I98" s="145">
        <v>0</v>
      </c>
      <c r="J98" s="146">
        <f t="shared" si="1"/>
        <v>0</v>
      </c>
      <c r="K98" s="396"/>
    </row>
    <row r="99" spans="1:11" ht="12.75" customHeight="1" hidden="1">
      <c r="A99" s="143"/>
      <c r="B99" s="143"/>
      <c r="C99" s="144"/>
      <c r="D99" s="144"/>
      <c r="E99" s="144" t="s">
        <v>513</v>
      </c>
      <c r="F99" s="145">
        <v>0</v>
      </c>
      <c r="G99" s="145">
        <v>0</v>
      </c>
      <c r="H99" s="145">
        <v>0</v>
      </c>
      <c r="I99" s="145">
        <v>0</v>
      </c>
      <c r="J99" s="146">
        <f t="shared" si="1"/>
        <v>0</v>
      </c>
      <c r="K99" s="396"/>
    </row>
    <row r="100" spans="1:11" ht="12.75">
      <c r="A100" s="138"/>
      <c r="B100" s="138"/>
      <c r="C100" s="138" t="s">
        <v>246</v>
      </c>
      <c r="D100" s="138" t="s">
        <v>247</v>
      </c>
      <c r="E100" s="138"/>
      <c r="F100" s="139">
        <v>5191313</v>
      </c>
      <c r="G100" s="139">
        <v>0</v>
      </c>
      <c r="H100" s="139">
        <v>851551</v>
      </c>
      <c r="I100" s="139">
        <v>0</v>
      </c>
      <c r="J100" s="140">
        <f t="shared" si="1"/>
        <v>6042864</v>
      </c>
      <c r="K100" s="395"/>
    </row>
    <row r="101" spans="1:11" ht="12.75">
      <c r="A101" s="138"/>
      <c r="B101" s="138"/>
      <c r="C101" s="138" t="s">
        <v>248</v>
      </c>
      <c r="D101" s="138" t="s">
        <v>249</v>
      </c>
      <c r="E101" s="138"/>
      <c r="F101" s="139">
        <f>3474439+754380+248400</f>
        <v>4477219</v>
      </c>
      <c r="G101" s="139">
        <v>1282234</v>
      </c>
      <c r="H101" s="139">
        <v>229919</v>
      </c>
      <c r="I101" s="139">
        <f>703700+2180728+81000</f>
        <v>2965428</v>
      </c>
      <c r="J101" s="140">
        <f t="shared" si="1"/>
        <v>8954800</v>
      </c>
      <c r="K101" s="395"/>
    </row>
    <row r="102" spans="1:11" ht="12.75">
      <c r="A102" s="138"/>
      <c r="B102" s="138"/>
      <c r="C102" s="138" t="s">
        <v>250</v>
      </c>
      <c r="D102" s="138" t="s">
        <v>251</v>
      </c>
      <c r="E102" s="138"/>
      <c r="F102" s="139">
        <f>30000+664721+78901+516434+128723+109120</f>
        <v>1527899</v>
      </c>
      <c r="G102" s="139">
        <v>0</v>
      </c>
      <c r="H102" s="139">
        <v>0</v>
      </c>
      <c r="I102" s="139">
        <v>0</v>
      </c>
      <c r="J102" s="140">
        <f t="shared" si="1"/>
        <v>1527899</v>
      </c>
      <c r="K102" s="395"/>
    </row>
    <row r="103" spans="1:11" ht="12" customHeight="1">
      <c r="A103" s="138"/>
      <c r="B103" s="138"/>
      <c r="C103" s="138" t="s">
        <v>252</v>
      </c>
      <c r="D103" s="138" t="s">
        <v>556</v>
      </c>
      <c r="E103" s="138"/>
      <c r="F103" s="139">
        <f>SUM(F104,F107)</f>
        <v>500</v>
      </c>
      <c r="G103" s="139">
        <f>SUM(G104+G107)</f>
        <v>0</v>
      </c>
      <c r="H103" s="139">
        <f>SUM(H104+H107)</f>
        <v>0</v>
      </c>
      <c r="I103" s="139">
        <f>SUM(I104+I107)</f>
        <v>0</v>
      </c>
      <c r="J103" s="140">
        <f t="shared" si="1"/>
        <v>500</v>
      </c>
      <c r="K103" s="395"/>
    </row>
    <row r="104" spans="1:11" ht="12.75" customHeight="1" hidden="1">
      <c r="A104" s="138"/>
      <c r="B104" s="138"/>
      <c r="C104" s="144"/>
      <c r="D104" s="635" t="s">
        <v>649</v>
      </c>
      <c r="E104" s="636"/>
      <c r="F104" s="145">
        <v>0</v>
      </c>
      <c r="G104" s="145">
        <v>0</v>
      </c>
      <c r="H104" s="145">
        <v>0</v>
      </c>
      <c r="I104" s="145">
        <v>0</v>
      </c>
      <c r="J104" s="146">
        <f t="shared" si="1"/>
        <v>0</v>
      </c>
      <c r="K104" s="396"/>
    </row>
    <row r="105" spans="1:11" ht="12.75" customHeight="1" hidden="1">
      <c r="A105" s="138"/>
      <c r="B105" s="138"/>
      <c r="C105" s="138" t="s">
        <v>2</v>
      </c>
      <c r="D105" s="138"/>
      <c r="E105" s="144" t="s">
        <v>7</v>
      </c>
      <c r="F105" s="145">
        <v>0</v>
      </c>
      <c r="G105" s="145">
        <v>0</v>
      </c>
      <c r="H105" s="145">
        <v>0</v>
      </c>
      <c r="I105" s="145">
        <v>0</v>
      </c>
      <c r="J105" s="146">
        <f t="shared" si="1"/>
        <v>0</v>
      </c>
      <c r="K105" s="396"/>
    </row>
    <row r="106" spans="1:11" ht="12.75" customHeight="1" hidden="1">
      <c r="A106" s="138"/>
      <c r="B106" s="138"/>
      <c r="C106" s="138"/>
      <c r="D106" s="138"/>
      <c r="E106" s="144" t="s">
        <v>650</v>
      </c>
      <c r="F106" s="145">
        <v>0</v>
      </c>
      <c r="G106" s="145">
        <v>0</v>
      </c>
      <c r="H106" s="145">
        <v>0</v>
      </c>
      <c r="I106" s="145">
        <v>0</v>
      </c>
      <c r="J106" s="146">
        <f t="shared" si="1"/>
        <v>0</v>
      </c>
      <c r="K106" s="396"/>
    </row>
    <row r="107" spans="1:11" ht="12.75">
      <c r="A107" s="138"/>
      <c r="B107" s="138"/>
      <c r="C107" s="138" t="s">
        <v>2</v>
      </c>
      <c r="D107" s="635" t="s">
        <v>558</v>
      </c>
      <c r="E107" s="636"/>
      <c r="F107" s="145">
        <v>500</v>
      </c>
      <c r="G107" s="145">
        <v>0</v>
      </c>
      <c r="H107" s="145">
        <v>0</v>
      </c>
      <c r="I107" s="145">
        <v>0</v>
      </c>
      <c r="J107" s="146">
        <f t="shared" si="1"/>
        <v>500</v>
      </c>
      <c r="K107" s="396"/>
    </row>
    <row r="108" spans="1:11" ht="12.75" customHeight="1" hidden="1">
      <c r="A108" s="138"/>
      <c r="B108" s="138"/>
      <c r="C108" s="138"/>
      <c r="D108" s="138"/>
      <c r="E108" s="144" t="s">
        <v>7</v>
      </c>
      <c r="F108" s="145">
        <v>0</v>
      </c>
      <c r="G108" s="145">
        <v>0</v>
      </c>
      <c r="H108" s="145">
        <v>0</v>
      </c>
      <c r="I108" s="145">
        <v>0</v>
      </c>
      <c r="J108" s="146">
        <f t="shared" si="1"/>
        <v>0</v>
      </c>
      <c r="K108" s="396"/>
    </row>
    <row r="109" spans="1:11" ht="12.75" customHeight="1" hidden="1">
      <c r="A109" s="138"/>
      <c r="B109" s="138"/>
      <c r="C109" s="138"/>
      <c r="D109" s="138"/>
      <c r="E109" s="144" t="s">
        <v>514</v>
      </c>
      <c r="F109" s="145">
        <v>0</v>
      </c>
      <c r="G109" s="145">
        <v>0</v>
      </c>
      <c r="H109" s="145">
        <v>0</v>
      </c>
      <c r="I109" s="145">
        <v>0</v>
      </c>
      <c r="J109" s="146">
        <f t="shared" si="1"/>
        <v>0</v>
      </c>
      <c r="K109" s="396"/>
    </row>
    <row r="110" spans="1:11" ht="12.75">
      <c r="A110" s="138"/>
      <c r="B110" s="138"/>
      <c r="C110" s="138" t="s">
        <v>253</v>
      </c>
      <c r="D110" s="138" t="s">
        <v>561</v>
      </c>
      <c r="E110" s="138"/>
      <c r="F110" s="139">
        <f>SUM(F111:F112)</f>
        <v>0</v>
      </c>
      <c r="G110" s="139">
        <f>SUM(G111:G112)</f>
        <v>0</v>
      </c>
      <c r="H110" s="139">
        <f>SUM(H111:H112)</f>
        <v>0</v>
      </c>
      <c r="I110" s="139">
        <f>SUM(I111:I112)</f>
        <v>0</v>
      </c>
      <c r="J110" s="140">
        <f t="shared" si="1"/>
        <v>0</v>
      </c>
      <c r="K110" s="395"/>
    </row>
    <row r="111" spans="1:11" ht="12.75" customHeight="1" hidden="1">
      <c r="A111" s="138"/>
      <c r="B111" s="138"/>
      <c r="C111" s="138"/>
      <c r="D111" s="635" t="s">
        <v>559</v>
      </c>
      <c r="E111" s="636"/>
      <c r="F111" s="139">
        <v>0</v>
      </c>
      <c r="G111" s="139">
        <v>0</v>
      </c>
      <c r="H111" s="139">
        <v>0</v>
      </c>
      <c r="I111" s="139">
        <v>0</v>
      </c>
      <c r="J111" s="140">
        <f t="shared" si="1"/>
        <v>0</v>
      </c>
      <c r="K111" s="395"/>
    </row>
    <row r="112" spans="1:11" ht="12.75" customHeight="1" hidden="1">
      <c r="A112" s="138"/>
      <c r="B112" s="138"/>
      <c r="C112" s="138"/>
      <c r="D112" s="635" t="s">
        <v>560</v>
      </c>
      <c r="E112" s="636"/>
      <c r="F112" s="139">
        <v>0</v>
      </c>
      <c r="G112" s="139">
        <v>0</v>
      </c>
      <c r="H112" s="139">
        <v>0</v>
      </c>
      <c r="I112" s="139">
        <v>0</v>
      </c>
      <c r="J112" s="140">
        <f t="shared" si="1"/>
        <v>0</v>
      </c>
      <c r="K112" s="395"/>
    </row>
    <row r="113" spans="1:11" ht="12.75" customHeight="1" hidden="1">
      <c r="A113" s="138"/>
      <c r="B113" s="138"/>
      <c r="C113" s="138" t="s">
        <v>2</v>
      </c>
      <c r="D113" s="138"/>
      <c r="E113" s="144" t="s">
        <v>562</v>
      </c>
      <c r="F113" s="139">
        <v>0</v>
      </c>
      <c r="G113" s="139">
        <v>0</v>
      </c>
      <c r="H113" s="139">
        <v>0</v>
      </c>
      <c r="I113" s="139">
        <v>0</v>
      </c>
      <c r="J113" s="140">
        <f t="shared" si="1"/>
        <v>0</v>
      </c>
      <c r="K113" s="395"/>
    </row>
    <row r="114" spans="1:11" ht="12.75" customHeight="1" hidden="1">
      <c r="A114" s="138"/>
      <c r="B114" s="138"/>
      <c r="C114" s="138"/>
      <c r="D114" s="138"/>
      <c r="E114" s="144" t="s">
        <v>557</v>
      </c>
      <c r="F114" s="139">
        <v>0</v>
      </c>
      <c r="G114" s="139">
        <v>0</v>
      </c>
      <c r="H114" s="139">
        <v>0</v>
      </c>
      <c r="I114" s="139">
        <v>0</v>
      </c>
      <c r="J114" s="140">
        <f t="shared" si="1"/>
        <v>0</v>
      </c>
      <c r="K114" s="395"/>
    </row>
    <row r="115" spans="1:11" ht="12.75" customHeight="1" hidden="1">
      <c r="A115" s="138"/>
      <c r="B115" s="138"/>
      <c r="C115" s="138"/>
      <c r="D115" s="138"/>
      <c r="E115" s="144" t="s">
        <v>563</v>
      </c>
      <c r="F115" s="139">
        <v>0</v>
      </c>
      <c r="G115" s="139">
        <v>0</v>
      </c>
      <c r="H115" s="139">
        <v>0</v>
      </c>
      <c r="I115" s="139">
        <v>0</v>
      </c>
      <c r="J115" s="140">
        <f t="shared" si="1"/>
        <v>0</v>
      </c>
      <c r="K115" s="395"/>
    </row>
    <row r="116" spans="1:11" ht="12.75" customHeight="1" hidden="1">
      <c r="A116" s="138"/>
      <c r="B116" s="138"/>
      <c r="C116" s="138"/>
      <c r="D116" s="138"/>
      <c r="E116" s="144" t="s">
        <v>564</v>
      </c>
      <c r="F116" s="139">
        <v>0</v>
      </c>
      <c r="G116" s="139">
        <v>0</v>
      </c>
      <c r="H116" s="139">
        <v>0</v>
      </c>
      <c r="I116" s="139">
        <v>0</v>
      </c>
      <c r="J116" s="140">
        <f t="shared" si="1"/>
        <v>0</v>
      </c>
      <c r="K116" s="395"/>
    </row>
    <row r="117" spans="1:11" ht="12.75" customHeight="1" hidden="1">
      <c r="A117" s="138"/>
      <c r="B117" s="138"/>
      <c r="C117" s="138"/>
      <c r="D117" s="138"/>
      <c r="E117" s="144" t="s">
        <v>565</v>
      </c>
      <c r="F117" s="139">
        <v>0</v>
      </c>
      <c r="G117" s="139">
        <v>0</v>
      </c>
      <c r="H117" s="139">
        <v>0</v>
      </c>
      <c r="I117" s="139">
        <v>0</v>
      </c>
      <c r="J117" s="140">
        <f t="shared" si="1"/>
        <v>0</v>
      </c>
      <c r="K117" s="395"/>
    </row>
    <row r="118" spans="1:11" ht="12.75">
      <c r="A118" s="138"/>
      <c r="B118" s="138"/>
      <c r="C118" s="138" t="s">
        <v>254</v>
      </c>
      <c r="D118" s="138" t="s">
        <v>515</v>
      </c>
      <c r="E118" s="138"/>
      <c r="F118" s="139">
        <v>0</v>
      </c>
      <c r="G118" s="139">
        <v>0</v>
      </c>
      <c r="H118" s="139">
        <v>0</v>
      </c>
      <c r="I118" s="139">
        <v>0</v>
      </c>
      <c r="J118" s="140">
        <f t="shared" si="1"/>
        <v>0</v>
      </c>
      <c r="K118" s="395"/>
    </row>
    <row r="119" spans="1:11" ht="22.5" customHeight="1">
      <c r="A119" s="138"/>
      <c r="B119" s="138"/>
      <c r="C119" s="600" t="s">
        <v>516</v>
      </c>
      <c r="D119" s="638" t="s">
        <v>517</v>
      </c>
      <c r="E119" s="638"/>
      <c r="F119" s="139">
        <f>12081400-233171+10464000-22252229+696400</f>
        <v>756400</v>
      </c>
      <c r="G119" s="139">
        <v>0</v>
      </c>
      <c r="H119" s="139">
        <v>0</v>
      </c>
      <c r="I119" s="139">
        <v>0</v>
      </c>
      <c r="J119" s="140">
        <f t="shared" si="1"/>
        <v>756400</v>
      </c>
      <c r="K119" s="395"/>
    </row>
    <row r="120" spans="1:11" ht="45.75" customHeight="1" hidden="1">
      <c r="A120" s="142"/>
      <c r="B120" s="142"/>
      <c r="C120" s="150" t="s">
        <v>2</v>
      </c>
      <c r="D120" s="148" t="s">
        <v>412</v>
      </c>
      <c r="E120" s="148" t="s">
        <v>539</v>
      </c>
      <c r="F120" s="145">
        <v>0</v>
      </c>
      <c r="G120" s="145">
        <v>0</v>
      </c>
      <c r="H120" s="145">
        <v>0</v>
      </c>
      <c r="I120" s="145">
        <v>0</v>
      </c>
      <c r="J120" s="146">
        <f t="shared" si="1"/>
        <v>0</v>
      </c>
      <c r="K120" s="396"/>
    </row>
    <row r="121" spans="1:11" ht="13.5" customHeight="1" hidden="1">
      <c r="A121" s="143"/>
      <c r="B121" s="143"/>
      <c r="C121" s="143"/>
      <c r="D121" s="144" t="s">
        <v>412</v>
      </c>
      <c r="E121" s="151" t="s">
        <v>566</v>
      </c>
      <c r="F121" s="145"/>
      <c r="G121" s="145">
        <v>0</v>
      </c>
      <c r="H121" s="145">
        <v>0</v>
      </c>
      <c r="I121" s="145">
        <v>0</v>
      </c>
      <c r="J121" s="146">
        <f t="shared" si="1"/>
        <v>0</v>
      </c>
      <c r="K121" s="396"/>
    </row>
    <row r="122" spans="1:11" s="134" customFormat="1" ht="12.75">
      <c r="A122" s="132" t="s">
        <v>255</v>
      </c>
      <c r="B122" s="634" t="s">
        <v>256</v>
      </c>
      <c r="C122" s="634"/>
      <c r="D122" s="634"/>
      <c r="E122" s="634"/>
      <c r="F122" s="133">
        <f>SUM(F123+F125+F127+F128+F129)</f>
        <v>69912400</v>
      </c>
      <c r="G122" s="133">
        <f>SUM(G123+G125+G127+G128+G129)</f>
        <v>0</v>
      </c>
      <c r="H122" s="133">
        <f>SUM(H123+H125+H127+H128+H129)</f>
        <v>0</v>
      </c>
      <c r="I122" s="133">
        <f>SUM(I123+I125+I127+I128+I129)</f>
        <v>0</v>
      </c>
      <c r="J122" s="133">
        <f t="shared" si="1"/>
        <v>69912400</v>
      </c>
      <c r="K122" s="393"/>
    </row>
    <row r="123" spans="1:11" ht="12.75">
      <c r="A123" s="135"/>
      <c r="B123" s="135" t="s">
        <v>257</v>
      </c>
      <c r="C123" s="630" t="s">
        <v>305</v>
      </c>
      <c r="D123" s="630"/>
      <c r="E123" s="630"/>
      <c r="F123" s="136">
        <v>0</v>
      </c>
      <c r="G123" s="136">
        <v>0</v>
      </c>
      <c r="H123" s="136">
        <v>0</v>
      </c>
      <c r="I123" s="136">
        <v>0</v>
      </c>
      <c r="J123" s="137">
        <f t="shared" si="1"/>
        <v>0</v>
      </c>
      <c r="K123" s="394"/>
    </row>
    <row r="124" spans="1:11" ht="12.75" customHeight="1" hidden="1">
      <c r="A124" s="143"/>
      <c r="B124" s="143"/>
      <c r="C124" s="144" t="s">
        <v>2</v>
      </c>
      <c r="D124" s="144" t="s">
        <v>412</v>
      </c>
      <c r="E124" s="144" t="s">
        <v>622</v>
      </c>
      <c r="F124" s="145">
        <v>0</v>
      </c>
      <c r="G124" s="145">
        <v>0</v>
      </c>
      <c r="H124" s="145">
        <v>0</v>
      </c>
      <c r="I124" s="145">
        <v>0</v>
      </c>
      <c r="J124" s="146">
        <f t="shared" si="1"/>
        <v>0</v>
      </c>
      <c r="K124" s="396"/>
    </row>
    <row r="125" spans="1:11" ht="12.75">
      <c r="A125" s="135"/>
      <c r="B125" s="135" t="s">
        <v>258</v>
      </c>
      <c r="C125" s="630" t="s">
        <v>259</v>
      </c>
      <c r="D125" s="630"/>
      <c r="E125" s="630"/>
      <c r="F125" s="136">
        <f>118591616+254000-540000-34818+1000000+233171+45000+27436735-68144196+140105-900000+88787+200000-8458000</f>
        <v>69912400</v>
      </c>
      <c r="G125" s="136">
        <v>0</v>
      </c>
      <c r="H125" s="136">
        <v>0</v>
      </c>
      <c r="I125" s="136">
        <v>0</v>
      </c>
      <c r="J125" s="137">
        <f t="shared" si="1"/>
        <v>69912400</v>
      </c>
      <c r="K125" s="394"/>
    </row>
    <row r="126" spans="1:11" ht="12.75" customHeight="1" hidden="1">
      <c r="A126" s="143"/>
      <c r="B126" s="143"/>
      <c r="C126" s="144" t="s">
        <v>2</v>
      </c>
      <c r="D126" s="144" t="s">
        <v>412</v>
      </c>
      <c r="E126" s="144" t="s">
        <v>260</v>
      </c>
      <c r="F126" s="145">
        <v>0</v>
      </c>
      <c r="G126" s="145">
        <v>0</v>
      </c>
      <c r="H126" s="145">
        <v>0</v>
      </c>
      <c r="I126" s="145">
        <v>0</v>
      </c>
      <c r="J126" s="146">
        <f t="shared" si="1"/>
        <v>0</v>
      </c>
      <c r="K126" s="396"/>
    </row>
    <row r="127" spans="1:11" ht="12.75" customHeight="1" hidden="1">
      <c r="A127" s="135"/>
      <c r="B127" s="135" t="s">
        <v>261</v>
      </c>
      <c r="C127" s="630" t="s">
        <v>262</v>
      </c>
      <c r="D127" s="630"/>
      <c r="E127" s="630"/>
      <c r="F127" s="136">
        <v>0</v>
      </c>
      <c r="G127" s="136">
        <v>0</v>
      </c>
      <c r="H127" s="136">
        <v>0</v>
      </c>
      <c r="I127" s="136">
        <v>0</v>
      </c>
      <c r="J127" s="137">
        <f t="shared" si="1"/>
        <v>0</v>
      </c>
      <c r="K127" s="394"/>
    </row>
    <row r="128" spans="1:11" ht="12.75" customHeight="1" hidden="1">
      <c r="A128" s="135"/>
      <c r="B128" s="135" t="s">
        <v>263</v>
      </c>
      <c r="C128" s="630" t="s">
        <v>264</v>
      </c>
      <c r="D128" s="630"/>
      <c r="E128" s="630"/>
      <c r="F128" s="136">
        <v>0</v>
      </c>
      <c r="G128" s="136">
        <v>0</v>
      </c>
      <c r="H128" s="136">
        <v>0</v>
      </c>
      <c r="I128" s="136">
        <v>0</v>
      </c>
      <c r="J128" s="137">
        <f t="shared" si="1"/>
        <v>0</v>
      </c>
      <c r="K128" s="394"/>
    </row>
    <row r="129" spans="1:11" ht="12.75" customHeight="1" hidden="1">
      <c r="A129" s="135"/>
      <c r="B129" s="135" t="s">
        <v>265</v>
      </c>
      <c r="C129" s="630" t="s">
        <v>266</v>
      </c>
      <c r="D129" s="630"/>
      <c r="E129" s="630"/>
      <c r="F129" s="136">
        <v>0</v>
      </c>
      <c r="G129" s="136">
        <v>0</v>
      </c>
      <c r="H129" s="136">
        <v>0</v>
      </c>
      <c r="I129" s="136">
        <v>0</v>
      </c>
      <c r="J129" s="137">
        <f t="shared" si="1"/>
        <v>0</v>
      </c>
      <c r="K129" s="394"/>
    </row>
    <row r="130" spans="1:11" s="134" customFormat="1" ht="12.75">
      <c r="A130" s="132" t="s">
        <v>267</v>
      </c>
      <c r="B130" s="634" t="s">
        <v>268</v>
      </c>
      <c r="C130" s="634"/>
      <c r="D130" s="634"/>
      <c r="E130" s="634"/>
      <c r="F130" s="133">
        <f>SUM(F131+F132+F133+F134+F144)</f>
        <v>0</v>
      </c>
      <c r="G130" s="133">
        <f>SUM(G131+G132+G133+G134+G144)</f>
        <v>0</v>
      </c>
      <c r="H130" s="133">
        <f>SUM(H131+H132+H133+H134+H144)</f>
        <v>0</v>
      </c>
      <c r="I130" s="133">
        <f>SUM(I131+I132+I133+I134+I144)</f>
        <v>0</v>
      </c>
      <c r="J130" s="133">
        <f t="shared" si="1"/>
        <v>0</v>
      </c>
      <c r="K130" s="393"/>
    </row>
    <row r="131" spans="1:11" ht="12.75" customHeight="1" hidden="1">
      <c r="A131" s="135"/>
      <c r="B131" s="135" t="s">
        <v>269</v>
      </c>
      <c r="C131" s="630" t="s">
        <v>651</v>
      </c>
      <c r="D131" s="630"/>
      <c r="E131" s="630"/>
      <c r="F131" s="136">
        <v>0</v>
      </c>
      <c r="G131" s="136">
        <v>0</v>
      </c>
      <c r="H131" s="136">
        <v>0</v>
      </c>
      <c r="I131" s="136">
        <v>0</v>
      </c>
      <c r="J131" s="137">
        <f t="shared" si="1"/>
        <v>0</v>
      </c>
      <c r="K131" s="394"/>
    </row>
    <row r="132" spans="1:11" ht="12.75" customHeight="1" hidden="1">
      <c r="A132" s="135"/>
      <c r="B132" s="135" t="s">
        <v>270</v>
      </c>
      <c r="C132" s="630" t="s">
        <v>652</v>
      </c>
      <c r="D132" s="630"/>
      <c r="E132" s="630"/>
      <c r="F132" s="136">
        <v>0</v>
      </c>
      <c r="G132" s="136">
        <v>0</v>
      </c>
      <c r="H132" s="136">
        <v>0</v>
      </c>
      <c r="I132" s="136">
        <v>0</v>
      </c>
      <c r="J132" s="137">
        <f t="shared" si="1"/>
        <v>0</v>
      </c>
      <c r="K132" s="394"/>
    </row>
    <row r="133" spans="1:11" ht="26.25" customHeight="1" hidden="1">
      <c r="A133" s="135"/>
      <c r="B133" s="135" t="s">
        <v>271</v>
      </c>
      <c r="C133" s="637" t="s">
        <v>653</v>
      </c>
      <c r="D133" s="637"/>
      <c r="E133" s="637"/>
      <c r="F133" s="136">
        <v>0</v>
      </c>
      <c r="G133" s="136">
        <v>0</v>
      </c>
      <c r="H133" s="136">
        <v>0</v>
      </c>
      <c r="I133" s="136">
        <v>0</v>
      </c>
      <c r="J133" s="137">
        <f t="shared" si="1"/>
        <v>0</v>
      </c>
      <c r="K133" s="394"/>
    </row>
    <row r="134" spans="1:11" ht="12.75" customHeight="1" hidden="1">
      <c r="A134" s="135"/>
      <c r="B134" s="135" t="s">
        <v>518</v>
      </c>
      <c r="C134" s="630" t="s">
        <v>654</v>
      </c>
      <c r="D134" s="630"/>
      <c r="E134" s="630"/>
      <c r="F134" s="136">
        <f>SUM(F135:F143)</f>
        <v>0</v>
      </c>
      <c r="G134" s="136">
        <v>0</v>
      </c>
      <c r="H134" s="136">
        <v>0</v>
      </c>
      <c r="I134" s="136">
        <v>0</v>
      </c>
      <c r="J134" s="137">
        <f t="shared" si="1"/>
        <v>0</v>
      </c>
      <c r="K134" s="394"/>
    </row>
    <row r="135" spans="1:11" ht="12.75" customHeight="1" hidden="1">
      <c r="A135" s="142"/>
      <c r="B135" s="142"/>
      <c r="C135" s="144" t="s">
        <v>2</v>
      </c>
      <c r="D135" s="144" t="s">
        <v>117</v>
      </c>
      <c r="E135" s="144" t="s">
        <v>144</v>
      </c>
      <c r="F135" s="145">
        <v>0</v>
      </c>
      <c r="G135" s="145">
        <v>0</v>
      </c>
      <c r="H135" s="145">
        <v>0</v>
      </c>
      <c r="I135" s="145">
        <v>0</v>
      </c>
      <c r="J135" s="146">
        <f t="shared" si="1"/>
        <v>0</v>
      </c>
      <c r="K135" s="396"/>
    </row>
    <row r="136" spans="1:11" ht="12.75" customHeight="1" hidden="1">
      <c r="A136" s="142"/>
      <c r="B136" s="142"/>
      <c r="C136" s="144"/>
      <c r="D136" s="144" t="s">
        <v>119</v>
      </c>
      <c r="E136" s="144" t="s">
        <v>540</v>
      </c>
      <c r="F136" s="145">
        <v>0</v>
      </c>
      <c r="G136" s="145">
        <v>0</v>
      </c>
      <c r="H136" s="145">
        <v>0</v>
      </c>
      <c r="I136" s="145">
        <v>0</v>
      </c>
      <c r="J136" s="146">
        <f t="shared" si="1"/>
        <v>0</v>
      </c>
      <c r="K136" s="396"/>
    </row>
    <row r="137" spans="1:11" ht="12.75" customHeight="1" hidden="1">
      <c r="A137" s="142"/>
      <c r="B137" s="142"/>
      <c r="C137" s="144"/>
      <c r="D137" s="144" t="s">
        <v>121</v>
      </c>
      <c r="E137" s="144" t="s">
        <v>145</v>
      </c>
      <c r="F137" s="145">
        <v>0</v>
      </c>
      <c r="G137" s="145">
        <v>0</v>
      </c>
      <c r="H137" s="145">
        <v>0</v>
      </c>
      <c r="I137" s="145">
        <v>0</v>
      </c>
      <c r="J137" s="146">
        <f aca="true" t="shared" si="2" ref="J137:J200">SUM(F137:I137)</f>
        <v>0</v>
      </c>
      <c r="K137" s="396"/>
    </row>
    <row r="138" spans="1:11" ht="12.75" customHeight="1" hidden="1">
      <c r="A138" s="142"/>
      <c r="B138" s="142"/>
      <c r="C138" s="144"/>
      <c r="D138" s="144" t="s">
        <v>123</v>
      </c>
      <c r="E138" s="144" t="s">
        <v>146</v>
      </c>
      <c r="F138" s="145">
        <v>0</v>
      </c>
      <c r="G138" s="145">
        <v>0</v>
      </c>
      <c r="H138" s="145">
        <v>0</v>
      </c>
      <c r="I138" s="145">
        <v>0</v>
      </c>
      <c r="J138" s="146">
        <f t="shared" si="2"/>
        <v>0</v>
      </c>
      <c r="K138" s="396"/>
    </row>
    <row r="139" spans="1:11" ht="12.75" customHeight="1" hidden="1">
      <c r="A139" s="142"/>
      <c r="B139" s="142"/>
      <c r="C139" s="144"/>
      <c r="D139" s="144" t="s">
        <v>125</v>
      </c>
      <c r="E139" s="144" t="s">
        <v>147</v>
      </c>
      <c r="F139" s="145">
        <v>0</v>
      </c>
      <c r="G139" s="145">
        <v>0</v>
      </c>
      <c r="H139" s="145">
        <v>0</v>
      </c>
      <c r="I139" s="145">
        <v>0</v>
      </c>
      <c r="J139" s="146">
        <f t="shared" si="2"/>
        <v>0</v>
      </c>
      <c r="K139" s="396"/>
    </row>
    <row r="140" spans="1:11" ht="12.75" customHeight="1" hidden="1">
      <c r="A140" s="142"/>
      <c r="B140" s="142"/>
      <c r="C140" s="144"/>
      <c r="D140" s="144" t="s">
        <v>127</v>
      </c>
      <c r="E140" s="144" t="s">
        <v>502</v>
      </c>
      <c r="F140" s="145">
        <v>0</v>
      </c>
      <c r="G140" s="145">
        <v>0</v>
      </c>
      <c r="H140" s="145">
        <v>0</v>
      </c>
      <c r="I140" s="145">
        <v>0</v>
      </c>
      <c r="J140" s="146">
        <f t="shared" si="2"/>
        <v>0</v>
      </c>
      <c r="K140" s="396"/>
    </row>
    <row r="141" spans="1:11" ht="12.75" customHeight="1" hidden="1">
      <c r="A141" s="142"/>
      <c r="B141" s="142"/>
      <c r="C141" s="144"/>
      <c r="D141" s="144" t="s">
        <v>129</v>
      </c>
      <c r="E141" s="144" t="s">
        <v>501</v>
      </c>
      <c r="F141" s="626">
        <v>0</v>
      </c>
      <c r="G141" s="145">
        <v>0</v>
      </c>
      <c r="H141" s="145">
        <v>0</v>
      </c>
      <c r="I141" s="145">
        <v>0</v>
      </c>
      <c r="J141" s="146">
        <f t="shared" si="2"/>
        <v>0</v>
      </c>
      <c r="K141" s="396"/>
    </row>
    <row r="142" spans="1:11" ht="12.75" customHeight="1" hidden="1">
      <c r="A142" s="142"/>
      <c r="B142" s="142"/>
      <c r="C142" s="144"/>
      <c r="D142" s="144" t="s">
        <v>131</v>
      </c>
      <c r="E142" s="144" t="s">
        <v>150</v>
      </c>
      <c r="F142" s="145"/>
      <c r="G142" s="145">
        <v>0</v>
      </c>
      <c r="H142" s="145">
        <v>0</v>
      </c>
      <c r="I142" s="145">
        <v>0</v>
      </c>
      <c r="J142" s="146">
        <f t="shared" si="2"/>
        <v>0</v>
      </c>
      <c r="K142" s="396"/>
    </row>
    <row r="143" spans="1:11" ht="12.75" customHeight="1" hidden="1">
      <c r="A143" s="142"/>
      <c r="B143" s="142"/>
      <c r="C143" s="144"/>
      <c r="D143" s="144" t="s">
        <v>133</v>
      </c>
      <c r="E143" s="144" t="s">
        <v>541</v>
      </c>
      <c r="F143" s="145">
        <v>0</v>
      </c>
      <c r="G143" s="145">
        <v>0</v>
      </c>
      <c r="H143" s="145">
        <v>0</v>
      </c>
      <c r="I143" s="145">
        <v>0</v>
      </c>
      <c r="J143" s="146">
        <f t="shared" si="2"/>
        <v>0</v>
      </c>
      <c r="K143" s="396"/>
    </row>
    <row r="144" spans="1:11" ht="12.75" customHeight="1" hidden="1">
      <c r="A144" s="135"/>
      <c r="B144" s="135" t="s">
        <v>519</v>
      </c>
      <c r="C144" s="630" t="s">
        <v>623</v>
      </c>
      <c r="D144" s="630"/>
      <c r="E144" s="630"/>
      <c r="F144" s="136">
        <v>0</v>
      </c>
      <c r="G144" s="136">
        <v>0</v>
      </c>
      <c r="H144" s="136">
        <v>0</v>
      </c>
      <c r="I144" s="136">
        <v>0</v>
      </c>
      <c r="J144" s="137">
        <f t="shared" si="2"/>
        <v>0</v>
      </c>
      <c r="K144" s="394"/>
    </row>
    <row r="145" spans="1:11" ht="12.75" customHeight="1" hidden="1">
      <c r="A145" s="135"/>
      <c r="B145" s="135"/>
      <c r="C145" s="144" t="s">
        <v>2</v>
      </c>
      <c r="D145" s="387"/>
      <c r="E145" s="144" t="s">
        <v>150</v>
      </c>
      <c r="F145" s="145">
        <v>0</v>
      </c>
      <c r="G145" s="145">
        <v>0</v>
      </c>
      <c r="H145" s="145">
        <v>0</v>
      </c>
      <c r="I145" s="145">
        <v>0</v>
      </c>
      <c r="J145" s="146">
        <f>SUM(F145:I145)</f>
        <v>0</v>
      </c>
      <c r="K145" s="394"/>
    </row>
    <row r="146" spans="1:11" s="134" customFormat="1" ht="12.75">
      <c r="A146" s="132" t="s">
        <v>272</v>
      </c>
      <c r="B146" s="634" t="s">
        <v>273</v>
      </c>
      <c r="C146" s="634"/>
      <c r="D146" s="634"/>
      <c r="E146" s="634"/>
      <c r="F146" s="133">
        <f>SUM(F147+F148+F149+F150+F160)</f>
        <v>0</v>
      </c>
      <c r="G146" s="133">
        <f>SUM(G147+G148+G149+G150+G160)</f>
        <v>0</v>
      </c>
      <c r="H146" s="133">
        <f>SUM(H147+H148+H149+H150+H160)</f>
        <v>0</v>
      </c>
      <c r="I146" s="133">
        <f>SUM(I147+I148+I149+I150+I160)</f>
        <v>0</v>
      </c>
      <c r="J146" s="133">
        <f t="shared" si="2"/>
        <v>0</v>
      </c>
      <c r="K146" s="393"/>
    </row>
    <row r="147" spans="1:11" ht="12.75" customHeight="1" hidden="1">
      <c r="A147" s="135"/>
      <c r="B147" s="135" t="s">
        <v>274</v>
      </c>
      <c r="C147" s="630" t="s">
        <v>655</v>
      </c>
      <c r="D147" s="630"/>
      <c r="E147" s="630"/>
      <c r="F147" s="136">
        <v>0</v>
      </c>
      <c r="G147" s="136">
        <v>0</v>
      </c>
      <c r="H147" s="136">
        <v>0</v>
      </c>
      <c r="I147" s="136">
        <v>0</v>
      </c>
      <c r="J147" s="137">
        <f t="shared" si="2"/>
        <v>0</v>
      </c>
      <c r="K147" s="394"/>
    </row>
    <row r="148" spans="1:11" ht="12.75" customHeight="1" hidden="1">
      <c r="A148" s="135"/>
      <c r="B148" s="135" t="s">
        <v>275</v>
      </c>
      <c r="C148" s="630" t="s">
        <v>656</v>
      </c>
      <c r="D148" s="630"/>
      <c r="E148" s="630"/>
      <c r="F148" s="136">
        <v>0</v>
      </c>
      <c r="G148" s="136">
        <v>0</v>
      </c>
      <c r="H148" s="136">
        <v>0</v>
      </c>
      <c r="I148" s="136">
        <v>0</v>
      </c>
      <c r="J148" s="137">
        <f t="shared" si="2"/>
        <v>0</v>
      </c>
      <c r="K148" s="394"/>
    </row>
    <row r="149" spans="1:11" ht="25.5" customHeight="1" hidden="1">
      <c r="A149" s="135"/>
      <c r="B149" s="135" t="s">
        <v>276</v>
      </c>
      <c r="C149" s="637" t="s">
        <v>657</v>
      </c>
      <c r="D149" s="637"/>
      <c r="E149" s="637"/>
      <c r="F149" s="136">
        <v>0</v>
      </c>
      <c r="G149" s="136">
        <v>0</v>
      </c>
      <c r="H149" s="136">
        <v>0</v>
      </c>
      <c r="I149" s="136">
        <v>0</v>
      </c>
      <c r="J149" s="137">
        <f t="shared" si="2"/>
        <v>0</v>
      </c>
      <c r="K149" s="394"/>
    </row>
    <row r="150" spans="1:11" ht="12.75" customHeight="1" hidden="1">
      <c r="A150" s="142"/>
      <c r="B150" s="135" t="s">
        <v>520</v>
      </c>
      <c r="C150" s="630" t="s">
        <v>658</v>
      </c>
      <c r="D150" s="630"/>
      <c r="E150" s="630"/>
      <c r="F150" s="136">
        <f>SUM(F151:F159)</f>
        <v>0</v>
      </c>
      <c r="G150" s="136">
        <f>SUM(G151:G159)</f>
        <v>0</v>
      </c>
      <c r="H150" s="136">
        <f>SUM(H151:H159)</f>
        <v>0</v>
      </c>
      <c r="I150" s="136">
        <f>SUM(I151:I159)</f>
        <v>0</v>
      </c>
      <c r="J150" s="137">
        <f t="shared" si="2"/>
        <v>0</v>
      </c>
      <c r="K150" s="394"/>
    </row>
    <row r="151" spans="1:11" ht="12.75" customHeight="1" hidden="1">
      <c r="A151" s="142"/>
      <c r="B151" s="142"/>
      <c r="C151" s="144" t="s">
        <v>2</v>
      </c>
      <c r="D151" s="144" t="s">
        <v>117</v>
      </c>
      <c r="E151" s="144" t="s">
        <v>144</v>
      </c>
      <c r="F151" s="145">
        <v>0</v>
      </c>
      <c r="G151" s="145">
        <v>0</v>
      </c>
      <c r="H151" s="145">
        <v>0</v>
      </c>
      <c r="I151" s="145">
        <v>0</v>
      </c>
      <c r="J151" s="146">
        <f t="shared" si="2"/>
        <v>0</v>
      </c>
      <c r="K151" s="396"/>
    </row>
    <row r="152" spans="1:11" ht="12.75" customHeight="1" hidden="1">
      <c r="A152" s="142"/>
      <c r="B152" s="142"/>
      <c r="C152" s="144"/>
      <c r="D152" s="144" t="s">
        <v>119</v>
      </c>
      <c r="E152" s="144" t="s">
        <v>540</v>
      </c>
      <c r="F152" s="145">
        <v>0</v>
      </c>
      <c r="G152" s="145">
        <v>0</v>
      </c>
      <c r="H152" s="145">
        <v>0</v>
      </c>
      <c r="I152" s="145">
        <v>0</v>
      </c>
      <c r="J152" s="146">
        <f t="shared" si="2"/>
        <v>0</v>
      </c>
      <c r="K152" s="396"/>
    </row>
    <row r="153" spans="1:11" ht="12.75" customHeight="1" hidden="1">
      <c r="A153" s="142"/>
      <c r="B153" s="142"/>
      <c r="C153" s="144"/>
      <c r="D153" s="144" t="s">
        <v>121</v>
      </c>
      <c r="E153" s="144" t="s">
        <v>145</v>
      </c>
      <c r="F153" s="145">
        <v>0</v>
      </c>
      <c r="G153" s="145">
        <v>0</v>
      </c>
      <c r="H153" s="145">
        <v>0</v>
      </c>
      <c r="I153" s="145">
        <v>0</v>
      </c>
      <c r="J153" s="146">
        <f t="shared" si="2"/>
        <v>0</v>
      </c>
      <c r="K153" s="396"/>
    </row>
    <row r="154" spans="1:11" ht="12.75" customHeight="1" hidden="1">
      <c r="A154" s="142"/>
      <c r="B154" s="142"/>
      <c r="C154" s="144"/>
      <c r="D154" s="144" t="s">
        <v>123</v>
      </c>
      <c r="E154" s="144" t="s">
        <v>146</v>
      </c>
      <c r="F154" s="145">
        <v>0</v>
      </c>
      <c r="G154" s="145">
        <v>0</v>
      </c>
      <c r="H154" s="145">
        <v>0</v>
      </c>
      <c r="I154" s="145">
        <v>0</v>
      </c>
      <c r="J154" s="146">
        <f t="shared" si="2"/>
        <v>0</v>
      </c>
      <c r="K154" s="396"/>
    </row>
    <row r="155" spans="1:11" ht="12.75" customHeight="1" hidden="1">
      <c r="A155" s="142"/>
      <c r="B155" s="142"/>
      <c r="C155" s="144"/>
      <c r="D155" s="144" t="s">
        <v>125</v>
      </c>
      <c r="E155" s="144" t="s">
        <v>147</v>
      </c>
      <c r="F155" s="145">
        <v>0</v>
      </c>
      <c r="G155" s="145">
        <v>0</v>
      </c>
      <c r="H155" s="145">
        <v>0</v>
      </c>
      <c r="I155" s="145">
        <v>0</v>
      </c>
      <c r="J155" s="146">
        <f t="shared" si="2"/>
        <v>0</v>
      </c>
      <c r="K155" s="396"/>
    </row>
    <row r="156" spans="1:11" ht="12.75" customHeight="1" hidden="1">
      <c r="A156" s="142"/>
      <c r="B156" s="142"/>
      <c r="C156" s="144"/>
      <c r="D156" s="144" t="s">
        <v>127</v>
      </c>
      <c r="E156" s="144" t="s">
        <v>502</v>
      </c>
      <c r="F156" s="145">
        <v>0</v>
      </c>
      <c r="G156" s="145">
        <v>0</v>
      </c>
      <c r="H156" s="145">
        <v>0</v>
      </c>
      <c r="I156" s="145">
        <v>0</v>
      </c>
      <c r="J156" s="146">
        <f t="shared" si="2"/>
        <v>0</v>
      </c>
      <c r="K156" s="396"/>
    </row>
    <row r="157" spans="1:11" ht="12.75" customHeight="1" hidden="1">
      <c r="A157" s="142"/>
      <c r="B157" s="142"/>
      <c r="C157" s="144"/>
      <c r="D157" s="144" t="s">
        <v>129</v>
      </c>
      <c r="E157" s="144" t="s">
        <v>501</v>
      </c>
      <c r="F157" s="626">
        <v>0</v>
      </c>
      <c r="G157" s="145">
        <v>0</v>
      </c>
      <c r="H157" s="145">
        <v>0</v>
      </c>
      <c r="I157" s="145">
        <v>0</v>
      </c>
      <c r="J157" s="146">
        <f t="shared" si="2"/>
        <v>0</v>
      </c>
      <c r="K157" s="396"/>
    </row>
    <row r="158" spans="1:11" ht="12.75" customHeight="1" hidden="1">
      <c r="A158" s="142"/>
      <c r="B158" s="142"/>
      <c r="C158" s="144"/>
      <c r="D158" s="144" t="s">
        <v>131</v>
      </c>
      <c r="E158" s="144" t="s">
        <v>150</v>
      </c>
      <c r="F158" s="145">
        <v>0</v>
      </c>
      <c r="G158" s="145">
        <v>0</v>
      </c>
      <c r="H158" s="145">
        <v>0</v>
      </c>
      <c r="I158" s="145">
        <v>0</v>
      </c>
      <c r="J158" s="146">
        <f t="shared" si="2"/>
        <v>0</v>
      </c>
      <c r="K158" s="396"/>
    </row>
    <row r="159" spans="1:11" ht="12.75" customHeight="1" hidden="1">
      <c r="A159" s="142"/>
      <c r="B159" s="142"/>
      <c r="C159" s="144"/>
      <c r="D159" s="144" t="s">
        <v>133</v>
      </c>
      <c r="E159" s="144" t="s">
        <v>541</v>
      </c>
      <c r="F159" s="145">
        <v>0</v>
      </c>
      <c r="G159" s="145">
        <v>0</v>
      </c>
      <c r="H159" s="145">
        <v>0</v>
      </c>
      <c r="I159" s="145">
        <v>0</v>
      </c>
      <c r="J159" s="146">
        <f t="shared" si="2"/>
        <v>0</v>
      </c>
      <c r="K159" s="396"/>
    </row>
    <row r="160" spans="1:11" ht="12.75" customHeight="1" hidden="1">
      <c r="A160" s="142"/>
      <c r="B160" s="135" t="s">
        <v>521</v>
      </c>
      <c r="C160" s="630" t="s">
        <v>605</v>
      </c>
      <c r="D160" s="630"/>
      <c r="E160" s="630"/>
      <c r="F160" s="136">
        <f>SUM(F161:F171)</f>
        <v>0</v>
      </c>
      <c r="G160" s="136">
        <f>SUM(G161:G171)</f>
        <v>0</v>
      </c>
      <c r="H160" s="136">
        <f>SUM(H161:H171)</f>
        <v>0</v>
      </c>
      <c r="I160" s="136">
        <f>SUM(I161:I171)</f>
        <v>0</v>
      </c>
      <c r="J160" s="137">
        <f t="shared" si="2"/>
        <v>0</v>
      </c>
      <c r="K160" s="394"/>
    </row>
    <row r="161" spans="1:11" ht="12" customHeight="1" hidden="1">
      <c r="A161" s="142"/>
      <c r="B161" s="142"/>
      <c r="C161" s="144" t="s">
        <v>2</v>
      </c>
      <c r="D161" s="144" t="s">
        <v>117</v>
      </c>
      <c r="E161" s="144" t="s">
        <v>144</v>
      </c>
      <c r="F161" s="145"/>
      <c r="G161" s="145">
        <v>0</v>
      </c>
      <c r="H161" s="145">
        <v>0</v>
      </c>
      <c r="I161" s="145">
        <v>0</v>
      </c>
      <c r="J161" s="146">
        <f t="shared" si="2"/>
        <v>0</v>
      </c>
      <c r="K161" s="396"/>
    </row>
    <row r="162" spans="1:11" ht="12.75" customHeight="1" hidden="1">
      <c r="A162" s="142"/>
      <c r="B162" s="142"/>
      <c r="C162" s="144"/>
      <c r="D162" s="144" t="s">
        <v>119</v>
      </c>
      <c r="E162" s="144" t="s">
        <v>540</v>
      </c>
      <c r="F162" s="145">
        <v>0</v>
      </c>
      <c r="G162" s="145">
        <v>0</v>
      </c>
      <c r="H162" s="145">
        <v>0</v>
      </c>
      <c r="I162" s="145">
        <v>0</v>
      </c>
      <c r="J162" s="146">
        <f t="shared" si="2"/>
        <v>0</v>
      </c>
      <c r="K162" s="396"/>
    </row>
    <row r="163" spans="1:11" ht="12.75" customHeight="1" hidden="1">
      <c r="A163" s="142"/>
      <c r="B163" s="142"/>
      <c r="C163" s="144"/>
      <c r="D163" s="144" t="s">
        <v>121</v>
      </c>
      <c r="E163" s="144" t="s">
        <v>145</v>
      </c>
      <c r="F163" s="145">
        <v>0</v>
      </c>
      <c r="G163" s="145">
        <v>0</v>
      </c>
      <c r="H163" s="145">
        <v>0</v>
      </c>
      <c r="I163" s="145">
        <v>0</v>
      </c>
      <c r="J163" s="146">
        <f t="shared" si="2"/>
        <v>0</v>
      </c>
      <c r="K163" s="396"/>
    </row>
    <row r="164" spans="1:11" ht="12.75" customHeight="1" hidden="1">
      <c r="A164" s="142"/>
      <c r="B164" s="142"/>
      <c r="C164" s="144"/>
      <c r="D164" s="144" t="s">
        <v>123</v>
      </c>
      <c r="E164" s="144" t="s">
        <v>146</v>
      </c>
      <c r="F164" s="145">
        <v>0</v>
      </c>
      <c r="G164" s="145">
        <v>0</v>
      </c>
      <c r="H164" s="145">
        <v>0</v>
      </c>
      <c r="I164" s="145">
        <v>0</v>
      </c>
      <c r="J164" s="146">
        <f t="shared" si="2"/>
        <v>0</v>
      </c>
      <c r="K164" s="396"/>
    </row>
    <row r="165" spans="1:11" ht="12.75" customHeight="1" hidden="1">
      <c r="A165" s="142"/>
      <c r="B165" s="142"/>
      <c r="C165" s="144"/>
      <c r="D165" s="144" t="s">
        <v>125</v>
      </c>
      <c r="E165" s="144" t="s">
        <v>147</v>
      </c>
      <c r="F165" s="145">
        <v>0</v>
      </c>
      <c r="G165" s="145">
        <v>0</v>
      </c>
      <c r="H165" s="145">
        <v>0</v>
      </c>
      <c r="I165" s="145">
        <v>0</v>
      </c>
      <c r="J165" s="146">
        <f t="shared" si="2"/>
        <v>0</v>
      </c>
      <c r="K165" s="396"/>
    </row>
    <row r="166" spans="1:11" ht="12.75" customHeight="1" hidden="1">
      <c r="A166" s="142"/>
      <c r="B166" s="142"/>
      <c r="C166" s="144"/>
      <c r="D166" s="144" t="s">
        <v>127</v>
      </c>
      <c r="E166" s="144" t="s">
        <v>502</v>
      </c>
      <c r="F166" s="145">
        <v>0</v>
      </c>
      <c r="G166" s="145">
        <v>0</v>
      </c>
      <c r="H166" s="145">
        <v>0</v>
      </c>
      <c r="I166" s="145">
        <v>0</v>
      </c>
      <c r="J166" s="146">
        <f t="shared" si="2"/>
        <v>0</v>
      </c>
      <c r="K166" s="396"/>
    </row>
    <row r="167" spans="1:11" ht="12.75" customHeight="1" hidden="1">
      <c r="A167" s="142"/>
      <c r="B167" s="142"/>
      <c r="C167" s="144"/>
      <c r="D167" s="144" t="s">
        <v>129</v>
      </c>
      <c r="E167" s="144" t="s">
        <v>501</v>
      </c>
      <c r="F167" s="626">
        <v>0</v>
      </c>
      <c r="G167" s="145">
        <v>0</v>
      </c>
      <c r="H167" s="145">
        <v>0</v>
      </c>
      <c r="I167" s="145">
        <v>0</v>
      </c>
      <c r="J167" s="146">
        <f t="shared" si="2"/>
        <v>0</v>
      </c>
      <c r="K167" s="396"/>
    </row>
    <row r="168" spans="1:11" ht="12.75" customHeight="1" hidden="1">
      <c r="A168" s="142"/>
      <c r="B168" s="142"/>
      <c r="C168" s="144"/>
      <c r="D168" s="144" t="s">
        <v>131</v>
      </c>
      <c r="E168" s="144" t="s">
        <v>150</v>
      </c>
      <c r="F168" s="145">
        <v>0</v>
      </c>
      <c r="G168" s="145">
        <v>0</v>
      </c>
      <c r="H168" s="145">
        <v>0</v>
      </c>
      <c r="I168" s="145">
        <v>0</v>
      </c>
      <c r="J168" s="146">
        <f t="shared" si="2"/>
        <v>0</v>
      </c>
      <c r="K168" s="396"/>
    </row>
    <row r="169" spans="1:11" ht="12.75" customHeight="1" hidden="1">
      <c r="A169" s="142"/>
      <c r="B169" s="142"/>
      <c r="C169" s="144"/>
      <c r="D169" s="144" t="s">
        <v>133</v>
      </c>
      <c r="E169" s="144" t="s">
        <v>151</v>
      </c>
      <c r="F169" s="145">
        <v>0</v>
      </c>
      <c r="G169" s="145">
        <v>0</v>
      </c>
      <c r="H169" s="145">
        <v>0</v>
      </c>
      <c r="I169" s="145">
        <v>0</v>
      </c>
      <c r="J169" s="146">
        <f t="shared" si="2"/>
        <v>0</v>
      </c>
      <c r="K169" s="396"/>
    </row>
    <row r="170" spans="1:11" ht="12.75" customHeight="1" hidden="1">
      <c r="A170" s="142"/>
      <c r="B170" s="142"/>
      <c r="C170" s="144"/>
      <c r="D170" s="144" t="s">
        <v>135</v>
      </c>
      <c r="E170" s="144" t="s">
        <v>152</v>
      </c>
      <c r="F170" s="145">
        <v>0</v>
      </c>
      <c r="G170" s="145">
        <v>0</v>
      </c>
      <c r="H170" s="145">
        <v>0</v>
      </c>
      <c r="I170" s="145">
        <v>0</v>
      </c>
      <c r="J170" s="146">
        <f t="shared" si="2"/>
        <v>0</v>
      </c>
      <c r="K170" s="396"/>
    </row>
    <row r="171" spans="1:11" ht="12.75" customHeight="1" hidden="1">
      <c r="A171" s="142"/>
      <c r="B171" s="142"/>
      <c r="C171" s="144"/>
      <c r="D171" s="144" t="s">
        <v>542</v>
      </c>
      <c r="E171" s="144" t="s">
        <v>153</v>
      </c>
      <c r="F171" s="145">
        <v>0</v>
      </c>
      <c r="G171" s="145">
        <v>0</v>
      </c>
      <c r="H171" s="145">
        <v>0</v>
      </c>
      <c r="I171" s="145">
        <v>0</v>
      </c>
      <c r="J171" s="146">
        <f t="shared" si="2"/>
        <v>0</v>
      </c>
      <c r="K171" s="396"/>
    </row>
    <row r="172" spans="1:11" s="134" customFormat="1" ht="12.75">
      <c r="A172" s="132" t="s">
        <v>277</v>
      </c>
      <c r="B172" s="634" t="s">
        <v>278</v>
      </c>
      <c r="C172" s="634"/>
      <c r="D172" s="634"/>
      <c r="E172" s="634"/>
      <c r="F172" s="133">
        <f>SUM(F173+F196+F197+F198)</f>
        <v>1429238592</v>
      </c>
      <c r="G172" s="133">
        <f>SUM(G173+G196+G197+G198)</f>
        <v>1537859</v>
      </c>
      <c r="H172" s="133">
        <f>SUM(H173+H196+H197+H198)</f>
        <v>44046233</v>
      </c>
      <c r="I172" s="133">
        <f>SUM(I173+I196+I197+I198)</f>
        <v>622539</v>
      </c>
      <c r="J172" s="133">
        <f t="shared" si="2"/>
        <v>1475445223</v>
      </c>
      <c r="K172" s="393"/>
    </row>
    <row r="173" spans="1:11" ht="12.75">
      <c r="A173" s="142"/>
      <c r="B173" s="135" t="s">
        <v>279</v>
      </c>
      <c r="C173" s="630" t="s">
        <v>280</v>
      </c>
      <c r="D173" s="630"/>
      <c r="E173" s="630"/>
      <c r="F173" s="136">
        <f>SUM(F174+F178+F183+F188+F189+F190+F191+F192+F193)</f>
        <v>1429238592</v>
      </c>
      <c r="G173" s="136">
        <f>SUM(G174+G178+G183+G188+G189+G190+G191+G192+G193)</f>
        <v>1537859</v>
      </c>
      <c r="H173" s="136">
        <f>SUM(H174+H178+H183+H188+H189+H190+H191+H192+H193)</f>
        <v>44046233</v>
      </c>
      <c r="I173" s="136">
        <f>SUM(I174+I178+I183+I188+I189+I190+I191+I192+I193)</f>
        <v>622539</v>
      </c>
      <c r="J173" s="137">
        <f t="shared" si="2"/>
        <v>1475445223</v>
      </c>
      <c r="K173" s="394"/>
    </row>
    <row r="174" spans="1:11" ht="12.75">
      <c r="A174" s="138"/>
      <c r="B174" s="138"/>
      <c r="C174" s="138" t="s">
        <v>281</v>
      </c>
      <c r="D174" s="138" t="s">
        <v>567</v>
      </c>
      <c r="E174" s="138"/>
      <c r="F174" s="139">
        <f>SUM(F175:F177)</f>
        <v>0</v>
      </c>
      <c r="G174" s="139">
        <f>SUM(G175:G177)</f>
        <v>0</v>
      </c>
      <c r="H174" s="139">
        <f>SUM(H175:H177)</f>
        <v>0</v>
      </c>
      <c r="I174" s="139">
        <f>SUM(I175:I177)</f>
        <v>0</v>
      </c>
      <c r="J174" s="140">
        <f t="shared" si="2"/>
        <v>0</v>
      </c>
      <c r="K174" s="395"/>
    </row>
    <row r="175" spans="1:11" ht="12.75" customHeight="1" hidden="1">
      <c r="A175" s="152"/>
      <c r="B175" s="152"/>
      <c r="C175" s="152"/>
      <c r="D175" s="152" t="s">
        <v>282</v>
      </c>
      <c r="E175" s="152" t="s">
        <v>659</v>
      </c>
      <c r="F175" s="153">
        <v>0</v>
      </c>
      <c r="G175" s="153">
        <v>0</v>
      </c>
      <c r="H175" s="153">
        <v>0</v>
      </c>
      <c r="I175" s="153">
        <v>0</v>
      </c>
      <c r="J175" s="154">
        <f t="shared" si="2"/>
        <v>0</v>
      </c>
      <c r="K175" s="397"/>
    </row>
    <row r="176" spans="1:11" ht="12.75" customHeight="1" hidden="1">
      <c r="A176" s="152"/>
      <c r="B176" s="152"/>
      <c r="C176" s="152"/>
      <c r="D176" s="152" t="s">
        <v>283</v>
      </c>
      <c r="E176" s="152" t="s">
        <v>660</v>
      </c>
      <c r="F176" s="153">
        <v>0</v>
      </c>
      <c r="G176" s="153">
        <v>0</v>
      </c>
      <c r="H176" s="153">
        <v>0</v>
      </c>
      <c r="I176" s="153">
        <v>0</v>
      </c>
      <c r="J176" s="154">
        <f t="shared" si="2"/>
        <v>0</v>
      </c>
      <c r="K176" s="397"/>
    </row>
    <row r="177" spans="1:11" ht="12.75" customHeight="1" hidden="1">
      <c r="A177" s="152"/>
      <c r="B177" s="152"/>
      <c r="C177" s="152"/>
      <c r="D177" s="152" t="s">
        <v>284</v>
      </c>
      <c r="E177" s="152" t="s">
        <v>661</v>
      </c>
      <c r="F177" s="153">
        <v>0</v>
      </c>
      <c r="G177" s="153">
        <v>0</v>
      </c>
      <c r="H177" s="153">
        <v>0</v>
      </c>
      <c r="I177" s="153">
        <v>0</v>
      </c>
      <c r="J177" s="154">
        <f t="shared" si="2"/>
        <v>0</v>
      </c>
      <c r="K177" s="397"/>
    </row>
    <row r="178" spans="1:11" ht="12.75">
      <c r="A178" s="138"/>
      <c r="B178" s="138"/>
      <c r="C178" s="138" t="s">
        <v>285</v>
      </c>
      <c r="D178" s="138" t="s">
        <v>286</v>
      </c>
      <c r="E178" s="138"/>
      <c r="F178" s="139">
        <f>SUM(F179:F182)</f>
        <v>0</v>
      </c>
      <c r="G178" s="139">
        <f>SUM(G179:G182)</f>
        <v>0</v>
      </c>
      <c r="H178" s="139">
        <f>SUM(H179:H182)</f>
        <v>0</v>
      </c>
      <c r="I178" s="139">
        <f>SUM(I179:I182)</f>
        <v>0</v>
      </c>
      <c r="J178" s="140">
        <f t="shared" si="2"/>
        <v>0</v>
      </c>
      <c r="K178" s="395"/>
    </row>
    <row r="179" spans="1:11" ht="12.75" customHeight="1" hidden="1">
      <c r="A179" s="138"/>
      <c r="B179" s="138"/>
      <c r="C179" s="138"/>
      <c r="D179" s="152" t="s">
        <v>522</v>
      </c>
      <c r="E179" s="152" t="s">
        <v>523</v>
      </c>
      <c r="F179" s="139">
        <v>0</v>
      </c>
      <c r="G179" s="139">
        <v>0</v>
      </c>
      <c r="H179" s="139">
        <v>0</v>
      </c>
      <c r="I179" s="139">
        <v>0</v>
      </c>
      <c r="J179" s="140">
        <f t="shared" si="2"/>
        <v>0</v>
      </c>
      <c r="K179" s="395"/>
    </row>
    <row r="180" spans="1:11" ht="12.75" customHeight="1" hidden="1">
      <c r="A180" s="138"/>
      <c r="B180" s="138"/>
      <c r="C180" s="138"/>
      <c r="D180" s="152" t="s">
        <v>524</v>
      </c>
      <c r="E180" s="152" t="s">
        <v>525</v>
      </c>
      <c r="F180" s="139">
        <v>0</v>
      </c>
      <c r="G180" s="139">
        <v>0</v>
      </c>
      <c r="H180" s="139">
        <v>0</v>
      </c>
      <c r="I180" s="139">
        <v>0</v>
      </c>
      <c r="J180" s="140">
        <f t="shared" si="2"/>
        <v>0</v>
      </c>
      <c r="K180" s="395"/>
    </row>
    <row r="181" spans="1:11" ht="12.75" customHeight="1" hidden="1">
      <c r="A181" s="138"/>
      <c r="B181" s="138"/>
      <c r="C181" s="138"/>
      <c r="D181" s="152" t="s">
        <v>526</v>
      </c>
      <c r="E181" s="152" t="s">
        <v>527</v>
      </c>
      <c r="F181" s="139">
        <v>0</v>
      </c>
      <c r="G181" s="139">
        <v>0</v>
      </c>
      <c r="H181" s="139">
        <v>0</v>
      </c>
      <c r="I181" s="139">
        <v>0</v>
      </c>
      <c r="J181" s="140">
        <f t="shared" si="2"/>
        <v>0</v>
      </c>
      <c r="K181" s="395"/>
    </row>
    <row r="182" spans="1:11" ht="12.75" customHeight="1" hidden="1">
      <c r="A182" s="138"/>
      <c r="B182" s="138"/>
      <c r="C182" s="138"/>
      <c r="D182" s="152" t="s">
        <v>528</v>
      </c>
      <c r="E182" s="152" t="s">
        <v>529</v>
      </c>
      <c r="F182" s="139">
        <v>0</v>
      </c>
      <c r="G182" s="139">
        <v>0</v>
      </c>
      <c r="H182" s="139">
        <v>0</v>
      </c>
      <c r="I182" s="139">
        <v>0</v>
      </c>
      <c r="J182" s="140">
        <f t="shared" si="2"/>
        <v>0</v>
      </c>
      <c r="K182" s="395"/>
    </row>
    <row r="183" spans="1:11" ht="12.75">
      <c r="A183" s="138"/>
      <c r="B183" s="138"/>
      <c r="C183" s="138" t="s">
        <v>287</v>
      </c>
      <c r="D183" s="138" t="s">
        <v>288</v>
      </c>
      <c r="E183" s="138"/>
      <c r="F183" s="139">
        <f>SUM(F184,F187)</f>
        <v>1429238592</v>
      </c>
      <c r="G183" s="139">
        <f>SUM(G184,G187)</f>
        <v>1537859</v>
      </c>
      <c r="H183" s="139">
        <f>SUM(H184,H187)</f>
        <v>44046233</v>
      </c>
      <c r="I183" s="139">
        <f>SUM(I184,I187)</f>
        <v>622539</v>
      </c>
      <c r="J183" s="140">
        <f t="shared" si="2"/>
        <v>1475445223</v>
      </c>
      <c r="K183" s="395"/>
    </row>
    <row r="184" spans="1:11" ht="12.75">
      <c r="A184" s="152"/>
      <c r="B184" s="152"/>
      <c r="C184" s="152"/>
      <c r="D184" s="152" t="s">
        <v>289</v>
      </c>
      <c r="E184" s="152" t="s">
        <v>290</v>
      </c>
      <c r="F184" s="153">
        <f>SUM(F185:F186)</f>
        <v>1426298320</v>
      </c>
      <c r="G184" s="153">
        <f>SUM(G185:G186)</f>
        <v>1537859</v>
      </c>
      <c r="H184" s="153">
        <f>SUM(H185:H186)</f>
        <v>44046233</v>
      </c>
      <c r="I184" s="153">
        <f>SUM(I185:I186)</f>
        <v>622539</v>
      </c>
      <c r="J184" s="154">
        <f t="shared" si="2"/>
        <v>1472504951</v>
      </c>
      <c r="K184" s="397"/>
    </row>
    <row r="185" spans="1:11" s="159" customFormat="1" ht="12.75">
      <c r="A185" s="155"/>
      <c r="B185" s="155"/>
      <c r="C185" s="155"/>
      <c r="D185" s="155"/>
      <c r="E185" s="156" t="s">
        <v>15</v>
      </c>
      <c r="F185" s="157">
        <f>159291075+55+97110256</f>
        <v>256401386</v>
      </c>
      <c r="G185" s="157">
        <v>1537859</v>
      </c>
      <c r="H185" s="157">
        <f>32890088+11156145</f>
        <v>44046233</v>
      </c>
      <c r="I185" s="157">
        <v>622539</v>
      </c>
      <c r="J185" s="158">
        <f t="shared" si="2"/>
        <v>302608017</v>
      </c>
      <c r="K185" s="398"/>
    </row>
    <row r="186" spans="1:11" s="159" customFormat="1" ht="12.75">
      <c r="A186" s="155"/>
      <c r="B186" s="155"/>
      <c r="C186" s="155"/>
      <c r="D186" s="155"/>
      <c r="E186" s="156" t="s">
        <v>16</v>
      </c>
      <c r="F186" s="157">
        <f>1164857629-55+5039360</f>
        <v>1169896934</v>
      </c>
      <c r="G186" s="157">
        <v>0</v>
      </c>
      <c r="H186" s="157">
        <v>0</v>
      </c>
      <c r="I186" s="157">
        <v>0</v>
      </c>
      <c r="J186" s="158">
        <f t="shared" si="2"/>
        <v>1169896934</v>
      </c>
      <c r="K186" s="398"/>
    </row>
    <row r="187" spans="1:11" ht="12.75">
      <c r="A187" s="152"/>
      <c r="B187" s="152"/>
      <c r="C187" s="152"/>
      <c r="D187" s="152" t="s">
        <v>291</v>
      </c>
      <c r="E187" s="152" t="s">
        <v>292</v>
      </c>
      <c r="F187" s="153">
        <v>2940272</v>
      </c>
      <c r="G187" s="153">
        <v>0</v>
      </c>
      <c r="H187" s="153">
        <v>0</v>
      </c>
      <c r="I187" s="153">
        <v>0</v>
      </c>
      <c r="J187" s="154">
        <f t="shared" si="2"/>
        <v>2940272</v>
      </c>
      <c r="K187" s="397"/>
    </row>
    <row r="188" spans="1:11" ht="12.75" customHeight="1" hidden="1">
      <c r="A188" s="138"/>
      <c r="B188" s="138"/>
      <c r="C188" s="138" t="s">
        <v>293</v>
      </c>
      <c r="D188" s="138" t="s">
        <v>568</v>
      </c>
      <c r="E188" s="138"/>
      <c r="F188" s="139">
        <v>0</v>
      </c>
      <c r="G188" s="139">
        <v>0</v>
      </c>
      <c r="H188" s="139">
        <v>0</v>
      </c>
      <c r="I188" s="139">
        <v>0</v>
      </c>
      <c r="J188" s="140">
        <f t="shared" si="2"/>
        <v>0</v>
      </c>
      <c r="K188" s="395"/>
    </row>
    <row r="189" spans="1:11" ht="12.75" customHeight="1" hidden="1">
      <c r="A189" s="138"/>
      <c r="B189" s="138"/>
      <c r="C189" s="138" t="s">
        <v>294</v>
      </c>
      <c r="D189" s="138" t="s">
        <v>569</v>
      </c>
      <c r="E189" s="138"/>
      <c r="F189" s="139">
        <v>0</v>
      </c>
      <c r="G189" s="139">
        <v>0</v>
      </c>
      <c r="H189" s="139">
        <v>0</v>
      </c>
      <c r="I189" s="139">
        <v>0</v>
      </c>
      <c r="J189" s="140">
        <f t="shared" si="2"/>
        <v>0</v>
      </c>
      <c r="K189" s="395"/>
    </row>
    <row r="190" spans="1:11" ht="12.75" customHeight="1" hidden="1">
      <c r="A190" s="138"/>
      <c r="B190" s="138"/>
      <c r="C190" s="138" t="s">
        <v>295</v>
      </c>
      <c r="D190" s="138" t="s">
        <v>296</v>
      </c>
      <c r="E190" s="138"/>
      <c r="F190" s="139">
        <v>0</v>
      </c>
      <c r="G190" s="139">
        <v>0</v>
      </c>
      <c r="H190" s="139">
        <v>0</v>
      </c>
      <c r="I190" s="139">
        <v>0</v>
      </c>
      <c r="J190" s="140">
        <f t="shared" si="2"/>
        <v>0</v>
      </c>
      <c r="K190" s="395"/>
    </row>
    <row r="191" spans="1:11" ht="12.75" customHeight="1" hidden="1">
      <c r="A191" s="138"/>
      <c r="B191" s="138"/>
      <c r="C191" s="138" t="s">
        <v>297</v>
      </c>
      <c r="D191" s="138" t="s">
        <v>530</v>
      </c>
      <c r="E191" s="138"/>
      <c r="F191" s="139">
        <v>0</v>
      </c>
      <c r="G191" s="139">
        <v>0</v>
      </c>
      <c r="H191" s="139">
        <v>0</v>
      </c>
      <c r="I191" s="139">
        <v>0</v>
      </c>
      <c r="J191" s="140">
        <f t="shared" si="2"/>
        <v>0</v>
      </c>
      <c r="K191" s="395"/>
    </row>
    <row r="192" spans="1:11" ht="12.75" customHeight="1" hidden="1">
      <c r="A192" s="138"/>
      <c r="B192" s="138"/>
      <c r="C192" s="138" t="s">
        <v>298</v>
      </c>
      <c r="D192" s="138" t="s">
        <v>299</v>
      </c>
      <c r="E192" s="138"/>
      <c r="F192" s="139">
        <v>0</v>
      </c>
      <c r="G192" s="139">
        <v>0</v>
      </c>
      <c r="H192" s="139">
        <v>0</v>
      </c>
      <c r="I192" s="139">
        <v>0</v>
      </c>
      <c r="J192" s="140">
        <f t="shared" si="2"/>
        <v>0</v>
      </c>
      <c r="K192" s="395"/>
    </row>
    <row r="193" spans="1:11" ht="12.75" customHeight="1" hidden="1">
      <c r="A193" s="138"/>
      <c r="B193" s="138"/>
      <c r="C193" s="138" t="s">
        <v>531</v>
      </c>
      <c r="D193" s="138" t="s">
        <v>532</v>
      </c>
      <c r="E193" s="138"/>
      <c r="F193" s="139">
        <v>0</v>
      </c>
      <c r="G193" s="139">
        <v>0</v>
      </c>
      <c r="H193" s="139">
        <v>0</v>
      </c>
      <c r="I193" s="139">
        <v>0</v>
      </c>
      <c r="J193" s="140">
        <f t="shared" si="2"/>
        <v>0</v>
      </c>
      <c r="K193" s="395"/>
    </row>
    <row r="194" spans="1:11" ht="12.75" customHeight="1" hidden="1">
      <c r="A194" s="138"/>
      <c r="B194" s="138"/>
      <c r="C194" s="138"/>
      <c r="D194" s="152" t="s">
        <v>533</v>
      </c>
      <c r="E194" s="152" t="s">
        <v>534</v>
      </c>
      <c r="F194" s="157">
        <v>0</v>
      </c>
      <c r="G194" s="157">
        <v>0</v>
      </c>
      <c r="H194" s="157">
        <v>0</v>
      </c>
      <c r="I194" s="157">
        <v>0</v>
      </c>
      <c r="J194" s="140">
        <f t="shared" si="2"/>
        <v>0</v>
      </c>
      <c r="K194" s="395"/>
    </row>
    <row r="195" spans="1:11" ht="12.75" customHeight="1" hidden="1">
      <c r="A195" s="138"/>
      <c r="B195" s="138"/>
      <c r="C195" s="138"/>
      <c r="D195" s="152" t="s">
        <v>535</v>
      </c>
      <c r="E195" s="152" t="s">
        <v>536</v>
      </c>
      <c r="F195" s="157">
        <v>0</v>
      </c>
      <c r="G195" s="157">
        <v>0</v>
      </c>
      <c r="H195" s="157">
        <v>0</v>
      </c>
      <c r="I195" s="157">
        <v>0</v>
      </c>
      <c r="J195" s="140">
        <f t="shared" si="2"/>
        <v>0</v>
      </c>
      <c r="K195" s="395"/>
    </row>
    <row r="196" spans="1:11" ht="12.75">
      <c r="A196" s="142"/>
      <c r="B196" s="135" t="s">
        <v>300</v>
      </c>
      <c r="C196" s="630" t="s">
        <v>301</v>
      </c>
      <c r="D196" s="630"/>
      <c r="E196" s="630"/>
      <c r="F196" s="136">
        <v>0</v>
      </c>
      <c r="G196" s="136">
        <v>0</v>
      </c>
      <c r="H196" s="136">
        <v>0</v>
      </c>
      <c r="I196" s="136">
        <v>0</v>
      </c>
      <c r="J196" s="137">
        <f t="shared" si="2"/>
        <v>0</v>
      </c>
      <c r="K196" s="394"/>
    </row>
    <row r="197" spans="1:11" ht="12.75">
      <c r="A197" s="142"/>
      <c r="B197" s="135" t="s">
        <v>302</v>
      </c>
      <c r="C197" s="630" t="s">
        <v>303</v>
      </c>
      <c r="D197" s="630"/>
      <c r="E197" s="630"/>
      <c r="F197" s="136">
        <v>0</v>
      </c>
      <c r="G197" s="136">
        <v>0</v>
      </c>
      <c r="H197" s="136">
        <v>0</v>
      </c>
      <c r="I197" s="136">
        <v>0</v>
      </c>
      <c r="J197" s="137">
        <f t="shared" si="2"/>
        <v>0</v>
      </c>
      <c r="K197" s="394"/>
    </row>
    <row r="198" spans="1:11" ht="12.75">
      <c r="A198" s="142"/>
      <c r="B198" s="135" t="s">
        <v>537</v>
      </c>
      <c r="C198" s="630" t="s">
        <v>538</v>
      </c>
      <c r="D198" s="630"/>
      <c r="E198" s="630"/>
      <c r="F198" s="136">
        <v>0</v>
      </c>
      <c r="G198" s="136">
        <v>0</v>
      </c>
      <c r="H198" s="136">
        <v>0</v>
      </c>
      <c r="I198" s="136">
        <v>0</v>
      </c>
      <c r="J198" s="137">
        <f t="shared" si="2"/>
        <v>0</v>
      </c>
      <c r="K198" s="394"/>
    </row>
    <row r="199" spans="1:11" ht="12.75">
      <c r="A199" s="142"/>
      <c r="B199" s="142"/>
      <c r="C199" s="142"/>
      <c r="D199" s="142"/>
      <c r="E199" s="142"/>
      <c r="F199" s="160"/>
      <c r="G199" s="161"/>
      <c r="H199" s="161"/>
      <c r="I199" s="161"/>
      <c r="J199" s="160">
        <f t="shared" si="2"/>
        <v>0</v>
      </c>
      <c r="K199" s="399"/>
    </row>
    <row r="200" spans="1:11" s="163" customFormat="1" ht="15.75">
      <c r="A200" s="639" t="s">
        <v>411</v>
      </c>
      <c r="B200" s="639"/>
      <c r="C200" s="639"/>
      <c r="D200" s="639"/>
      <c r="E200" s="639"/>
      <c r="F200" s="162">
        <f>SUM(F172+F146+F130+F122+F86+F57+F40+F7)</f>
        <v>2541547956</v>
      </c>
      <c r="G200" s="162">
        <f>SUM(G172+G146+G130+G122+G86+G57+G40+G7)</f>
        <v>12751121</v>
      </c>
      <c r="H200" s="162">
        <f>SUM(H172+H146+H130+H122+H86+H57+H40+H7)</f>
        <v>46572069</v>
      </c>
      <c r="I200" s="162">
        <f>SUM(I172+I146+I130+I122+I86+I57+I40+I7)</f>
        <v>41903651</v>
      </c>
      <c r="J200" s="162">
        <f t="shared" si="2"/>
        <v>2642774797</v>
      </c>
      <c r="K200" s="400"/>
    </row>
    <row r="204" spans="2:3" ht="12.75">
      <c r="B204" s="620">
        <v>11</v>
      </c>
      <c r="C204" s="621" t="s">
        <v>1027</v>
      </c>
    </row>
    <row r="205" spans="2:3" ht="12.75">
      <c r="B205" s="621">
        <v>12</v>
      </c>
      <c r="C205" s="621" t="s">
        <v>1029</v>
      </c>
    </row>
  </sheetData>
  <sheetProtection/>
  <mergeCells count="54">
    <mergeCell ref="C197:E197"/>
    <mergeCell ref="C173:E173"/>
    <mergeCell ref="F1:J1"/>
    <mergeCell ref="B6:E6"/>
    <mergeCell ref="A2:J2"/>
    <mergeCell ref="C128:E128"/>
    <mergeCell ref="C42:E42"/>
    <mergeCell ref="C61:E61"/>
    <mergeCell ref="C64:E64"/>
    <mergeCell ref="C160:E160"/>
    <mergeCell ref="A200:E200"/>
    <mergeCell ref="C131:E131"/>
    <mergeCell ref="C134:E134"/>
    <mergeCell ref="C144:E144"/>
    <mergeCell ref="B146:E146"/>
    <mergeCell ref="C198:E198"/>
    <mergeCell ref="B172:E172"/>
    <mergeCell ref="C149:E149"/>
    <mergeCell ref="C150:E150"/>
    <mergeCell ref="C148:E148"/>
    <mergeCell ref="C147:E147"/>
    <mergeCell ref="C196:E196"/>
    <mergeCell ref="C132:E132"/>
    <mergeCell ref="C133:E133"/>
    <mergeCell ref="C43:E43"/>
    <mergeCell ref="C41:E41"/>
    <mergeCell ref="D119:E119"/>
    <mergeCell ref="B122:E122"/>
    <mergeCell ref="C44:E44"/>
    <mergeCell ref="D112:E112"/>
    <mergeCell ref="B57:E57"/>
    <mergeCell ref="D107:E107"/>
    <mergeCell ref="C60:E60"/>
    <mergeCell ref="D104:E104"/>
    <mergeCell ref="C58:E58"/>
    <mergeCell ref="C75:E75"/>
    <mergeCell ref="B86:E86"/>
    <mergeCell ref="C59:E59"/>
    <mergeCell ref="B130:E130"/>
    <mergeCell ref="C125:E125"/>
    <mergeCell ref="C127:E127"/>
    <mergeCell ref="D111:E111"/>
    <mergeCell ref="C129:E129"/>
    <mergeCell ref="C123:E123"/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</mergeCells>
  <printOptions horizontalCentered="1"/>
  <pageMargins left="0.5118110236220472" right="0.5118110236220472" top="0.8661417322834646" bottom="0.8661417322834646" header="0.31496062992125984" footer="0.31496062992125984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4"/>
  <sheetViews>
    <sheetView zoomScalePageLayoutView="0" workbookViewId="0" topLeftCell="A1">
      <selection activeCell="A53" sqref="A53:C54"/>
    </sheetView>
  </sheetViews>
  <sheetFormatPr defaultColWidth="9.00390625" defaultRowHeight="12.75"/>
  <cols>
    <col min="1" max="1" width="4.125" style="39" bestFit="1" customWidth="1"/>
    <col min="2" max="2" width="2.375" style="26" customWidth="1"/>
    <col min="3" max="3" width="66.625" style="26" customWidth="1"/>
    <col min="4" max="4" width="16.625" style="26" bestFit="1" customWidth="1"/>
  </cols>
  <sheetData>
    <row r="1" spans="1:5" s="26" customFormat="1" ht="15">
      <c r="A1" s="39"/>
      <c r="C1" s="671" t="s">
        <v>1140</v>
      </c>
      <c r="D1" s="799"/>
      <c r="E1" s="35"/>
    </row>
    <row r="2" spans="3:4" ht="15">
      <c r="C2" s="2"/>
      <c r="D2" s="35"/>
    </row>
    <row r="3" spans="2:4" ht="14.25">
      <c r="B3" s="802" t="s">
        <v>341</v>
      </c>
      <c r="C3" s="802"/>
      <c r="D3" s="802"/>
    </row>
    <row r="4" spans="2:4" ht="14.25">
      <c r="B4" s="802" t="s">
        <v>416</v>
      </c>
      <c r="C4" s="802"/>
      <c r="D4" s="802"/>
    </row>
    <row r="5" spans="2:4" ht="14.25">
      <c r="B5" s="28"/>
      <c r="C5" s="28"/>
      <c r="D5" s="28"/>
    </row>
    <row r="6" ht="15">
      <c r="D6" s="27"/>
    </row>
    <row r="7" spans="1:4" ht="14.25">
      <c r="A7" s="803" t="s">
        <v>405</v>
      </c>
      <c r="B7" s="805" t="s">
        <v>326</v>
      </c>
      <c r="C7" s="805"/>
      <c r="D7" s="41" t="s">
        <v>339</v>
      </c>
    </row>
    <row r="8" spans="1:4" ht="12.75">
      <c r="A8" s="804"/>
      <c r="B8" s="806" t="s">
        <v>399</v>
      </c>
      <c r="C8" s="807"/>
      <c r="D8" s="40" t="s">
        <v>400</v>
      </c>
    </row>
    <row r="9" spans="1:4" ht="14.25">
      <c r="A9" s="40">
        <v>1</v>
      </c>
      <c r="B9" s="30" t="s">
        <v>352</v>
      </c>
      <c r="C9" s="29"/>
      <c r="D9" s="44"/>
    </row>
    <row r="10" spans="1:4" ht="15">
      <c r="A10" s="40">
        <v>2</v>
      </c>
      <c r="B10" s="1264" t="s">
        <v>340</v>
      </c>
      <c r="C10" s="38" t="s">
        <v>398</v>
      </c>
      <c r="D10" s="100">
        <v>1000000</v>
      </c>
    </row>
    <row r="11" spans="1:4" ht="30">
      <c r="A11" s="40">
        <v>3</v>
      </c>
      <c r="B11" s="1264" t="s">
        <v>340</v>
      </c>
      <c r="C11" s="38" t="s">
        <v>1020</v>
      </c>
      <c r="D11" s="619">
        <v>-180000</v>
      </c>
    </row>
    <row r="12" spans="1:4" ht="15">
      <c r="A12" s="40">
        <v>4</v>
      </c>
      <c r="B12" s="1264" t="s">
        <v>340</v>
      </c>
      <c r="C12" s="38" t="s">
        <v>1021</v>
      </c>
      <c r="D12" s="619">
        <v>-220000</v>
      </c>
    </row>
    <row r="13" spans="1:4" ht="30">
      <c r="A13" s="40">
        <v>5</v>
      </c>
      <c r="B13" s="1264" t="s">
        <v>340</v>
      </c>
      <c r="C13" s="38" t="s">
        <v>1137</v>
      </c>
      <c r="D13" s="619">
        <v>-512000</v>
      </c>
    </row>
    <row r="14" spans="1:4" ht="14.25">
      <c r="A14" s="40">
        <v>6</v>
      </c>
      <c r="B14" s="30" t="s">
        <v>329</v>
      </c>
      <c r="C14" s="30"/>
      <c r="D14" s="101">
        <f>SUM(D10:D13)</f>
        <v>88000</v>
      </c>
    </row>
    <row r="15" spans="1:4" ht="14.25">
      <c r="A15" s="43"/>
      <c r="B15" s="42"/>
      <c r="C15" s="42"/>
      <c r="D15" s="44"/>
    </row>
    <row r="16" spans="1:4" ht="14.25">
      <c r="A16" s="40">
        <v>7</v>
      </c>
      <c r="B16" s="801" t="s">
        <v>351</v>
      </c>
      <c r="C16" s="801"/>
      <c r="D16" s="801"/>
    </row>
    <row r="17" spans="1:4" ht="15">
      <c r="A17" s="40">
        <v>8</v>
      </c>
      <c r="B17" s="1264" t="s">
        <v>340</v>
      </c>
      <c r="C17" s="38" t="s">
        <v>814</v>
      </c>
      <c r="D17" s="100">
        <v>350000</v>
      </c>
    </row>
    <row r="18" spans="1:4" ht="15">
      <c r="A18" s="40">
        <v>9</v>
      </c>
      <c r="B18" s="1264" t="s">
        <v>340</v>
      </c>
      <c r="C18" s="38" t="s">
        <v>1012</v>
      </c>
      <c r="D18" s="100">
        <v>926229</v>
      </c>
    </row>
    <row r="19" spans="1:4" ht="15">
      <c r="A19" s="40">
        <v>10</v>
      </c>
      <c r="B19" s="616"/>
      <c r="C19" s="617" t="s">
        <v>1013</v>
      </c>
      <c r="D19" s="618">
        <f>SUM(D17:D18)</f>
        <v>1276229</v>
      </c>
    </row>
    <row r="20" spans="1:4" ht="15">
      <c r="A20" s="40">
        <v>11</v>
      </c>
      <c r="B20" s="1264" t="s">
        <v>340</v>
      </c>
      <c r="C20" s="38" t="s">
        <v>1138</v>
      </c>
      <c r="D20" s="100">
        <v>200000</v>
      </c>
    </row>
    <row r="21" spans="1:4" ht="30">
      <c r="A21" s="40">
        <v>12</v>
      </c>
      <c r="B21" s="1264" t="s">
        <v>340</v>
      </c>
      <c r="C21" s="38" t="s">
        <v>1139</v>
      </c>
      <c r="D21" s="619">
        <v>-200000</v>
      </c>
    </row>
    <row r="22" spans="1:4" ht="30">
      <c r="A22" s="40">
        <v>13</v>
      </c>
      <c r="B22" s="616"/>
      <c r="C22" s="617" t="s">
        <v>1015</v>
      </c>
      <c r="D22" s="618">
        <f>SUM(D20:D21)</f>
        <v>0</v>
      </c>
    </row>
    <row r="23" spans="1:4" ht="15">
      <c r="A23" s="40">
        <v>14</v>
      </c>
      <c r="B23" s="1264" t="s">
        <v>340</v>
      </c>
      <c r="C23" s="38" t="s">
        <v>1022</v>
      </c>
      <c r="D23" s="100">
        <v>2036448</v>
      </c>
    </row>
    <row r="24" spans="1:4" ht="30">
      <c r="A24" s="40">
        <v>15</v>
      </c>
      <c r="B24" s="616"/>
      <c r="C24" s="617" t="s">
        <v>1023</v>
      </c>
      <c r="D24" s="618">
        <f>SUM(D23)</f>
        <v>2036448</v>
      </c>
    </row>
    <row r="25" spans="1:4" ht="15">
      <c r="A25" s="40">
        <v>16</v>
      </c>
      <c r="B25" s="1264" t="s">
        <v>340</v>
      </c>
      <c r="C25" s="38" t="s">
        <v>1024</v>
      </c>
      <c r="D25" s="100">
        <v>8004000</v>
      </c>
    </row>
    <row r="26" spans="1:4" ht="15">
      <c r="A26" s="40">
        <v>17</v>
      </c>
      <c r="B26" s="1264" t="s">
        <v>340</v>
      </c>
      <c r="C26" s="38" t="s">
        <v>1025</v>
      </c>
      <c r="D26" s="619">
        <v>-8004000</v>
      </c>
    </row>
    <row r="27" spans="1:4" ht="15">
      <c r="A27" s="40">
        <v>18</v>
      </c>
      <c r="B27" s="616"/>
      <c r="C27" s="617" t="s">
        <v>1026</v>
      </c>
      <c r="D27" s="618">
        <f>SUM(D25:D26)</f>
        <v>0</v>
      </c>
    </row>
    <row r="28" spans="1:4" ht="14.25">
      <c r="A28" s="40">
        <v>19</v>
      </c>
      <c r="B28" s="30" t="s">
        <v>1014</v>
      </c>
      <c r="C28" s="30"/>
      <c r="D28" s="101">
        <f>SUM(D19+D22+D24+D27)</f>
        <v>3312677</v>
      </c>
    </row>
    <row r="29" spans="1:4" ht="14.25">
      <c r="A29" s="43"/>
      <c r="B29" s="42"/>
      <c r="C29" s="42"/>
      <c r="D29" s="44"/>
    </row>
    <row r="30" spans="1:4" ht="14.25">
      <c r="A30" s="40">
        <v>20</v>
      </c>
      <c r="B30" s="30" t="s">
        <v>601</v>
      </c>
      <c r="C30" s="29"/>
      <c r="D30" s="44"/>
    </row>
    <row r="31" spans="1:4" ht="15">
      <c r="A31" s="40">
        <v>21</v>
      </c>
      <c r="B31" s="1264" t="s">
        <v>340</v>
      </c>
      <c r="C31" s="38" t="s">
        <v>600</v>
      </c>
      <c r="D31" s="100">
        <v>1000000</v>
      </c>
    </row>
    <row r="32" spans="1:4" ht="30">
      <c r="A32" s="40">
        <v>22</v>
      </c>
      <c r="B32" s="1264" t="s">
        <v>340</v>
      </c>
      <c r="C32" s="38" t="s">
        <v>1019</v>
      </c>
      <c r="D32" s="619">
        <v>-1000000</v>
      </c>
    </row>
    <row r="33" spans="1:4" ht="14.25">
      <c r="A33" s="40">
        <v>23</v>
      </c>
      <c r="B33" s="30" t="s">
        <v>329</v>
      </c>
      <c r="C33" s="30"/>
      <c r="D33" s="101">
        <f>SUM(D31:D32)</f>
        <v>0</v>
      </c>
    </row>
    <row r="34" spans="1:4" ht="14.25">
      <c r="A34" s="40"/>
      <c r="B34" s="30"/>
      <c r="C34" s="30"/>
      <c r="D34" s="101"/>
    </row>
    <row r="35" spans="1:4" ht="14.25">
      <c r="A35" s="40">
        <v>24</v>
      </c>
      <c r="B35" s="801" t="s">
        <v>976</v>
      </c>
      <c r="C35" s="801"/>
      <c r="D35" s="801"/>
    </row>
    <row r="36" spans="1:4" ht="15">
      <c r="A36" s="40">
        <v>25</v>
      </c>
      <c r="B36" s="1264" t="s">
        <v>340</v>
      </c>
      <c r="C36" s="38" t="s">
        <v>1016</v>
      </c>
      <c r="D36" s="100">
        <v>102149616</v>
      </c>
    </row>
    <row r="37" spans="1:4" ht="15">
      <c r="A37" s="40">
        <v>26</v>
      </c>
      <c r="B37" s="1264" t="s">
        <v>340</v>
      </c>
      <c r="C37" s="38" t="s">
        <v>1017</v>
      </c>
      <c r="D37" s="619">
        <v>-102149616</v>
      </c>
    </row>
    <row r="38" spans="1:4" ht="14.25">
      <c r="A38" s="40">
        <v>27</v>
      </c>
      <c r="B38" s="30" t="s">
        <v>329</v>
      </c>
      <c r="C38" s="30"/>
      <c r="D38" s="101">
        <f>SUM(D36:D37)</f>
        <v>0</v>
      </c>
    </row>
    <row r="39" spans="1:4" ht="14.25">
      <c r="A39" s="40"/>
      <c r="B39" s="30"/>
      <c r="C39" s="30"/>
      <c r="D39" s="101"/>
    </row>
    <row r="40" spans="1:4" ht="14.25">
      <c r="A40" s="40">
        <v>28</v>
      </c>
      <c r="B40" s="801" t="s">
        <v>977</v>
      </c>
      <c r="C40" s="801"/>
      <c r="D40" s="801"/>
    </row>
    <row r="41" spans="1:4" ht="15">
      <c r="A41" s="40">
        <v>29</v>
      </c>
      <c r="B41" s="1264" t="s">
        <v>340</v>
      </c>
      <c r="C41" s="38" t="s">
        <v>1018</v>
      </c>
      <c r="D41" s="100">
        <v>2940272</v>
      </c>
    </row>
    <row r="42" spans="1:4" ht="15">
      <c r="A42" s="40">
        <v>30</v>
      </c>
      <c r="B42" s="1264" t="s">
        <v>340</v>
      </c>
      <c r="C42" s="38" t="s">
        <v>1017</v>
      </c>
      <c r="D42" s="619">
        <v>-2940272</v>
      </c>
    </row>
    <row r="43" spans="1:4" ht="14.25">
      <c r="A43" s="40">
        <v>31</v>
      </c>
      <c r="B43" s="30" t="s">
        <v>329</v>
      </c>
      <c r="C43" s="30"/>
      <c r="D43" s="101">
        <f>SUM(D41:D42)</f>
        <v>0</v>
      </c>
    </row>
    <row r="44" spans="1:4" ht="14.25">
      <c r="A44" s="40"/>
      <c r="B44" s="30"/>
      <c r="C44" s="30"/>
      <c r="D44" s="30"/>
    </row>
    <row r="45" spans="1:4" ht="14.25">
      <c r="A45" s="40">
        <v>32</v>
      </c>
      <c r="B45" s="30" t="s">
        <v>354</v>
      </c>
      <c r="C45" s="30"/>
      <c r="D45" s="101">
        <f>SUM(D14,D28,D38,D43,D33)</f>
        <v>3400677</v>
      </c>
    </row>
    <row r="46" spans="1:4" ht="13.5" customHeight="1">
      <c r="A46" s="40"/>
      <c r="B46" s="30"/>
      <c r="C46" s="30"/>
      <c r="D46" s="30"/>
    </row>
    <row r="47" spans="1:4" ht="14.25">
      <c r="A47" s="40">
        <v>33</v>
      </c>
      <c r="B47" s="801" t="s">
        <v>336</v>
      </c>
      <c r="C47" s="801"/>
      <c r="D47" s="801"/>
    </row>
    <row r="48" spans="1:4" ht="15">
      <c r="A48" s="40"/>
      <c r="B48" s="608"/>
      <c r="C48" s="38"/>
      <c r="D48" s="100"/>
    </row>
    <row r="49" spans="1:4" ht="14.25">
      <c r="A49" s="40">
        <v>34</v>
      </c>
      <c r="B49" s="30" t="s">
        <v>355</v>
      </c>
      <c r="C49" s="30"/>
      <c r="D49" s="101">
        <f>SUM(D48:D48)</f>
        <v>0</v>
      </c>
    </row>
    <row r="50" spans="1:4" ht="14.25">
      <c r="A50" s="43"/>
      <c r="B50" s="42"/>
      <c r="C50" s="42"/>
      <c r="D50" s="44"/>
    </row>
    <row r="51" spans="1:4" ht="14.25">
      <c r="A51" s="40">
        <v>35</v>
      </c>
      <c r="B51" s="30" t="s">
        <v>353</v>
      </c>
      <c r="C51" s="30"/>
      <c r="D51" s="101">
        <f>SUM(D49,D45)</f>
        <v>3400677</v>
      </c>
    </row>
    <row r="53" spans="1:3" ht="15">
      <c r="A53" s="620">
        <v>29</v>
      </c>
      <c r="B53" s="621" t="s">
        <v>1028</v>
      </c>
      <c r="C53" s="24"/>
    </row>
    <row r="54" spans="1:2" ht="15">
      <c r="A54" s="1300">
        <v>30</v>
      </c>
      <c r="B54" s="621" t="s">
        <v>1029</v>
      </c>
    </row>
  </sheetData>
  <sheetProtection/>
  <mergeCells count="10">
    <mergeCell ref="B16:D16"/>
    <mergeCell ref="B35:D35"/>
    <mergeCell ref="B40:D40"/>
    <mergeCell ref="B47:D47"/>
    <mergeCell ref="C1:D1"/>
    <mergeCell ref="B3:D3"/>
    <mergeCell ref="B4:D4"/>
    <mergeCell ref="A7:A8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8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5.125" style="22" bestFit="1" customWidth="1"/>
    <col min="2" max="2" width="8.875" style="18" customWidth="1"/>
    <col min="3" max="3" width="69.25390625" style="18" customWidth="1"/>
    <col min="4" max="4" width="9.75390625" style="18" bestFit="1" customWidth="1"/>
    <col min="5" max="5" width="10.375" style="18" bestFit="1" customWidth="1"/>
    <col min="6" max="6" width="16.125" style="18" bestFit="1" customWidth="1"/>
    <col min="7" max="7" width="9.75390625" style="18" bestFit="1" customWidth="1"/>
    <col min="8" max="8" width="11.25390625" style="18" customWidth="1"/>
    <col min="9" max="9" width="9.625" style="18" customWidth="1"/>
    <col min="10" max="10" width="11.25390625" style="18" customWidth="1"/>
    <col min="11" max="12" width="16.125" style="18" bestFit="1" customWidth="1"/>
    <col min="13" max="13" width="9.125" style="18" customWidth="1"/>
    <col min="14" max="14" width="12.375" style="18" bestFit="1" customWidth="1"/>
    <col min="15" max="16384" width="9.125" style="18" customWidth="1"/>
  </cols>
  <sheetData>
    <row r="1" spans="9:13" ht="15" customHeight="1">
      <c r="I1" s="354" t="s">
        <v>1145</v>
      </c>
      <c r="J1" s="99"/>
      <c r="K1" s="99"/>
      <c r="L1" s="353"/>
      <c r="M1" s="99"/>
    </row>
    <row r="2" spans="1:256" ht="15.75">
      <c r="A2" s="817" t="s">
        <v>787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>
      <c r="A3" s="818" t="s">
        <v>788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ht="13.5" thickBot="1"/>
    <row r="5" spans="1:256" ht="28.5" customHeight="1">
      <c r="A5" s="819" t="s">
        <v>420</v>
      </c>
      <c r="B5" s="819"/>
      <c r="C5" s="820"/>
      <c r="D5" s="821" t="s">
        <v>413</v>
      </c>
      <c r="E5" s="819"/>
      <c r="F5" s="822"/>
      <c r="G5" s="823" t="s">
        <v>547</v>
      </c>
      <c r="H5" s="824"/>
      <c r="I5" s="824"/>
      <c r="J5" s="825"/>
      <c r="K5" s="826"/>
      <c r="L5" s="812" t="s">
        <v>331</v>
      </c>
      <c r="M5" s="15"/>
      <c r="N5" s="15" t="s">
        <v>448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25.5">
      <c r="A6" s="814" t="s">
        <v>421</v>
      </c>
      <c r="B6" s="815"/>
      <c r="C6" s="10" t="s">
        <v>422</v>
      </c>
      <c r="D6" s="11" t="s">
        <v>423</v>
      </c>
      <c r="E6" s="13" t="s">
        <v>424</v>
      </c>
      <c r="F6" s="14" t="s">
        <v>447</v>
      </c>
      <c r="G6" s="11" t="s">
        <v>425</v>
      </c>
      <c r="H6" s="12" t="s">
        <v>432</v>
      </c>
      <c r="I6" s="12" t="s">
        <v>426</v>
      </c>
      <c r="J6" s="12" t="s">
        <v>432</v>
      </c>
      <c r="K6" s="14" t="s">
        <v>595</v>
      </c>
      <c r="L6" s="81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2.75">
      <c r="A7" s="816" t="s">
        <v>399</v>
      </c>
      <c r="B7" s="816"/>
      <c r="C7" s="47" t="s">
        <v>400</v>
      </c>
      <c r="D7" s="48" t="s">
        <v>401</v>
      </c>
      <c r="E7" s="49" t="s">
        <v>402</v>
      </c>
      <c r="F7" s="50" t="s">
        <v>403</v>
      </c>
      <c r="G7" s="48" t="s">
        <v>404</v>
      </c>
      <c r="H7" s="51" t="s">
        <v>406</v>
      </c>
      <c r="I7" s="51" t="s">
        <v>407</v>
      </c>
      <c r="J7" s="51" t="s">
        <v>357</v>
      </c>
      <c r="K7" s="50" t="s">
        <v>358</v>
      </c>
      <c r="L7" s="84" t="s">
        <v>359</v>
      </c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2.75">
      <c r="A8" s="66" t="s">
        <v>435</v>
      </c>
      <c r="B8" s="67"/>
      <c r="C8" s="68" t="s">
        <v>445</v>
      </c>
      <c r="D8" s="69"/>
      <c r="E8" s="70"/>
      <c r="F8" s="71">
        <f>F9+F10+F15+F16+F17+F18</f>
        <v>191481682</v>
      </c>
      <c r="G8" s="69"/>
      <c r="H8" s="72"/>
      <c r="I8" s="72"/>
      <c r="J8" s="70"/>
      <c r="K8" s="71"/>
      <c r="L8" s="85">
        <f aca="true" t="shared" si="0" ref="L8:L14">F8+K8</f>
        <v>191481682</v>
      </c>
      <c r="M8" s="63"/>
      <c r="N8" s="87">
        <f>SUM(N9:N18)</f>
        <v>191481682</v>
      </c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ht="12.75">
      <c r="A9" s="57"/>
      <c r="B9" s="58" t="s">
        <v>487</v>
      </c>
      <c r="C9" s="59" t="s">
        <v>433</v>
      </c>
      <c r="D9" s="355">
        <v>26.16</v>
      </c>
      <c r="E9" s="356">
        <v>4580000</v>
      </c>
      <c r="F9" s="357">
        <f>D9*E9+3401000</f>
        <v>123213800</v>
      </c>
      <c r="G9" s="358"/>
      <c r="H9" s="359"/>
      <c r="I9" s="359"/>
      <c r="J9" s="356"/>
      <c r="K9" s="357"/>
      <c r="L9" s="360">
        <f t="shared" si="0"/>
        <v>123213800</v>
      </c>
      <c r="M9" s="60"/>
      <c r="N9" s="17">
        <f>SUM(L9)</f>
        <v>123213800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2.75">
      <c r="A10" s="57"/>
      <c r="B10" s="58" t="s">
        <v>488</v>
      </c>
      <c r="C10" s="59" t="s">
        <v>789</v>
      </c>
      <c r="D10" s="358"/>
      <c r="E10" s="356"/>
      <c r="F10" s="357">
        <f>SUM(F11:F14)</f>
        <v>63536320</v>
      </c>
      <c r="G10" s="358"/>
      <c r="H10" s="359"/>
      <c r="I10" s="359"/>
      <c r="J10" s="356"/>
      <c r="K10" s="357"/>
      <c r="L10" s="360">
        <f t="shared" si="0"/>
        <v>63536320</v>
      </c>
      <c r="M10" s="60"/>
      <c r="N10" s="17">
        <f>SUM(L11:L14)</f>
        <v>63536320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14" ht="12.75">
      <c r="A11" s="16"/>
      <c r="B11" s="1301" t="s">
        <v>489</v>
      </c>
      <c r="C11" s="1302" t="s">
        <v>790</v>
      </c>
      <c r="D11" s="361"/>
      <c r="E11" s="362"/>
      <c r="F11" s="363">
        <v>18207950</v>
      </c>
      <c r="G11" s="361"/>
      <c r="H11" s="364"/>
      <c r="I11" s="364"/>
      <c r="J11" s="362"/>
      <c r="K11" s="363"/>
      <c r="L11" s="365">
        <f t="shared" si="0"/>
        <v>18207950</v>
      </c>
      <c r="M11" s="17"/>
      <c r="N11" s="17"/>
    </row>
    <row r="12" spans="1:14" ht="12.75">
      <c r="A12" s="16"/>
      <c r="B12" s="1301" t="s">
        <v>490</v>
      </c>
      <c r="C12" s="1302" t="s">
        <v>791</v>
      </c>
      <c r="D12" s="361"/>
      <c r="E12" s="362"/>
      <c r="F12" s="363">
        <v>30176000</v>
      </c>
      <c r="G12" s="361"/>
      <c r="H12" s="364"/>
      <c r="I12" s="364"/>
      <c r="J12" s="362"/>
      <c r="K12" s="363"/>
      <c r="L12" s="365">
        <f t="shared" si="0"/>
        <v>30176000</v>
      </c>
      <c r="M12" s="17"/>
      <c r="N12" s="17"/>
    </row>
    <row r="13" spans="1:14" ht="12.75">
      <c r="A13" s="16"/>
      <c r="B13" s="1301" t="s">
        <v>491</v>
      </c>
      <c r="C13" s="1302" t="s">
        <v>792</v>
      </c>
      <c r="D13" s="361"/>
      <c r="E13" s="362"/>
      <c r="F13" s="363">
        <v>100000</v>
      </c>
      <c r="G13" s="361"/>
      <c r="H13" s="364"/>
      <c r="I13" s="364"/>
      <c r="J13" s="362"/>
      <c r="K13" s="363"/>
      <c r="L13" s="365">
        <f t="shared" si="0"/>
        <v>100000</v>
      </c>
      <c r="M13" s="17"/>
      <c r="N13" s="17"/>
    </row>
    <row r="14" spans="1:14" ht="12.75">
      <c r="A14" s="16"/>
      <c r="B14" s="1301" t="s">
        <v>492</v>
      </c>
      <c r="C14" s="1302" t="s">
        <v>793</v>
      </c>
      <c r="D14" s="361"/>
      <c r="E14" s="362"/>
      <c r="F14" s="363">
        <v>15052370</v>
      </c>
      <c r="G14" s="361"/>
      <c r="H14" s="364"/>
      <c r="I14" s="364"/>
      <c r="J14" s="362"/>
      <c r="K14" s="363"/>
      <c r="L14" s="365">
        <f t="shared" si="0"/>
        <v>15052370</v>
      </c>
      <c r="M14" s="17"/>
      <c r="N14" s="17"/>
    </row>
    <row r="15" spans="1:256" ht="12.75">
      <c r="A15" s="57"/>
      <c r="B15" s="58" t="s">
        <v>493</v>
      </c>
      <c r="C15" s="62" t="s">
        <v>808</v>
      </c>
      <c r="D15" s="358">
        <v>8684</v>
      </c>
      <c r="E15" s="356">
        <v>2700</v>
      </c>
      <c r="F15" s="357">
        <v>1670980</v>
      </c>
      <c r="G15" s="358"/>
      <c r="H15" s="359"/>
      <c r="I15" s="359"/>
      <c r="J15" s="356"/>
      <c r="K15" s="357"/>
      <c r="L15" s="360">
        <f>F15+K15</f>
        <v>1670980</v>
      </c>
      <c r="M15" s="60"/>
      <c r="N15" s="17">
        <f>SUM(L15)</f>
        <v>1670980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12.75">
      <c r="A16" s="57"/>
      <c r="B16" s="58" t="s">
        <v>494</v>
      </c>
      <c r="C16" s="62" t="s">
        <v>59</v>
      </c>
      <c r="D16" s="358">
        <v>276</v>
      </c>
      <c r="E16" s="356">
        <v>2550</v>
      </c>
      <c r="F16" s="357">
        <f>D16*E16</f>
        <v>703800</v>
      </c>
      <c r="G16" s="358"/>
      <c r="H16" s="359"/>
      <c r="I16" s="359"/>
      <c r="J16" s="356"/>
      <c r="K16" s="357"/>
      <c r="L16" s="360">
        <f>F16+K16</f>
        <v>703800</v>
      </c>
      <c r="M16" s="60"/>
      <c r="N16" s="17">
        <f>SUM(L16)</f>
        <v>703800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25.5">
      <c r="A17" s="57"/>
      <c r="B17" s="58" t="s">
        <v>704</v>
      </c>
      <c r="C17" s="59" t="s">
        <v>794</v>
      </c>
      <c r="D17" s="358"/>
      <c r="E17" s="356"/>
      <c r="F17" s="357">
        <f>593921+81261</f>
        <v>675182</v>
      </c>
      <c r="G17" s="358"/>
      <c r="H17" s="359"/>
      <c r="I17" s="359"/>
      <c r="J17" s="356"/>
      <c r="K17" s="357"/>
      <c r="L17" s="360">
        <f>F17+K17</f>
        <v>675182</v>
      </c>
      <c r="M17" s="60"/>
      <c r="N17" s="17">
        <f>SUM(L17)</f>
        <v>675182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2.75">
      <c r="A18" s="57"/>
      <c r="B18" s="58" t="s">
        <v>495</v>
      </c>
      <c r="C18" s="62" t="s">
        <v>705</v>
      </c>
      <c r="D18" s="358"/>
      <c r="E18" s="356"/>
      <c r="F18" s="357">
        <v>1681600</v>
      </c>
      <c r="G18" s="358"/>
      <c r="H18" s="359"/>
      <c r="I18" s="359"/>
      <c r="J18" s="356"/>
      <c r="K18" s="357"/>
      <c r="L18" s="360">
        <f>F18+K18</f>
        <v>1681600</v>
      </c>
      <c r="M18" s="60"/>
      <c r="N18" s="17">
        <f>SUM(L18)</f>
        <v>1681600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14" ht="25.5">
      <c r="A19" s="66" t="s">
        <v>434</v>
      </c>
      <c r="B19" s="73"/>
      <c r="C19" s="68" t="s">
        <v>80</v>
      </c>
      <c r="D19" s="366"/>
      <c r="E19" s="367"/>
      <c r="F19" s="71"/>
      <c r="G19" s="366"/>
      <c r="H19" s="368"/>
      <c r="I19" s="368"/>
      <c r="J19" s="367"/>
      <c r="K19" s="71">
        <f>K20+K23+K24+K25</f>
        <v>115198183.33333333</v>
      </c>
      <c r="L19" s="85">
        <f>F19+K19</f>
        <v>115198183.33333333</v>
      </c>
      <c r="M19" s="17"/>
      <c r="N19" s="86">
        <f>SUM(N23:N25,+N20)</f>
        <v>115198183.33333334</v>
      </c>
    </row>
    <row r="20" spans="1:256" ht="25.5">
      <c r="A20" s="65"/>
      <c r="B20" s="58" t="s">
        <v>436</v>
      </c>
      <c r="C20" s="59" t="s">
        <v>81</v>
      </c>
      <c r="D20" s="358"/>
      <c r="E20" s="356"/>
      <c r="F20" s="357"/>
      <c r="G20" s="358"/>
      <c r="H20" s="359"/>
      <c r="I20" s="359"/>
      <c r="J20" s="356"/>
      <c r="K20" s="357">
        <f>SUM(K21:K22)</f>
        <v>92409650</v>
      </c>
      <c r="L20" s="360">
        <f>SUM(K20,F20)</f>
        <v>92409650</v>
      </c>
      <c r="M20" s="60"/>
      <c r="N20" s="17">
        <f>SUM(L21:L22)</f>
        <v>92409650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14" ht="12.75">
      <c r="A21" s="16"/>
      <c r="B21" s="1301" t="s">
        <v>706</v>
      </c>
      <c r="C21" s="1302" t="s">
        <v>437</v>
      </c>
      <c r="D21" s="361"/>
      <c r="E21" s="362"/>
      <c r="F21" s="363"/>
      <c r="G21" s="369">
        <v>15.4</v>
      </c>
      <c r="H21" s="364">
        <v>4371500</v>
      </c>
      <c r="I21" s="370">
        <v>14.5</v>
      </c>
      <c r="J21" s="364">
        <v>4371500</v>
      </c>
      <c r="K21" s="363">
        <f>(G21*H21/12*8)+(I21*J21/12*4)+1568617</f>
        <v>67578267</v>
      </c>
      <c r="L21" s="365">
        <f aca="true" t="shared" si="1" ref="L21:L47">F21+K21</f>
        <v>67578267</v>
      </c>
      <c r="M21" s="17"/>
      <c r="N21" s="17"/>
    </row>
    <row r="22" spans="1:14" ht="25.5">
      <c r="A22" s="16"/>
      <c r="B22" s="1301" t="s">
        <v>707</v>
      </c>
      <c r="C22" s="1303" t="s">
        <v>549</v>
      </c>
      <c r="D22" s="361"/>
      <c r="E22" s="362"/>
      <c r="F22" s="363"/>
      <c r="G22" s="361">
        <v>11</v>
      </c>
      <c r="H22" s="364">
        <v>2205000</v>
      </c>
      <c r="I22" s="364">
        <v>11</v>
      </c>
      <c r="J22" s="362">
        <v>2205000</v>
      </c>
      <c r="K22" s="363">
        <f>(G22*H22/12*8)+(I22*J22/12*4)+576383</f>
        <v>24831383</v>
      </c>
      <c r="L22" s="365">
        <f t="shared" si="1"/>
        <v>24831383</v>
      </c>
      <c r="M22" s="17"/>
      <c r="N22" s="17"/>
    </row>
    <row r="23" spans="1:256" ht="12.75">
      <c r="A23" s="57"/>
      <c r="B23" s="58" t="s">
        <v>438</v>
      </c>
      <c r="C23" s="62" t="s">
        <v>439</v>
      </c>
      <c r="D23" s="358"/>
      <c r="E23" s="356"/>
      <c r="F23" s="357"/>
      <c r="G23" s="371">
        <v>175</v>
      </c>
      <c r="H23" s="359">
        <v>97400</v>
      </c>
      <c r="I23" s="372">
        <v>165</v>
      </c>
      <c r="J23" s="356">
        <v>97400</v>
      </c>
      <c r="K23" s="357">
        <f>(G23*H23/12*8)+(I23*J23/12*4)</f>
        <v>16720333.333333334</v>
      </c>
      <c r="L23" s="360">
        <f t="shared" si="1"/>
        <v>16720333.333333334</v>
      </c>
      <c r="M23" s="60"/>
      <c r="N23" s="17">
        <f>SUM(L23)</f>
        <v>16720333.333333334</v>
      </c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2.75">
      <c r="A24" s="57"/>
      <c r="B24" s="58" t="s">
        <v>596</v>
      </c>
      <c r="C24" s="62" t="s">
        <v>597</v>
      </c>
      <c r="D24" s="1304"/>
      <c r="E24" s="1305"/>
      <c r="F24" s="357"/>
      <c r="G24" s="371"/>
      <c r="H24" s="359"/>
      <c r="I24" s="372"/>
      <c r="J24" s="356"/>
      <c r="K24" s="357">
        <v>0</v>
      </c>
      <c r="L24" s="360">
        <f>F24+K24</f>
        <v>0</v>
      </c>
      <c r="M24" s="60"/>
      <c r="N24" s="17">
        <f>SUM(L24)</f>
        <v>0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25.5">
      <c r="A25" s="57"/>
      <c r="B25" s="58" t="s">
        <v>496</v>
      </c>
      <c r="C25" s="59" t="s">
        <v>497</v>
      </c>
      <c r="D25" s="358"/>
      <c r="E25" s="356"/>
      <c r="F25" s="357"/>
      <c r="G25" s="371"/>
      <c r="H25" s="359"/>
      <c r="I25" s="372"/>
      <c r="J25" s="356"/>
      <c r="K25" s="357">
        <f>SUM(K26:K29)</f>
        <v>6068200</v>
      </c>
      <c r="L25" s="360">
        <f>F25+K25</f>
        <v>6068200</v>
      </c>
      <c r="M25" s="60"/>
      <c r="N25" s="17">
        <f>SUM(L26:L29)</f>
        <v>6068200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14" ht="25.5">
      <c r="A26" s="16"/>
      <c r="B26" s="1301" t="s">
        <v>598</v>
      </c>
      <c r="C26" s="1303" t="s">
        <v>795</v>
      </c>
      <c r="D26" s="361"/>
      <c r="E26" s="362"/>
      <c r="F26" s="363"/>
      <c r="G26" s="361">
        <v>8</v>
      </c>
      <c r="H26" s="364">
        <v>396700</v>
      </c>
      <c r="I26" s="364"/>
      <c r="J26" s="362"/>
      <c r="K26" s="363">
        <f>G26*H26</f>
        <v>3173600</v>
      </c>
      <c r="L26" s="365">
        <f>SUM(K26)</f>
        <v>3173600</v>
      </c>
      <c r="M26" s="17"/>
      <c r="N26" s="17"/>
    </row>
    <row r="27" spans="1:14" ht="38.25">
      <c r="A27" s="16"/>
      <c r="B27" s="1301"/>
      <c r="C27" s="1303" t="s">
        <v>796</v>
      </c>
      <c r="D27" s="361"/>
      <c r="E27" s="362"/>
      <c r="F27" s="363"/>
      <c r="G27" s="361">
        <v>0</v>
      </c>
      <c r="H27" s="364">
        <v>363642</v>
      </c>
      <c r="I27" s="364"/>
      <c r="J27" s="362"/>
      <c r="K27" s="363">
        <f>G27*H27</f>
        <v>0</v>
      </c>
      <c r="L27" s="365">
        <f>SUM(K27)</f>
        <v>0</v>
      </c>
      <c r="M27" s="17"/>
      <c r="N27" s="17"/>
    </row>
    <row r="28" spans="1:14" ht="25.5">
      <c r="A28" s="16"/>
      <c r="B28" s="1301" t="s">
        <v>599</v>
      </c>
      <c r="C28" s="1303" t="s">
        <v>797</v>
      </c>
      <c r="D28" s="361"/>
      <c r="E28" s="362"/>
      <c r="F28" s="363"/>
      <c r="G28" s="361">
        <v>2</v>
      </c>
      <c r="H28" s="364">
        <v>1447300</v>
      </c>
      <c r="I28" s="364"/>
      <c r="J28" s="362"/>
      <c r="K28" s="363">
        <f>G28*H28</f>
        <v>2894600</v>
      </c>
      <c r="L28" s="365">
        <f>SUM(K28)</f>
        <v>2894600</v>
      </c>
      <c r="M28" s="17"/>
      <c r="N28" s="17"/>
    </row>
    <row r="29" spans="1:14" ht="38.25">
      <c r="A29" s="16"/>
      <c r="B29" s="1301"/>
      <c r="C29" s="1303" t="s">
        <v>798</v>
      </c>
      <c r="D29" s="361"/>
      <c r="E29" s="362"/>
      <c r="F29" s="363"/>
      <c r="G29" s="361">
        <v>0</v>
      </c>
      <c r="H29" s="364">
        <v>1326692</v>
      </c>
      <c r="I29" s="364"/>
      <c r="J29" s="362"/>
      <c r="K29" s="363">
        <f>G29*H29</f>
        <v>0</v>
      </c>
      <c r="L29" s="365">
        <f>SUM(K29)</f>
        <v>0</v>
      </c>
      <c r="M29" s="17"/>
      <c r="N29" s="17"/>
    </row>
    <row r="30" spans="1:256" ht="25.5">
      <c r="A30" s="66" t="s">
        <v>440</v>
      </c>
      <c r="B30" s="74"/>
      <c r="C30" s="68" t="s">
        <v>82</v>
      </c>
      <c r="D30" s="69"/>
      <c r="E30" s="70"/>
      <c r="F30" s="71">
        <f>SUM(F31:F33,F37,F41)</f>
        <v>122626901</v>
      </c>
      <c r="G30" s="373"/>
      <c r="H30" s="72"/>
      <c r="I30" s="374"/>
      <c r="J30" s="70"/>
      <c r="K30" s="71">
        <f>SUM(K31:K33,K37,K40,K41)</f>
        <v>54132235</v>
      </c>
      <c r="L30" s="71">
        <f>SUM(L31:L33,L37,L41)</f>
        <v>176759136</v>
      </c>
      <c r="M30" s="60"/>
      <c r="N30" s="86">
        <f>SUM(N31:N44)</f>
        <v>176759136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</row>
    <row r="31" spans="1:256" ht="12.75">
      <c r="A31" s="57"/>
      <c r="B31" s="58" t="s">
        <v>441</v>
      </c>
      <c r="C31" s="62" t="s">
        <v>799</v>
      </c>
      <c r="D31" s="358"/>
      <c r="E31" s="356"/>
      <c r="F31" s="357"/>
      <c r="G31" s="371"/>
      <c r="H31" s="359"/>
      <c r="I31" s="372"/>
      <c r="J31" s="356"/>
      <c r="K31" s="357">
        <v>10844656</v>
      </c>
      <c r="L31" s="360">
        <f t="shared" si="1"/>
        <v>10844656</v>
      </c>
      <c r="M31" s="60"/>
      <c r="N31" s="17">
        <f>SUM(L31)</f>
        <v>10844656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12.75">
      <c r="A32" s="57"/>
      <c r="B32" s="58" t="s">
        <v>442</v>
      </c>
      <c r="C32" s="62" t="s">
        <v>950</v>
      </c>
      <c r="D32" s="358"/>
      <c r="E32" s="356"/>
      <c r="F32" s="357">
        <v>49762591</v>
      </c>
      <c r="G32" s="371"/>
      <c r="H32" s="359"/>
      <c r="I32" s="372"/>
      <c r="J32" s="356"/>
      <c r="K32" s="357"/>
      <c r="L32" s="360">
        <f t="shared" si="1"/>
        <v>49762591</v>
      </c>
      <c r="M32" s="60"/>
      <c r="N32" s="17">
        <f>SUM(L32)</f>
        <v>49762591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ht="12.75">
      <c r="A33" s="57"/>
      <c r="B33" s="58" t="s">
        <v>443</v>
      </c>
      <c r="C33" s="62" t="s">
        <v>444</v>
      </c>
      <c r="D33" s="358"/>
      <c r="E33" s="356"/>
      <c r="F33" s="357">
        <f>SUM(F34:F35)</f>
        <v>0</v>
      </c>
      <c r="G33" s="371"/>
      <c r="H33" s="359"/>
      <c r="I33" s="372"/>
      <c r="J33" s="356"/>
      <c r="K33" s="357">
        <f>SUM(K34:K36)</f>
        <v>31743579</v>
      </c>
      <c r="L33" s="360">
        <f t="shared" si="1"/>
        <v>31743579</v>
      </c>
      <c r="M33" s="60"/>
      <c r="N33" s="17">
        <f>SUM(L34:L35)</f>
        <v>24446000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</row>
    <row r="34" spans="1:14" ht="12.75">
      <c r="A34" s="16"/>
      <c r="B34" s="1301" t="s">
        <v>550</v>
      </c>
      <c r="C34" s="1302" t="s">
        <v>551</v>
      </c>
      <c r="D34" s="361"/>
      <c r="E34" s="362"/>
      <c r="F34" s="363"/>
      <c r="G34" s="375"/>
      <c r="H34" s="364"/>
      <c r="I34" s="376"/>
      <c r="J34" s="362"/>
      <c r="K34" s="363">
        <f>3740000+436704</f>
        <v>4176704</v>
      </c>
      <c r="L34" s="365">
        <f t="shared" si="1"/>
        <v>4176704</v>
      </c>
      <c r="M34" s="17"/>
      <c r="N34" s="17"/>
    </row>
    <row r="35" spans="1:14" ht="12.75">
      <c r="A35" s="16"/>
      <c r="B35" s="1301" t="s">
        <v>553</v>
      </c>
      <c r="C35" s="1302" t="s">
        <v>552</v>
      </c>
      <c r="D35" s="361"/>
      <c r="E35" s="362"/>
      <c r="F35" s="363"/>
      <c r="G35" s="375"/>
      <c r="H35" s="364"/>
      <c r="I35" s="376"/>
      <c r="J35" s="362"/>
      <c r="K35" s="363">
        <f>18150000+2119296</f>
        <v>20269296</v>
      </c>
      <c r="L35" s="365">
        <f t="shared" si="1"/>
        <v>20269296</v>
      </c>
      <c r="M35" s="17"/>
      <c r="N35" s="17"/>
    </row>
    <row r="36" spans="1:14" ht="12.75">
      <c r="A36" s="16"/>
      <c r="B36" s="1301" t="s">
        <v>809</v>
      </c>
      <c r="C36" s="1302" t="s">
        <v>810</v>
      </c>
      <c r="D36" s="361"/>
      <c r="E36" s="362"/>
      <c r="F36" s="363"/>
      <c r="G36" s="375"/>
      <c r="H36" s="364"/>
      <c r="I36" s="376"/>
      <c r="J36" s="362"/>
      <c r="K36" s="363">
        <v>7297579</v>
      </c>
      <c r="L36" s="365">
        <f t="shared" si="1"/>
        <v>7297579</v>
      </c>
      <c r="M36" s="17"/>
      <c r="N36" s="17">
        <f>SUM(L36)</f>
        <v>7297579</v>
      </c>
    </row>
    <row r="37" spans="1:256" ht="12.75">
      <c r="A37" s="57"/>
      <c r="B37" s="58" t="s">
        <v>83</v>
      </c>
      <c r="C37" s="62" t="s">
        <v>712</v>
      </c>
      <c r="D37" s="358"/>
      <c r="E37" s="356"/>
      <c r="F37" s="357">
        <f>SUM(F38:F40)</f>
        <v>72864310</v>
      </c>
      <c r="G37" s="371"/>
      <c r="H37" s="359"/>
      <c r="I37" s="372"/>
      <c r="J37" s="356"/>
      <c r="K37" s="357">
        <f>SUM(K38:K40)</f>
        <v>0</v>
      </c>
      <c r="L37" s="360">
        <f t="shared" si="1"/>
        <v>72864310</v>
      </c>
      <c r="M37" s="60"/>
      <c r="N37" s="17">
        <f>SUM(L38:L40)</f>
        <v>72864310</v>
      </c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14" ht="12.75">
      <c r="A38" s="16"/>
      <c r="B38" s="1301" t="s">
        <v>800</v>
      </c>
      <c r="C38" s="1303" t="s">
        <v>713</v>
      </c>
      <c r="D38" s="377">
        <v>10.69</v>
      </c>
      <c r="E38" s="362">
        <v>1900000</v>
      </c>
      <c r="F38" s="363">
        <f>E38*D38</f>
        <v>20311000</v>
      </c>
      <c r="G38" s="369"/>
      <c r="H38" s="364"/>
      <c r="I38" s="370"/>
      <c r="J38" s="362"/>
      <c r="K38" s="363"/>
      <c r="L38" s="365">
        <f t="shared" si="1"/>
        <v>20311000</v>
      </c>
      <c r="M38" s="17"/>
      <c r="N38" s="17"/>
    </row>
    <row r="39" spans="1:14" ht="12.75">
      <c r="A39" s="16"/>
      <c r="B39" s="1301" t="s">
        <v>801</v>
      </c>
      <c r="C39" s="1303" t="s">
        <v>85</v>
      </c>
      <c r="D39" s="377"/>
      <c r="E39" s="362"/>
      <c r="F39" s="529">
        <v>50774910</v>
      </c>
      <c r="G39" s="361"/>
      <c r="H39" s="364"/>
      <c r="I39" s="364"/>
      <c r="J39" s="362"/>
      <c r="K39" s="363"/>
      <c r="L39" s="365">
        <f>F39+K39</f>
        <v>50774910</v>
      </c>
      <c r="M39" s="17"/>
      <c r="N39" s="17"/>
    </row>
    <row r="40" spans="1:256" ht="12.75">
      <c r="A40" s="57"/>
      <c r="B40" s="1301" t="s">
        <v>84</v>
      </c>
      <c r="C40" s="1303" t="s">
        <v>714</v>
      </c>
      <c r="D40" s="361">
        <v>3120</v>
      </c>
      <c r="E40" s="362">
        <v>570</v>
      </c>
      <c r="F40" s="363">
        <f>D40*E40</f>
        <v>1778400</v>
      </c>
      <c r="G40" s="371"/>
      <c r="H40" s="359"/>
      <c r="I40" s="372"/>
      <c r="J40" s="356"/>
      <c r="K40" s="357"/>
      <c r="L40" s="365">
        <f t="shared" si="1"/>
        <v>1778400</v>
      </c>
      <c r="M40" s="60"/>
      <c r="N40" s="17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2.75">
      <c r="A41" s="57"/>
      <c r="B41" s="58" t="s">
        <v>802</v>
      </c>
      <c r="C41" s="62" t="s">
        <v>708</v>
      </c>
      <c r="D41" s="358"/>
      <c r="E41" s="356"/>
      <c r="F41" s="357"/>
      <c r="G41" s="371"/>
      <c r="H41" s="359"/>
      <c r="I41" s="372"/>
      <c r="J41" s="356"/>
      <c r="K41" s="357">
        <f>SUM(K42:K44)</f>
        <v>11544000</v>
      </c>
      <c r="L41" s="360">
        <f t="shared" si="1"/>
        <v>11544000</v>
      </c>
      <c r="M41" s="60"/>
      <c r="N41" s="17">
        <f>SUM(L42:L43)</f>
        <v>10405000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14" ht="12.75">
      <c r="A42" s="16"/>
      <c r="B42" s="1301" t="s">
        <v>803</v>
      </c>
      <c r="C42" s="1303" t="s">
        <v>709</v>
      </c>
      <c r="D42" s="377"/>
      <c r="E42" s="362"/>
      <c r="F42" s="363"/>
      <c r="G42" s="361">
        <v>1</v>
      </c>
      <c r="H42" s="364">
        <v>4419000</v>
      </c>
      <c r="I42" s="364"/>
      <c r="J42" s="362"/>
      <c r="K42" s="363">
        <f>G42*H42</f>
        <v>4419000</v>
      </c>
      <c r="L42" s="365">
        <f t="shared" si="1"/>
        <v>4419000</v>
      </c>
      <c r="M42" s="17"/>
      <c r="N42" s="17"/>
    </row>
    <row r="43" spans="1:14" ht="25.5">
      <c r="A43" s="16"/>
      <c r="B43" s="1301" t="s">
        <v>804</v>
      </c>
      <c r="C43" s="1303" t="s">
        <v>710</v>
      </c>
      <c r="D43" s="377"/>
      <c r="E43" s="362"/>
      <c r="F43" s="363"/>
      <c r="G43" s="361">
        <v>2</v>
      </c>
      <c r="H43" s="364">
        <v>2993000</v>
      </c>
      <c r="I43" s="364"/>
      <c r="J43" s="362"/>
      <c r="K43" s="363">
        <f>G43*H43</f>
        <v>5986000</v>
      </c>
      <c r="L43" s="365">
        <f t="shared" si="1"/>
        <v>5986000</v>
      </c>
      <c r="M43" s="17"/>
      <c r="N43" s="17"/>
    </row>
    <row r="44" spans="1:14" ht="12.75">
      <c r="A44" s="16"/>
      <c r="B44" s="1301" t="s">
        <v>805</v>
      </c>
      <c r="C44" s="1303" t="s">
        <v>711</v>
      </c>
      <c r="D44" s="377"/>
      <c r="E44" s="362"/>
      <c r="F44" s="363"/>
      <c r="G44" s="361"/>
      <c r="H44" s="364"/>
      <c r="I44" s="364"/>
      <c r="J44" s="362"/>
      <c r="K44" s="529">
        <v>1139000</v>
      </c>
      <c r="L44" s="365">
        <f t="shared" si="1"/>
        <v>1139000</v>
      </c>
      <c r="M44" s="17"/>
      <c r="N44" s="17">
        <f>SUM(L44)</f>
        <v>1139000</v>
      </c>
    </row>
    <row r="45" spans="1:256" ht="12.75">
      <c r="A45" s="66" t="s">
        <v>446</v>
      </c>
      <c r="B45" s="74"/>
      <c r="C45" s="68" t="s">
        <v>431</v>
      </c>
      <c r="D45" s="69"/>
      <c r="E45" s="70"/>
      <c r="F45" s="71">
        <f>SUM(F47:F48)</f>
        <v>11725952</v>
      </c>
      <c r="G45" s="373"/>
      <c r="H45" s="72"/>
      <c r="I45" s="374"/>
      <c r="J45" s="70"/>
      <c r="K45" s="71"/>
      <c r="L45" s="85">
        <f t="shared" si="1"/>
        <v>11725952</v>
      </c>
      <c r="M45" s="60"/>
      <c r="N45" s="86">
        <f>SUM(L47+L48)</f>
        <v>11725952</v>
      </c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2.75">
      <c r="A46" s="57"/>
      <c r="B46" s="58" t="s">
        <v>499</v>
      </c>
      <c r="C46" s="62" t="s">
        <v>500</v>
      </c>
      <c r="D46" s="358"/>
      <c r="E46" s="356"/>
      <c r="F46" s="357"/>
      <c r="G46" s="371"/>
      <c r="H46" s="359"/>
      <c r="I46" s="372"/>
      <c r="J46" s="356"/>
      <c r="K46" s="357"/>
      <c r="L46" s="360"/>
      <c r="M46" s="60"/>
      <c r="N46" s="17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14" ht="25.5">
      <c r="A47" s="16"/>
      <c r="B47" s="1301" t="s">
        <v>498</v>
      </c>
      <c r="C47" s="1303" t="s">
        <v>86</v>
      </c>
      <c r="D47" s="361">
        <v>8684</v>
      </c>
      <c r="E47" s="362">
        <v>1210</v>
      </c>
      <c r="F47" s="363">
        <f>D47*E47+356000</f>
        <v>10863640</v>
      </c>
      <c r="G47" s="377"/>
      <c r="H47" s="364"/>
      <c r="I47" s="376"/>
      <c r="J47" s="362"/>
      <c r="K47" s="363"/>
      <c r="L47" s="365">
        <f t="shared" si="1"/>
        <v>10863640</v>
      </c>
      <c r="M47" s="17"/>
      <c r="N47" s="17"/>
    </row>
    <row r="48" spans="1:256" ht="12.75">
      <c r="A48" s="57"/>
      <c r="B48" s="58" t="s">
        <v>806</v>
      </c>
      <c r="C48" s="62" t="s">
        <v>807</v>
      </c>
      <c r="D48" s="358"/>
      <c r="E48" s="356"/>
      <c r="F48" s="363">
        <v>862312</v>
      </c>
      <c r="G48" s="371"/>
      <c r="H48" s="359"/>
      <c r="I48" s="372"/>
      <c r="J48" s="356"/>
      <c r="K48" s="357"/>
      <c r="L48" s="360">
        <f>SUM(K48+F48)</f>
        <v>862312</v>
      </c>
      <c r="M48" s="60"/>
      <c r="N48" s="17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808" t="s">
        <v>449</v>
      </c>
      <c r="B49" s="808"/>
      <c r="C49" s="809"/>
      <c r="D49" s="378" t="s">
        <v>427</v>
      </c>
      <c r="E49" s="379" t="s">
        <v>427</v>
      </c>
      <c r="F49" s="380">
        <f>SUM(F45,F30,F19,F8)</f>
        <v>325834535</v>
      </c>
      <c r="G49" s="378" t="s">
        <v>427</v>
      </c>
      <c r="H49" s="381" t="s">
        <v>427</v>
      </c>
      <c r="I49" s="381" t="s">
        <v>427</v>
      </c>
      <c r="J49" s="379" t="s">
        <v>427</v>
      </c>
      <c r="K49" s="380">
        <f>SUM(K45,K30,K19,K8)</f>
        <v>169330418.3333333</v>
      </c>
      <c r="L49" s="382">
        <f>SUM(L45,L30,L19,L8)</f>
        <v>495164953.3333333</v>
      </c>
      <c r="M49" s="19"/>
      <c r="N49" s="20">
        <f>SUM(N45,N30,N19,N8)</f>
        <v>495164953.3333334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ht="12.75">
      <c r="A50" s="57" t="s">
        <v>435</v>
      </c>
      <c r="B50" s="58" t="s">
        <v>1008</v>
      </c>
      <c r="C50" s="62" t="s">
        <v>1009</v>
      </c>
      <c r="D50" s="358"/>
      <c r="E50" s="356"/>
      <c r="F50" s="357">
        <v>10464000</v>
      </c>
      <c r="G50" s="371"/>
      <c r="H50" s="359"/>
      <c r="I50" s="372"/>
      <c r="J50" s="356"/>
      <c r="K50" s="357"/>
      <c r="L50" s="360">
        <f>SUM(K50+F50)</f>
        <v>10464000</v>
      </c>
      <c r="M50" s="60"/>
      <c r="N50" s="17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26.25">
      <c r="A51" s="57" t="s">
        <v>435</v>
      </c>
      <c r="B51" s="58" t="s">
        <v>1141</v>
      </c>
      <c r="C51" s="59" t="s">
        <v>1142</v>
      </c>
      <c r="D51" s="358"/>
      <c r="E51" s="356"/>
      <c r="F51" s="357">
        <v>10858846</v>
      </c>
      <c r="G51" s="371"/>
      <c r="H51" s="359"/>
      <c r="I51" s="372"/>
      <c r="J51" s="356"/>
      <c r="K51" s="357"/>
      <c r="L51" s="360">
        <f>SUM(K51+F51)</f>
        <v>10858846</v>
      </c>
      <c r="M51" s="60"/>
      <c r="N51" s="17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ht="15">
      <c r="A52" s="57" t="s">
        <v>434</v>
      </c>
      <c r="B52" s="58" t="s">
        <v>1143</v>
      </c>
      <c r="C52" s="62" t="s">
        <v>1144</v>
      </c>
      <c r="D52" s="358"/>
      <c r="E52" s="356"/>
      <c r="F52" s="357">
        <v>29999998</v>
      </c>
      <c r="G52" s="371"/>
      <c r="H52" s="359"/>
      <c r="I52" s="372"/>
      <c r="J52" s="356"/>
      <c r="K52" s="357"/>
      <c r="L52" s="360">
        <f>SUM(K52+F52)</f>
        <v>29999998</v>
      </c>
      <c r="M52" s="60"/>
      <c r="N52" s="17">
        <f>SUM(L52)</f>
        <v>29999998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14" ht="15">
      <c r="A53" s="808" t="s">
        <v>1007</v>
      </c>
      <c r="B53" s="808"/>
      <c r="C53" s="809"/>
      <c r="D53" s="378" t="s">
        <v>427</v>
      </c>
      <c r="E53" s="379" t="s">
        <v>427</v>
      </c>
      <c r="F53" s="380">
        <f>SUM(F50:F52)</f>
        <v>51322844</v>
      </c>
      <c r="G53" s="378" t="s">
        <v>427</v>
      </c>
      <c r="H53" s="381" t="s">
        <v>427</v>
      </c>
      <c r="I53" s="381" t="s">
        <v>427</v>
      </c>
      <c r="J53" s="379" t="s">
        <v>427</v>
      </c>
      <c r="K53" s="380"/>
      <c r="L53" s="382">
        <f>SUM(L50:L52)</f>
        <v>51322844</v>
      </c>
      <c r="M53" s="19"/>
      <c r="N53" s="20">
        <f>SUM(L50:L52)</f>
        <v>51322844</v>
      </c>
    </row>
    <row r="54" spans="1:14" ht="16.5">
      <c r="A54" s="810" t="s">
        <v>87</v>
      </c>
      <c r="B54" s="810"/>
      <c r="C54" s="811"/>
      <c r="D54" s="383" t="s">
        <v>427</v>
      </c>
      <c r="E54" s="384" t="s">
        <v>427</v>
      </c>
      <c r="F54" s="385">
        <f>SUM(F49+F53)</f>
        <v>377157379</v>
      </c>
      <c r="G54" s="383" t="s">
        <v>427</v>
      </c>
      <c r="H54" s="386" t="s">
        <v>427</v>
      </c>
      <c r="I54" s="386" t="s">
        <v>427</v>
      </c>
      <c r="J54" s="384" t="s">
        <v>427</v>
      </c>
      <c r="K54" s="385">
        <f>SUM(K49+K53)</f>
        <v>169330418.3333333</v>
      </c>
      <c r="L54" s="385">
        <f>SUM(L49+L53)</f>
        <v>546487797.3333333</v>
      </c>
      <c r="M54" s="19"/>
      <c r="N54" s="20">
        <f>SUM(N49+N53)</f>
        <v>546487797.3333334</v>
      </c>
    </row>
    <row r="57" spans="2:7" ht="15">
      <c r="B57" s="620">
        <v>31</v>
      </c>
      <c r="C57" s="621" t="s">
        <v>1028</v>
      </c>
      <c r="D57" s="24"/>
      <c r="G57" s="26"/>
    </row>
    <row r="58" spans="2:7" ht="15">
      <c r="B58" s="1300">
        <v>32</v>
      </c>
      <c r="C58" s="621" t="s">
        <v>1029</v>
      </c>
      <c r="D58" s="26"/>
      <c r="G58" s="24"/>
    </row>
  </sheetData>
  <sheetProtection/>
  <mergeCells count="11">
    <mergeCell ref="A53:C53"/>
    <mergeCell ref="A54:C54"/>
    <mergeCell ref="A49:C49"/>
    <mergeCell ref="L5:L6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217"/>
  <sheetViews>
    <sheetView zoomScalePageLayoutView="0" workbookViewId="0" topLeftCell="A1">
      <selection activeCell="C8" sqref="C8:I8"/>
    </sheetView>
  </sheetViews>
  <sheetFormatPr defaultColWidth="9.00390625" defaultRowHeight="12.75"/>
  <cols>
    <col min="1" max="1" width="4.625" style="421" customWidth="1"/>
    <col min="2" max="2" width="36.125" style="108" customWidth="1"/>
    <col min="3" max="3" width="15.00390625" style="108" customWidth="1"/>
    <col min="4" max="4" width="11.125" style="108" bestFit="1" customWidth="1"/>
    <col min="5" max="5" width="11.875" style="108" customWidth="1"/>
    <col min="6" max="6" width="11.75390625" style="108" customWidth="1"/>
    <col min="7" max="8" width="11.25390625" style="108" customWidth="1"/>
    <col min="9" max="9" width="11.75390625" style="108" customWidth="1"/>
    <col min="10" max="11" width="15.375" style="108" customWidth="1"/>
    <col min="12" max="12" width="16.625" style="108" customWidth="1"/>
  </cols>
  <sheetData>
    <row r="1" spans="2:12" ht="18">
      <c r="B1" s="827" t="s">
        <v>1149</v>
      </c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4" spans="2:12" ht="41.25" customHeight="1">
      <c r="B4" s="828" t="s">
        <v>911</v>
      </c>
      <c r="C4" s="828"/>
      <c r="D4" s="828"/>
      <c r="E4" s="828"/>
      <c r="F4" s="828"/>
      <c r="G4" s="828"/>
      <c r="H4" s="828"/>
      <c r="I4" s="828"/>
      <c r="J4" s="828"/>
      <c r="K4" s="828"/>
      <c r="L4" s="828"/>
    </row>
    <row r="7" ht="13.5" thickBot="1"/>
    <row r="8" spans="1:12" ht="12.75" customHeight="1">
      <c r="A8" s="829" t="s">
        <v>405</v>
      </c>
      <c r="B8" s="832" t="s">
        <v>326</v>
      </c>
      <c r="C8" s="835" t="s">
        <v>764</v>
      </c>
      <c r="D8" s="836"/>
      <c r="E8" s="836"/>
      <c r="F8" s="836"/>
      <c r="G8" s="836"/>
      <c r="H8" s="837"/>
      <c r="I8" s="837"/>
      <c r="J8" s="838" t="s">
        <v>925</v>
      </c>
      <c r="K8" s="838" t="s">
        <v>926</v>
      </c>
      <c r="L8" s="838" t="s">
        <v>927</v>
      </c>
    </row>
    <row r="9" spans="1:12" ht="12.75">
      <c r="A9" s="830"/>
      <c r="B9" s="833"/>
      <c r="C9" s="841" t="s">
        <v>394</v>
      </c>
      <c r="D9" s="842" t="s">
        <v>765</v>
      </c>
      <c r="E9" s="843"/>
      <c r="F9" s="843"/>
      <c r="G9" s="843"/>
      <c r="H9" s="844"/>
      <c r="I9" s="844"/>
      <c r="J9" s="839"/>
      <c r="K9" s="839"/>
      <c r="L9" s="839"/>
    </row>
    <row r="10" spans="1:12" ht="42" customHeight="1">
      <c r="A10" s="831"/>
      <c r="B10" s="834"/>
      <c r="C10" s="841"/>
      <c r="D10" s="423" t="s">
        <v>414</v>
      </c>
      <c r="E10" s="423" t="s">
        <v>415</v>
      </c>
      <c r="F10" s="423" t="s">
        <v>416</v>
      </c>
      <c r="G10" s="423" t="s">
        <v>417</v>
      </c>
      <c r="H10" s="424" t="s">
        <v>418</v>
      </c>
      <c r="I10" s="424" t="s">
        <v>419</v>
      </c>
      <c r="J10" s="840"/>
      <c r="K10" s="840"/>
      <c r="L10" s="840"/>
    </row>
    <row r="11" spans="1:12" ht="13.5" thickBot="1">
      <c r="A11" s="422" t="s">
        <v>399</v>
      </c>
      <c r="B11" s="425" t="s">
        <v>400</v>
      </c>
      <c r="C11" s="426" t="s">
        <v>401</v>
      </c>
      <c r="D11" s="427" t="s">
        <v>402</v>
      </c>
      <c r="E11" s="428" t="s">
        <v>403</v>
      </c>
      <c r="F11" s="428" t="s">
        <v>404</v>
      </c>
      <c r="G11" s="428" t="s">
        <v>406</v>
      </c>
      <c r="H11" s="428" t="s">
        <v>407</v>
      </c>
      <c r="I11" s="428" t="s">
        <v>357</v>
      </c>
      <c r="J11" s="429" t="s">
        <v>358</v>
      </c>
      <c r="K11" s="429" t="s">
        <v>358</v>
      </c>
      <c r="L11" s="430" t="s">
        <v>359</v>
      </c>
    </row>
    <row r="12" spans="1:12" ht="19.5" thickBot="1" thickTop="1">
      <c r="A12" s="545">
        <v>1</v>
      </c>
      <c r="B12" s="848" t="s">
        <v>55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50"/>
    </row>
    <row r="13" spans="1:12" ht="16.5" thickBot="1" thickTop="1">
      <c r="A13" s="546">
        <v>2</v>
      </c>
      <c r="B13" s="851" t="s">
        <v>912</v>
      </c>
      <c r="C13" s="852"/>
      <c r="D13" s="852"/>
      <c r="E13" s="852"/>
      <c r="F13" s="852"/>
      <c r="G13" s="852"/>
      <c r="H13" s="852"/>
      <c r="I13" s="852"/>
      <c r="J13" s="853"/>
      <c r="K13" s="853"/>
      <c r="L13" s="547"/>
    </row>
    <row r="14" spans="1:12" ht="12.75">
      <c r="A14" s="431">
        <v>3</v>
      </c>
      <c r="B14" s="434" t="s">
        <v>766</v>
      </c>
      <c r="C14" s="435">
        <f>SUM(I14+G14+F14+E14+D14)</f>
        <v>0</v>
      </c>
      <c r="D14" s="436">
        <v>0</v>
      </c>
      <c r="E14" s="436">
        <v>0</v>
      </c>
      <c r="F14" s="436">
        <v>0</v>
      </c>
      <c r="G14" s="437"/>
      <c r="H14" s="437"/>
      <c r="I14" s="437"/>
      <c r="J14" s="438">
        <v>0</v>
      </c>
      <c r="K14" s="438">
        <v>0</v>
      </c>
      <c r="L14" s="845"/>
    </row>
    <row r="15" spans="1:12" ht="13.5" thickBot="1">
      <c r="A15" s="433">
        <v>4</v>
      </c>
      <c r="B15" s="439" t="s">
        <v>767</v>
      </c>
      <c r="C15" s="440">
        <v>7000000</v>
      </c>
      <c r="D15" s="441">
        <v>7000000</v>
      </c>
      <c r="E15" s="442">
        <v>0</v>
      </c>
      <c r="F15" s="442">
        <v>0</v>
      </c>
      <c r="G15" s="443"/>
      <c r="H15" s="443"/>
      <c r="I15" s="443"/>
      <c r="J15" s="444">
        <v>257950</v>
      </c>
      <c r="K15" s="444">
        <v>0</v>
      </c>
      <c r="L15" s="846"/>
    </row>
    <row r="16" spans="1:12" ht="13.5" thickBot="1">
      <c r="A16" s="433">
        <v>5</v>
      </c>
      <c r="B16" s="445" t="s">
        <v>768</v>
      </c>
      <c r="C16" s="446">
        <f>SUM(I16+G16+F16+E16+D16)</f>
        <v>7000000</v>
      </c>
      <c r="D16" s="447">
        <f>SUM(D14+D15)</f>
        <v>7000000</v>
      </c>
      <c r="E16" s="447">
        <f>SUM(E14+E15)</f>
        <v>0</v>
      </c>
      <c r="F16" s="447">
        <f>SUM(F14+F15)</f>
        <v>0</v>
      </c>
      <c r="G16" s="448"/>
      <c r="H16" s="449"/>
      <c r="I16" s="450"/>
      <c r="J16" s="451">
        <f>SUM(J14+J15)</f>
        <v>257950</v>
      </c>
      <c r="K16" s="451">
        <f>SUM(K14+K15)</f>
        <v>0</v>
      </c>
      <c r="L16" s="854"/>
    </row>
    <row r="17" spans="1:12" ht="13.5" thickBot="1">
      <c r="A17" s="433"/>
      <c r="B17" s="855"/>
      <c r="C17" s="856"/>
      <c r="D17" s="857"/>
      <c r="E17" s="857"/>
      <c r="F17" s="857"/>
      <c r="G17" s="857"/>
      <c r="H17" s="857"/>
      <c r="I17" s="857"/>
      <c r="J17" s="858"/>
      <c r="K17" s="859"/>
      <c r="L17" s="432"/>
    </row>
    <row r="18" spans="1:12" ht="12.75">
      <c r="A18" s="452">
        <v>6</v>
      </c>
      <c r="B18" s="453" t="s">
        <v>769</v>
      </c>
      <c r="C18" s="454">
        <v>3150000</v>
      </c>
      <c r="D18" s="436">
        <v>3150000</v>
      </c>
      <c r="E18" s="455">
        <v>0</v>
      </c>
      <c r="F18" s="455">
        <v>0</v>
      </c>
      <c r="G18" s="437"/>
      <c r="H18" s="437"/>
      <c r="I18" s="437"/>
      <c r="J18" s="845"/>
      <c r="K18" s="845"/>
      <c r="L18" s="438">
        <v>0</v>
      </c>
    </row>
    <row r="19" spans="1:12" ht="13.5" thickBot="1">
      <c r="A19" s="452">
        <v>7</v>
      </c>
      <c r="B19" s="456" t="s">
        <v>770</v>
      </c>
      <c r="C19" s="457">
        <v>3850000</v>
      </c>
      <c r="D19" s="441">
        <f>3850000-257950</f>
        <v>3592050</v>
      </c>
      <c r="E19" s="441">
        <v>0</v>
      </c>
      <c r="F19" s="441">
        <v>257950</v>
      </c>
      <c r="G19" s="443"/>
      <c r="H19" s="443"/>
      <c r="I19" s="443"/>
      <c r="J19" s="846"/>
      <c r="K19" s="846"/>
      <c r="L19" s="444">
        <v>257950</v>
      </c>
    </row>
    <row r="20" spans="1:12" ht="13.5" thickBot="1">
      <c r="A20" s="458">
        <v>8</v>
      </c>
      <c r="B20" s="459" t="s">
        <v>335</v>
      </c>
      <c r="C20" s="460">
        <f>SUM(C18:C19)</f>
        <v>7000000</v>
      </c>
      <c r="D20" s="461">
        <f>SUM(D18:D19)</f>
        <v>6742050</v>
      </c>
      <c r="E20" s="461">
        <f>SUM(E18:E19)</f>
        <v>0</v>
      </c>
      <c r="F20" s="461">
        <f>SUM(F18:F19)</f>
        <v>257950</v>
      </c>
      <c r="G20" s="448"/>
      <c r="H20" s="449"/>
      <c r="I20" s="450"/>
      <c r="J20" s="854"/>
      <c r="K20" s="854"/>
      <c r="L20" s="462">
        <f>SUM(L18:L19)</f>
        <v>257950</v>
      </c>
    </row>
    <row r="21" spans="1:12" ht="14.25" thickBot="1" thickTop="1">
      <c r="A21" s="463"/>
      <c r="B21" s="860"/>
      <c r="C21" s="861"/>
      <c r="D21" s="861"/>
      <c r="E21" s="861"/>
      <c r="F21" s="861"/>
      <c r="G21" s="861"/>
      <c r="H21" s="861"/>
      <c r="I21" s="861"/>
      <c r="J21" s="861"/>
      <c r="K21" s="861"/>
      <c r="L21" s="862"/>
    </row>
    <row r="22" spans="1:12" ht="30" customHeight="1" thickBot="1" thickTop="1">
      <c r="A22" s="546">
        <v>9</v>
      </c>
      <c r="B22" s="865" t="s">
        <v>913</v>
      </c>
      <c r="C22" s="866"/>
      <c r="D22" s="866"/>
      <c r="E22" s="866"/>
      <c r="F22" s="866"/>
      <c r="G22" s="866"/>
      <c r="H22" s="866"/>
      <c r="I22" s="866"/>
      <c r="J22" s="867"/>
      <c r="K22" s="867"/>
      <c r="L22" s="548"/>
    </row>
    <row r="23" spans="1:12" ht="12.75">
      <c r="A23" s="431">
        <v>10</v>
      </c>
      <c r="B23" s="434" t="s">
        <v>771</v>
      </c>
      <c r="C23" s="464">
        <v>0</v>
      </c>
      <c r="D23" s="465">
        <v>0</v>
      </c>
      <c r="E23" s="465">
        <v>0</v>
      </c>
      <c r="F23" s="465">
        <v>0</v>
      </c>
      <c r="G23" s="465">
        <v>0</v>
      </c>
      <c r="H23" s="465">
        <v>0</v>
      </c>
      <c r="I23" s="465">
        <v>0</v>
      </c>
      <c r="J23" s="438">
        <v>0</v>
      </c>
      <c r="K23" s="438">
        <v>0</v>
      </c>
      <c r="L23" s="845"/>
    </row>
    <row r="24" spans="1:12" ht="13.5" thickBot="1">
      <c r="A24" s="466">
        <v>11</v>
      </c>
      <c r="B24" s="439" t="s">
        <v>767</v>
      </c>
      <c r="C24" s="467">
        <f>SUM(D24:I24)</f>
        <v>250634800</v>
      </c>
      <c r="D24" s="468">
        <v>0</v>
      </c>
      <c r="E24" s="442">
        <v>59135000</v>
      </c>
      <c r="F24" s="442">
        <v>52411853</v>
      </c>
      <c r="G24" s="442">
        <v>46362649</v>
      </c>
      <c r="H24" s="442">
        <v>46362649</v>
      </c>
      <c r="I24" s="442">
        <v>46362649</v>
      </c>
      <c r="J24" s="444">
        <f>5816143+11411381</f>
        <v>17227524</v>
      </c>
      <c r="K24" s="444">
        <v>52411853</v>
      </c>
      <c r="L24" s="846"/>
    </row>
    <row r="25" spans="1:12" ht="13.5" thickBot="1">
      <c r="A25" s="433">
        <v>12</v>
      </c>
      <c r="B25" s="445" t="s">
        <v>768</v>
      </c>
      <c r="C25" s="446">
        <f aca="true" t="shared" si="0" ref="C25:K25">SUM(C23:C24)</f>
        <v>250634800</v>
      </c>
      <c r="D25" s="447">
        <f t="shared" si="0"/>
        <v>0</v>
      </c>
      <c r="E25" s="447">
        <f t="shared" si="0"/>
        <v>59135000</v>
      </c>
      <c r="F25" s="447">
        <f t="shared" si="0"/>
        <v>52411853</v>
      </c>
      <c r="G25" s="447">
        <f t="shared" si="0"/>
        <v>46362649</v>
      </c>
      <c r="H25" s="447">
        <f t="shared" si="0"/>
        <v>46362649</v>
      </c>
      <c r="I25" s="447">
        <f t="shared" si="0"/>
        <v>46362649</v>
      </c>
      <c r="J25" s="451">
        <f>SUM(J23:J24)</f>
        <v>17227524</v>
      </c>
      <c r="K25" s="451">
        <f t="shared" si="0"/>
        <v>52411853</v>
      </c>
      <c r="L25" s="854"/>
    </row>
    <row r="26" spans="1:12" ht="13.5" thickBot="1">
      <c r="A26" s="433"/>
      <c r="B26" s="863"/>
      <c r="C26" s="1306"/>
      <c r="D26" s="1306"/>
      <c r="E26" s="1306"/>
      <c r="F26" s="1306"/>
      <c r="G26" s="1306"/>
      <c r="H26" s="1306"/>
      <c r="I26" s="1306"/>
      <c r="J26" s="1306"/>
      <c r="K26" s="864"/>
      <c r="L26" s="432"/>
    </row>
    <row r="27" spans="1:12" ht="12.75">
      <c r="A27" s="469">
        <v>13</v>
      </c>
      <c r="B27" s="1307" t="s">
        <v>772</v>
      </c>
      <c r="C27" s="454">
        <f>SUM(D27:I27)</f>
        <v>146331566</v>
      </c>
      <c r="D27" s="567">
        <v>2681560</v>
      </c>
      <c r="E27" s="1308">
        <v>20997974</v>
      </c>
      <c r="F27" s="1308">
        <f>41039699-403910</f>
        <v>40635789</v>
      </c>
      <c r="G27" s="1308">
        <v>27338748</v>
      </c>
      <c r="H27" s="1308">
        <v>27338748</v>
      </c>
      <c r="I27" s="1309">
        <v>27338747</v>
      </c>
      <c r="J27" s="845"/>
      <c r="K27" s="845"/>
      <c r="L27" s="438">
        <f>41039699-403910</f>
        <v>40635789</v>
      </c>
    </row>
    <row r="28" spans="1:12" ht="25.5">
      <c r="A28" s="1310">
        <v>14</v>
      </c>
      <c r="B28" s="1311" t="s">
        <v>931</v>
      </c>
      <c r="C28" s="1312"/>
      <c r="D28" s="1313">
        <v>0</v>
      </c>
      <c r="E28" s="1314">
        <v>0</v>
      </c>
      <c r="F28" s="1313">
        <v>403910</v>
      </c>
      <c r="G28" s="1313">
        <v>0</v>
      </c>
      <c r="H28" s="1313">
        <v>0</v>
      </c>
      <c r="I28" s="1313">
        <v>0</v>
      </c>
      <c r="J28" s="846"/>
      <c r="K28" s="846"/>
      <c r="L28" s="1315">
        <v>403910</v>
      </c>
    </row>
    <row r="29" spans="1:12" ht="12.75">
      <c r="A29" s="452">
        <v>15</v>
      </c>
      <c r="B29" s="556" t="s">
        <v>770</v>
      </c>
      <c r="C29" s="457">
        <f>SUM(D29:I29)</f>
        <v>88344324</v>
      </c>
      <c r="D29" s="587">
        <v>0</v>
      </c>
      <c r="E29" s="587">
        <v>14084323</v>
      </c>
      <c r="F29" s="587">
        <v>17188297</v>
      </c>
      <c r="G29" s="587">
        <v>19023901</v>
      </c>
      <c r="H29" s="587">
        <v>19023901</v>
      </c>
      <c r="I29" s="587">
        <v>19023902</v>
      </c>
      <c r="J29" s="846"/>
      <c r="K29" s="846"/>
      <c r="L29" s="444">
        <v>17188297</v>
      </c>
    </row>
    <row r="30" spans="1:12" ht="13.5" thickBot="1">
      <c r="A30" s="452">
        <v>16</v>
      </c>
      <c r="B30" s="453" t="s">
        <v>769</v>
      </c>
      <c r="C30" s="482">
        <f>SUM(D30:I30)</f>
        <v>15555000</v>
      </c>
      <c r="D30" s="588">
        <v>0</v>
      </c>
      <c r="E30" s="588">
        <f>2893619+1250000</f>
        <v>4143619</v>
      </c>
      <c r="F30" s="588">
        <v>11411381</v>
      </c>
      <c r="G30" s="588">
        <v>0</v>
      </c>
      <c r="H30" s="588">
        <v>0</v>
      </c>
      <c r="I30" s="588">
        <v>0</v>
      </c>
      <c r="J30" s="846"/>
      <c r="K30" s="846"/>
      <c r="L30" s="549">
        <v>11411381</v>
      </c>
    </row>
    <row r="31" spans="1:12" ht="13.5" thickBot="1">
      <c r="A31" s="471">
        <v>17</v>
      </c>
      <c r="B31" s="472" t="s">
        <v>335</v>
      </c>
      <c r="C31" s="460">
        <f aca="true" t="shared" si="1" ref="C31:I31">SUM(C27:C30)</f>
        <v>250230890</v>
      </c>
      <c r="D31" s="473">
        <f t="shared" si="1"/>
        <v>2681560</v>
      </c>
      <c r="E31" s="473">
        <f t="shared" si="1"/>
        <v>39225916</v>
      </c>
      <c r="F31" s="473">
        <f t="shared" si="1"/>
        <v>69639377</v>
      </c>
      <c r="G31" s="473">
        <f t="shared" si="1"/>
        <v>46362649</v>
      </c>
      <c r="H31" s="473">
        <f t="shared" si="1"/>
        <v>46362649</v>
      </c>
      <c r="I31" s="473">
        <f t="shared" si="1"/>
        <v>46362649</v>
      </c>
      <c r="J31" s="847"/>
      <c r="K31" s="847"/>
      <c r="L31" s="462">
        <f>SUM(L27:L30)</f>
        <v>69639377</v>
      </c>
    </row>
    <row r="32" spans="1:12" ht="14.25" thickBot="1" thickTop="1">
      <c r="A32" s="550"/>
      <c r="B32" s="860"/>
      <c r="C32" s="861"/>
      <c r="D32" s="861"/>
      <c r="E32" s="861"/>
      <c r="F32" s="861"/>
      <c r="G32" s="861"/>
      <c r="H32" s="861"/>
      <c r="I32" s="861"/>
      <c r="J32" s="861"/>
      <c r="K32" s="861"/>
      <c r="L32" s="862"/>
    </row>
    <row r="33" spans="1:12" ht="16.5" thickBot="1" thickTop="1">
      <c r="A33" s="546">
        <v>18</v>
      </c>
      <c r="B33" s="851" t="s">
        <v>773</v>
      </c>
      <c r="C33" s="852"/>
      <c r="D33" s="852"/>
      <c r="E33" s="852"/>
      <c r="F33" s="852"/>
      <c r="G33" s="852"/>
      <c r="H33" s="852"/>
      <c r="I33" s="852"/>
      <c r="J33" s="853"/>
      <c r="K33" s="853"/>
      <c r="L33" s="548"/>
    </row>
    <row r="34" spans="1:12" ht="12.75">
      <c r="A34" s="431">
        <v>19</v>
      </c>
      <c r="B34" s="489" t="s">
        <v>771</v>
      </c>
      <c r="C34" s="457">
        <f>SUM(D34:F34)</f>
        <v>22542700</v>
      </c>
      <c r="D34" s="475">
        <v>0</v>
      </c>
      <c r="E34" s="475">
        <v>151044</v>
      </c>
      <c r="F34" s="475">
        <v>22391656</v>
      </c>
      <c r="G34" s="476"/>
      <c r="H34" s="476"/>
      <c r="I34" s="476"/>
      <c r="J34" s="438"/>
      <c r="K34" s="438">
        <v>22391656</v>
      </c>
      <c r="L34" s="845"/>
    </row>
    <row r="35" spans="1:12" ht="13.5" thickBot="1">
      <c r="A35" s="433">
        <v>20</v>
      </c>
      <c r="B35" s="439" t="s">
        <v>767</v>
      </c>
      <c r="C35" s="457">
        <f>SUM(D35:F35)</f>
        <v>242560000</v>
      </c>
      <c r="D35" s="468">
        <v>242560000</v>
      </c>
      <c r="E35" s="442">
        <v>0</v>
      </c>
      <c r="F35" s="442">
        <v>0</v>
      </c>
      <c r="G35" s="477"/>
      <c r="H35" s="477"/>
      <c r="I35" s="478"/>
      <c r="J35" s="444">
        <v>230043575</v>
      </c>
      <c r="K35" s="444">
        <v>0</v>
      </c>
      <c r="L35" s="846"/>
    </row>
    <row r="36" spans="1:12" ht="13.5" thickBot="1">
      <c r="A36" s="433">
        <v>21</v>
      </c>
      <c r="B36" s="445" t="s">
        <v>768</v>
      </c>
      <c r="C36" s="446">
        <f aca="true" t="shared" si="2" ref="C36:K36">SUM(C34:C35)</f>
        <v>265102700</v>
      </c>
      <c r="D36" s="447">
        <f t="shared" si="2"/>
        <v>242560000</v>
      </c>
      <c r="E36" s="447">
        <f t="shared" si="2"/>
        <v>151044</v>
      </c>
      <c r="F36" s="447">
        <f t="shared" si="2"/>
        <v>22391656</v>
      </c>
      <c r="G36" s="483"/>
      <c r="H36" s="483"/>
      <c r="I36" s="484"/>
      <c r="J36" s="451">
        <f>SUM(J34:J35)</f>
        <v>230043575</v>
      </c>
      <c r="K36" s="451">
        <f t="shared" si="2"/>
        <v>22391656</v>
      </c>
      <c r="L36" s="854"/>
    </row>
    <row r="37" spans="1:12" ht="13.5" thickBot="1">
      <c r="A37" s="433"/>
      <c r="B37" s="863"/>
      <c r="C37" s="1306"/>
      <c r="D37" s="1306"/>
      <c r="E37" s="1306"/>
      <c r="F37" s="1306"/>
      <c r="G37" s="1306"/>
      <c r="H37" s="1306"/>
      <c r="I37" s="1306"/>
      <c r="J37" s="1306"/>
      <c r="K37" s="864"/>
      <c r="L37" s="432"/>
    </row>
    <row r="38" spans="1:12" ht="12.75">
      <c r="A38" s="452">
        <v>22</v>
      </c>
      <c r="B38" s="470" t="s">
        <v>769</v>
      </c>
      <c r="C38" s="563">
        <f>SUM(D38:F38)</f>
        <v>242560000</v>
      </c>
      <c r="D38" s="436">
        <v>392025</v>
      </c>
      <c r="E38" s="436">
        <v>12124400</v>
      </c>
      <c r="F38" s="436">
        <v>230043575</v>
      </c>
      <c r="G38" s="476"/>
      <c r="H38" s="476"/>
      <c r="I38" s="476"/>
      <c r="J38" s="845"/>
      <c r="K38" s="845"/>
      <c r="L38" s="438">
        <f>230043575-23410448</f>
        <v>206633127</v>
      </c>
    </row>
    <row r="39" spans="1:12" ht="12.75">
      <c r="A39" s="452">
        <v>23</v>
      </c>
      <c r="B39" s="479" t="s">
        <v>774</v>
      </c>
      <c r="C39" s="1316">
        <f>SUM(D39:F39)</f>
        <v>22542700</v>
      </c>
      <c r="D39" s="480">
        <v>0</v>
      </c>
      <c r="E39" s="480">
        <v>151044</v>
      </c>
      <c r="F39" s="480">
        <v>22391656</v>
      </c>
      <c r="G39" s="1317"/>
      <c r="H39" s="1317"/>
      <c r="I39" s="1318"/>
      <c r="J39" s="846"/>
      <c r="K39" s="846"/>
      <c r="L39" s="444">
        <v>22391656</v>
      </c>
    </row>
    <row r="40" spans="1:12" ht="13.5" thickBot="1">
      <c r="A40" s="452">
        <v>24</v>
      </c>
      <c r="B40" s="556" t="s">
        <v>1146</v>
      </c>
      <c r="C40" s="482"/>
      <c r="D40" s="1319"/>
      <c r="E40" s="1319"/>
      <c r="F40" s="1319"/>
      <c r="G40" s="477"/>
      <c r="H40" s="477"/>
      <c r="I40" s="478"/>
      <c r="J40" s="846"/>
      <c r="K40" s="846"/>
      <c r="L40" s="549">
        <v>23410448</v>
      </c>
    </row>
    <row r="41" spans="1:12" ht="13.5" thickBot="1">
      <c r="A41" s="471">
        <v>25</v>
      </c>
      <c r="B41" s="472" t="s">
        <v>335</v>
      </c>
      <c r="C41" s="460">
        <f>SUM(C38:C39)</f>
        <v>265102700</v>
      </c>
      <c r="D41" s="473">
        <f>SUM(D38:D39)</f>
        <v>392025</v>
      </c>
      <c r="E41" s="473">
        <f>SUM(E38:E39)</f>
        <v>12275444</v>
      </c>
      <c r="F41" s="473">
        <f>SUM(F38:F39)</f>
        <v>252435231</v>
      </c>
      <c r="G41" s="437"/>
      <c r="H41" s="437"/>
      <c r="I41" s="437"/>
      <c r="J41" s="847"/>
      <c r="K41" s="847"/>
      <c r="L41" s="462">
        <f>SUM(L38:L40)</f>
        <v>252435231</v>
      </c>
    </row>
    <row r="42" spans="1:12" ht="14.25" thickBot="1" thickTop="1">
      <c r="A42" s="550"/>
      <c r="B42" s="860"/>
      <c r="C42" s="861"/>
      <c r="D42" s="861"/>
      <c r="E42" s="861"/>
      <c r="F42" s="861"/>
      <c r="G42" s="861"/>
      <c r="H42" s="861"/>
      <c r="I42" s="861"/>
      <c r="J42" s="861"/>
      <c r="K42" s="861"/>
      <c r="L42" s="862"/>
    </row>
    <row r="43" spans="1:12" ht="16.5" thickBot="1" thickTop="1">
      <c r="A43" s="546">
        <v>26</v>
      </c>
      <c r="B43" s="851" t="s">
        <v>929</v>
      </c>
      <c r="C43" s="852"/>
      <c r="D43" s="852"/>
      <c r="E43" s="852"/>
      <c r="F43" s="852"/>
      <c r="G43" s="852"/>
      <c r="H43" s="852"/>
      <c r="I43" s="852"/>
      <c r="J43" s="853"/>
      <c r="K43" s="853"/>
      <c r="L43" s="548"/>
    </row>
    <row r="44" spans="1:12" ht="12.75">
      <c r="A44" s="431">
        <v>27</v>
      </c>
      <c r="B44" s="481" t="s">
        <v>771</v>
      </c>
      <c r="C44" s="454">
        <v>3350900</v>
      </c>
      <c r="D44" s="475">
        <v>2500000</v>
      </c>
      <c r="E44" s="475">
        <v>850900</v>
      </c>
      <c r="F44" s="475">
        <v>0</v>
      </c>
      <c r="G44" s="476"/>
      <c r="H44" s="476"/>
      <c r="I44" s="476"/>
      <c r="J44" s="444">
        <v>0</v>
      </c>
      <c r="K44" s="444">
        <v>0</v>
      </c>
      <c r="L44" s="845"/>
    </row>
    <row r="45" spans="1:12" ht="13.5" thickBot="1">
      <c r="A45" s="433">
        <v>28</v>
      </c>
      <c r="B45" s="439" t="s">
        <v>767</v>
      </c>
      <c r="C45" s="482">
        <v>19779919</v>
      </c>
      <c r="D45" s="468">
        <v>9889959</v>
      </c>
      <c r="E45" s="468">
        <v>0</v>
      </c>
      <c r="F45" s="468">
        <v>9889960</v>
      </c>
      <c r="G45" s="477"/>
      <c r="H45" s="477"/>
      <c r="I45" s="478"/>
      <c r="J45" s="444">
        <v>0</v>
      </c>
      <c r="K45" s="444">
        <v>9889960</v>
      </c>
      <c r="L45" s="846"/>
    </row>
    <row r="46" spans="1:12" ht="13.5" thickBot="1">
      <c r="A46" s="433">
        <v>29</v>
      </c>
      <c r="B46" s="445" t="s">
        <v>768</v>
      </c>
      <c r="C46" s="446">
        <f>SUM(C44:C45)</f>
        <v>23130819</v>
      </c>
      <c r="D46" s="447">
        <f>SUM(D44:D45)</f>
        <v>12389959</v>
      </c>
      <c r="E46" s="447">
        <f>SUM(E44:E45)</f>
        <v>850900</v>
      </c>
      <c r="F46" s="447">
        <f>SUM(F44:F45)</f>
        <v>9889960</v>
      </c>
      <c r="G46" s="483"/>
      <c r="H46" s="483"/>
      <c r="I46" s="484"/>
      <c r="J46" s="451">
        <f>SUM(J44+J45)</f>
        <v>0</v>
      </c>
      <c r="K46" s="451">
        <f>SUM(K44+K45)</f>
        <v>9889960</v>
      </c>
      <c r="L46" s="854"/>
    </row>
    <row r="47" spans="1:12" ht="13.5" thickBot="1">
      <c r="A47" s="433"/>
      <c r="B47" s="863"/>
      <c r="C47" s="1306"/>
      <c r="D47" s="1306"/>
      <c r="E47" s="1306"/>
      <c r="F47" s="1306"/>
      <c r="G47" s="1306"/>
      <c r="H47" s="1306"/>
      <c r="I47" s="1306"/>
      <c r="J47" s="1306"/>
      <c r="K47" s="864"/>
      <c r="L47" s="432"/>
    </row>
    <row r="48" spans="1:12" ht="12.75">
      <c r="A48" s="452">
        <v>30</v>
      </c>
      <c r="B48" s="470" t="s">
        <v>775</v>
      </c>
      <c r="C48" s="454">
        <v>20820975</v>
      </c>
      <c r="D48" s="475">
        <v>0</v>
      </c>
      <c r="E48" s="475">
        <v>14245643</v>
      </c>
      <c r="F48" s="475">
        <v>6575332</v>
      </c>
      <c r="G48" s="476"/>
      <c r="H48" s="476"/>
      <c r="I48" s="476"/>
      <c r="J48" s="845"/>
      <c r="K48" s="845"/>
      <c r="L48" s="438">
        <v>6575332</v>
      </c>
    </row>
    <row r="49" spans="1:12" ht="13.5" thickBot="1">
      <c r="A49" s="452">
        <v>31</v>
      </c>
      <c r="B49" s="479" t="s">
        <v>776</v>
      </c>
      <c r="C49" s="457">
        <v>2309844</v>
      </c>
      <c r="D49" s="468">
        <v>1250000</v>
      </c>
      <c r="E49" s="468">
        <v>1059844</v>
      </c>
      <c r="F49" s="468">
        <v>0</v>
      </c>
      <c r="G49" s="477"/>
      <c r="H49" s="477"/>
      <c r="I49" s="478"/>
      <c r="J49" s="846"/>
      <c r="K49" s="846"/>
      <c r="L49" s="444">
        <v>0</v>
      </c>
    </row>
    <row r="50" spans="1:12" ht="13.5" thickBot="1">
      <c r="A50" s="471">
        <v>32</v>
      </c>
      <c r="B50" s="472" t="s">
        <v>335</v>
      </c>
      <c r="C50" s="460">
        <f>SUM(C48:C49)</f>
        <v>23130819</v>
      </c>
      <c r="D50" s="473">
        <f>SUM(D48:D49)</f>
        <v>1250000</v>
      </c>
      <c r="E50" s="473">
        <f>SUM(E48:E49)</f>
        <v>15305487</v>
      </c>
      <c r="F50" s="473">
        <f>SUM(F48:F49)</f>
        <v>6575332</v>
      </c>
      <c r="G50" s="485"/>
      <c r="H50" s="485"/>
      <c r="I50" s="486"/>
      <c r="J50" s="854"/>
      <c r="K50" s="854"/>
      <c r="L50" s="462">
        <f>SUM(L47:L49)</f>
        <v>6575332</v>
      </c>
    </row>
    <row r="51" spans="1:12" ht="14.25" thickBot="1" thickTop="1">
      <c r="A51" s="550"/>
      <c r="B51" s="860"/>
      <c r="C51" s="861"/>
      <c r="D51" s="861"/>
      <c r="E51" s="861"/>
      <c r="F51" s="861"/>
      <c r="G51" s="861"/>
      <c r="H51" s="861"/>
      <c r="I51" s="861"/>
      <c r="J51" s="861"/>
      <c r="K51" s="861"/>
      <c r="L51" s="862"/>
    </row>
    <row r="52" spans="1:12" ht="16.5" thickBot="1" thickTop="1">
      <c r="A52" s="546">
        <v>33</v>
      </c>
      <c r="B52" s="851" t="s">
        <v>1147</v>
      </c>
      <c r="C52" s="852"/>
      <c r="D52" s="852"/>
      <c r="E52" s="852"/>
      <c r="F52" s="852"/>
      <c r="G52" s="852"/>
      <c r="H52" s="852"/>
      <c r="I52" s="852"/>
      <c r="J52" s="853"/>
      <c r="K52" s="853"/>
      <c r="L52" s="548"/>
    </row>
    <row r="53" spans="1:12" ht="12.75">
      <c r="A53" s="431">
        <v>34</v>
      </c>
      <c r="B53" s="481" t="s">
        <v>771</v>
      </c>
      <c r="C53" s="454">
        <v>78901</v>
      </c>
      <c r="D53" s="476"/>
      <c r="E53" s="476"/>
      <c r="F53" s="475">
        <v>78901</v>
      </c>
      <c r="G53" s="476"/>
      <c r="H53" s="476"/>
      <c r="I53" s="476"/>
      <c r="J53" s="444">
        <v>0</v>
      </c>
      <c r="K53" s="444">
        <v>78901</v>
      </c>
      <c r="L53" s="845"/>
    </row>
    <row r="54" spans="1:12" ht="13.5" thickBot="1">
      <c r="A54" s="433">
        <v>35</v>
      </c>
      <c r="B54" s="439" t="s">
        <v>767</v>
      </c>
      <c r="C54" s="482">
        <v>1499099</v>
      </c>
      <c r="D54" s="477"/>
      <c r="E54" s="477"/>
      <c r="F54" s="468">
        <v>1499099</v>
      </c>
      <c r="G54" s="477"/>
      <c r="H54" s="477"/>
      <c r="I54" s="478"/>
      <c r="J54" s="444">
        <v>0</v>
      </c>
      <c r="K54" s="444">
        <v>1499099</v>
      </c>
      <c r="L54" s="846"/>
    </row>
    <row r="55" spans="1:12" ht="13.5" thickBot="1">
      <c r="A55" s="433">
        <v>36</v>
      </c>
      <c r="B55" s="445" t="s">
        <v>768</v>
      </c>
      <c r="C55" s="446">
        <f>SUM(C53:C54)</f>
        <v>1578000</v>
      </c>
      <c r="D55" s="483"/>
      <c r="E55" s="483"/>
      <c r="F55" s="447">
        <f>SUM(F53:F54)</f>
        <v>1578000</v>
      </c>
      <c r="G55" s="483"/>
      <c r="H55" s="483"/>
      <c r="I55" s="484"/>
      <c r="J55" s="451">
        <f>SUM(J53+J54)</f>
        <v>0</v>
      </c>
      <c r="K55" s="451">
        <f>SUM(K53+K54)</f>
        <v>1578000</v>
      </c>
      <c r="L55" s="854"/>
    </row>
    <row r="56" spans="1:12" ht="13.5" thickBot="1">
      <c r="A56" s="433"/>
      <c r="B56" s="863"/>
      <c r="C56" s="1306"/>
      <c r="D56" s="1306"/>
      <c r="E56" s="1306"/>
      <c r="F56" s="1306"/>
      <c r="G56" s="1306"/>
      <c r="H56" s="1306"/>
      <c r="I56" s="1306"/>
      <c r="J56" s="1306"/>
      <c r="K56" s="864"/>
      <c r="L56" s="432"/>
    </row>
    <row r="57" spans="1:12" ht="12.75">
      <c r="A57" s="452">
        <v>37</v>
      </c>
      <c r="B57" s="470" t="s">
        <v>769</v>
      </c>
      <c r="C57" s="454">
        <v>1578000</v>
      </c>
      <c r="D57" s="476"/>
      <c r="E57" s="476"/>
      <c r="F57" s="475">
        <v>1578000</v>
      </c>
      <c r="G57" s="476"/>
      <c r="H57" s="476"/>
      <c r="I57" s="476"/>
      <c r="J57" s="845"/>
      <c r="K57" s="845"/>
      <c r="L57" s="438">
        <v>1578000</v>
      </c>
    </row>
    <row r="58" spans="1:12" ht="13.5" thickBot="1">
      <c r="A58" s="452">
        <v>38</v>
      </c>
      <c r="B58" s="479" t="s">
        <v>774</v>
      </c>
      <c r="C58" s="457">
        <v>0</v>
      </c>
      <c r="D58" s="477"/>
      <c r="E58" s="477"/>
      <c r="F58" s="468">
        <v>0</v>
      </c>
      <c r="G58" s="477"/>
      <c r="H58" s="477"/>
      <c r="I58" s="478"/>
      <c r="J58" s="846"/>
      <c r="K58" s="846"/>
      <c r="L58" s="444">
        <v>0</v>
      </c>
    </row>
    <row r="59" spans="1:12" ht="13.5" thickBot="1">
      <c r="A59" s="471">
        <v>39</v>
      </c>
      <c r="B59" s="472" t="s">
        <v>335</v>
      </c>
      <c r="C59" s="460">
        <f>SUM(C57:C58)</f>
        <v>1578000</v>
      </c>
      <c r="D59" s="485"/>
      <c r="E59" s="485"/>
      <c r="F59" s="473">
        <f>SUM(F57:F58)</f>
        <v>1578000</v>
      </c>
      <c r="G59" s="485"/>
      <c r="H59" s="485"/>
      <c r="I59" s="486"/>
      <c r="J59" s="854"/>
      <c r="K59" s="854"/>
      <c r="L59" s="462">
        <f>SUM(L56:L58)</f>
        <v>1578000</v>
      </c>
    </row>
    <row r="60" spans="1:12" ht="14.25" thickBot="1" thickTop="1">
      <c r="A60" s="550"/>
      <c r="B60" s="860"/>
      <c r="C60" s="861"/>
      <c r="D60" s="861"/>
      <c r="E60" s="861"/>
      <c r="F60" s="861"/>
      <c r="G60" s="861"/>
      <c r="H60" s="861"/>
      <c r="I60" s="861"/>
      <c r="J60" s="861"/>
      <c r="K60" s="861"/>
      <c r="L60" s="862"/>
    </row>
    <row r="61" spans="1:12" ht="16.5" thickBot="1" thickTop="1">
      <c r="A61" s="546">
        <v>40</v>
      </c>
      <c r="B61" s="851" t="s">
        <v>928</v>
      </c>
      <c r="C61" s="852"/>
      <c r="D61" s="852"/>
      <c r="E61" s="852"/>
      <c r="F61" s="852"/>
      <c r="G61" s="852"/>
      <c r="H61" s="852"/>
      <c r="I61" s="852"/>
      <c r="J61" s="853"/>
      <c r="K61" s="853"/>
      <c r="L61" s="548"/>
    </row>
    <row r="62" spans="1:12" ht="12.75">
      <c r="A62" s="431">
        <v>41</v>
      </c>
      <c r="B62" s="481" t="s">
        <v>771</v>
      </c>
      <c r="C62" s="454">
        <v>10986749</v>
      </c>
      <c r="D62" s="475">
        <v>0</v>
      </c>
      <c r="E62" s="475">
        <v>10986749</v>
      </c>
      <c r="F62" s="475">
        <v>0</v>
      </c>
      <c r="G62" s="437"/>
      <c r="H62" s="437"/>
      <c r="I62" s="1320"/>
      <c r="J62" s="444">
        <v>0</v>
      </c>
      <c r="K62" s="444">
        <v>0</v>
      </c>
      <c r="L62" s="845"/>
    </row>
    <row r="63" spans="1:12" ht="25.5">
      <c r="A63" s="1321">
        <v>42</v>
      </c>
      <c r="B63" s="1322" t="s">
        <v>961</v>
      </c>
      <c r="C63" s="1323">
        <v>1000000</v>
      </c>
      <c r="D63" s="1313"/>
      <c r="E63" s="1313"/>
      <c r="F63" s="1313">
        <v>1000000</v>
      </c>
      <c r="G63" s="1324"/>
      <c r="H63" s="1324"/>
      <c r="I63" s="1325"/>
      <c r="J63" s="1326">
        <v>0</v>
      </c>
      <c r="K63" s="1326">
        <v>0</v>
      </c>
      <c r="L63" s="846"/>
    </row>
    <row r="64" spans="1:12" ht="13.5" thickBot="1">
      <c r="A64" s="433">
        <v>43</v>
      </c>
      <c r="B64" s="439" t="s">
        <v>767</v>
      </c>
      <c r="C64" s="482">
        <v>19999984</v>
      </c>
      <c r="D64" s="468">
        <v>0</v>
      </c>
      <c r="E64" s="468">
        <v>9999992</v>
      </c>
      <c r="F64" s="468">
        <v>9999992</v>
      </c>
      <c r="G64" s="477"/>
      <c r="H64" s="477"/>
      <c r="I64" s="478"/>
      <c r="J64" s="444">
        <v>0</v>
      </c>
      <c r="K64" s="444">
        <v>9999992</v>
      </c>
      <c r="L64" s="846"/>
    </row>
    <row r="65" spans="1:12" ht="13.5" thickBot="1">
      <c r="A65" s="433">
        <v>44</v>
      </c>
      <c r="B65" s="445" t="s">
        <v>768</v>
      </c>
      <c r="C65" s="446">
        <f>SUM(C62:C64)</f>
        <v>31986733</v>
      </c>
      <c r="D65" s="447">
        <f>SUM(D62:D64)</f>
        <v>0</v>
      </c>
      <c r="E65" s="447">
        <f>SUM(E62:E64)</f>
        <v>20986741</v>
      </c>
      <c r="F65" s="447">
        <f>SUM(F62:F64)</f>
        <v>10999992</v>
      </c>
      <c r="G65" s="483"/>
      <c r="H65" s="483"/>
      <c r="I65" s="484"/>
      <c r="J65" s="451">
        <f>SUM(J62+J64)</f>
        <v>0</v>
      </c>
      <c r="K65" s="451">
        <f>SUM(K62+K64)</f>
        <v>9999992</v>
      </c>
      <c r="L65" s="854"/>
    </row>
    <row r="66" spans="1:12" ht="13.5" thickBot="1">
      <c r="A66" s="433"/>
      <c r="B66" s="863"/>
      <c r="C66" s="1306"/>
      <c r="D66" s="1306"/>
      <c r="E66" s="1306"/>
      <c r="F66" s="1306"/>
      <c r="G66" s="1306"/>
      <c r="H66" s="1306"/>
      <c r="I66" s="1306"/>
      <c r="J66" s="1306"/>
      <c r="K66" s="864"/>
      <c r="L66" s="432"/>
    </row>
    <row r="67" spans="1:12" ht="12.75">
      <c r="A67" s="452">
        <v>45</v>
      </c>
      <c r="B67" s="470" t="s">
        <v>769</v>
      </c>
      <c r="C67" s="454">
        <v>21052620</v>
      </c>
      <c r="D67" s="475">
        <v>0</v>
      </c>
      <c r="E67" s="475">
        <v>21052620</v>
      </c>
      <c r="F67" s="475">
        <v>0</v>
      </c>
      <c r="G67" s="476"/>
      <c r="H67" s="476"/>
      <c r="I67" s="476"/>
      <c r="J67" s="845"/>
      <c r="K67" s="845"/>
      <c r="L67" s="438">
        <v>0</v>
      </c>
    </row>
    <row r="68" spans="1:12" ht="13.5" thickBot="1">
      <c r="A68" s="452">
        <v>46</v>
      </c>
      <c r="B68" s="479" t="s">
        <v>774</v>
      </c>
      <c r="C68" s="457">
        <f>9934113+1000000</f>
        <v>10934113</v>
      </c>
      <c r="D68" s="468">
        <v>0</v>
      </c>
      <c r="E68" s="468">
        <v>3533565</v>
      </c>
      <c r="F68" s="468">
        <f>6400548+1000000</f>
        <v>7400548</v>
      </c>
      <c r="G68" s="477"/>
      <c r="H68" s="477"/>
      <c r="I68" s="478"/>
      <c r="J68" s="846"/>
      <c r="K68" s="846"/>
      <c r="L68" s="444">
        <f>6400548+1000000</f>
        <v>7400548</v>
      </c>
    </row>
    <row r="69" spans="1:12" ht="13.5" thickBot="1">
      <c r="A69" s="471">
        <v>47</v>
      </c>
      <c r="B69" s="472" t="s">
        <v>335</v>
      </c>
      <c r="C69" s="460">
        <f>SUM(C67:C68)</f>
        <v>31986733</v>
      </c>
      <c r="D69" s="473">
        <f>SUM(D67:D68)</f>
        <v>0</v>
      </c>
      <c r="E69" s="473">
        <f>SUM(E67:E68)</f>
        <v>24586185</v>
      </c>
      <c r="F69" s="473">
        <f>SUM(F67:F68)</f>
        <v>7400548</v>
      </c>
      <c r="G69" s="485"/>
      <c r="H69" s="485"/>
      <c r="I69" s="486"/>
      <c r="J69" s="854"/>
      <c r="K69" s="854"/>
      <c r="L69" s="462">
        <f>SUM(L66:L68)</f>
        <v>7400548</v>
      </c>
    </row>
    <row r="70" spans="1:12" ht="14.25" thickBot="1" thickTop="1">
      <c r="A70" s="550"/>
      <c r="B70" s="860"/>
      <c r="C70" s="861"/>
      <c r="D70" s="861"/>
      <c r="E70" s="861"/>
      <c r="F70" s="861"/>
      <c r="G70" s="861"/>
      <c r="H70" s="861"/>
      <c r="I70" s="861"/>
      <c r="J70" s="861"/>
      <c r="K70" s="861"/>
      <c r="L70" s="862"/>
    </row>
    <row r="71" spans="1:12" ht="16.5" thickBot="1" thickTop="1">
      <c r="A71" s="546">
        <v>48</v>
      </c>
      <c r="B71" s="851" t="s">
        <v>930</v>
      </c>
      <c r="C71" s="852"/>
      <c r="D71" s="852"/>
      <c r="E71" s="852"/>
      <c r="F71" s="852"/>
      <c r="G71" s="852"/>
      <c r="H71" s="852"/>
      <c r="I71" s="852"/>
      <c r="J71" s="853"/>
      <c r="K71" s="853"/>
      <c r="L71" s="548"/>
    </row>
    <row r="72" spans="1:12" ht="12.75">
      <c r="A72" s="431">
        <v>49</v>
      </c>
      <c r="B72" s="481" t="s">
        <v>771</v>
      </c>
      <c r="C72" s="454">
        <v>396853</v>
      </c>
      <c r="D72" s="475">
        <v>8868</v>
      </c>
      <c r="E72" s="475">
        <v>387985</v>
      </c>
      <c r="F72" s="475">
        <v>0</v>
      </c>
      <c r="G72" s="476"/>
      <c r="H72" s="476"/>
      <c r="I72" s="476"/>
      <c r="J72" s="444">
        <v>0</v>
      </c>
      <c r="K72" s="444">
        <v>0</v>
      </c>
      <c r="L72" s="845"/>
    </row>
    <row r="73" spans="1:12" ht="13.5" thickBot="1">
      <c r="A73" s="433">
        <v>50</v>
      </c>
      <c r="B73" s="439" t="s">
        <v>767</v>
      </c>
      <c r="C73" s="482">
        <v>9980698</v>
      </c>
      <c r="D73" s="468">
        <v>0</v>
      </c>
      <c r="E73" s="468">
        <v>4990349</v>
      </c>
      <c r="F73" s="468">
        <v>4990349</v>
      </c>
      <c r="G73" s="477"/>
      <c r="H73" s="477"/>
      <c r="I73" s="478"/>
      <c r="J73" s="444">
        <v>0</v>
      </c>
      <c r="K73" s="444">
        <v>4990349</v>
      </c>
      <c r="L73" s="846"/>
    </row>
    <row r="74" spans="1:12" ht="13.5" thickBot="1">
      <c r="A74" s="433">
        <v>51</v>
      </c>
      <c r="B74" s="445" t="s">
        <v>768</v>
      </c>
      <c r="C74" s="446">
        <f>SUM(C72:C73)</f>
        <v>10377551</v>
      </c>
      <c r="D74" s="447">
        <f>SUM(D72:D73)</f>
        <v>8868</v>
      </c>
      <c r="E74" s="447">
        <f>SUM(E72:E73)</f>
        <v>5378334</v>
      </c>
      <c r="F74" s="447">
        <f>SUM(F72:F73)</f>
        <v>4990349</v>
      </c>
      <c r="G74" s="483"/>
      <c r="H74" s="483"/>
      <c r="I74" s="484"/>
      <c r="J74" s="451">
        <f>SUM(J72+J73)</f>
        <v>0</v>
      </c>
      <c r="K74" s="451">
        <f>SUM(K72+K73)</f>
        <v>4990349</v>
      </c>
      <c r="L74" s="854"/>
    </row>
    <row r="75" spans="1:12" ht="13.5" thickBot="1">
      <c r="A75" s="433"/>
      <c r="B75" s="863"/>
      <c r="C75" s="1306"/>
      <c r="D75" s="1306"/>
      <c r="E75" s="1306"/>
      <c r="F75" s="1306"/>
      <c r="G75" s="1306"/>
      <c r="H75" s="1306"/>
      <c r="I75" s="1306"/>
      <c r="J75" s="1306"/>
      <c r="K75" s="864"/>
      <c r="L75" s="432"/>
    </row>
    <row r="76" spans="1:12" ht="12.75">
      <c r="A76" s="452">
        <v>52</v>
      </c>
      <c r="B76" s="470" t="s">
        <v>769</v>
      </c>
      <c r="C76" s="454">
        <v>9989566</v>
      </c>
      <c r="D76" s="475">
        <v>0</v>
      </c>
      <c r="E76" s="475">
        <f>9989566-516434</f>
        <v>9473132</v>
      </c>
      <c r="F76" s="475">
        <v>0</v>
      </c>
      <c r="G76" s="476"/>
      <c r="H76" s="476"/>
      <c r="I76" s="476"/>
      <c r="J76" s="845"/>
      <c r="K76" s="845"/>
      <c r="L76" s="438">
        <v>0</v>
      </c>
    </row>
    <row r="77" spans="1:12" ht="12.75">
      <c r="A77" s="452">
        <v>53</v>
      </c>
      <c r="B77" s="479" t="s">
        <v>774</v>
      </c>
      <c r="C77" s="457">
        <v>387985</v>
      </c>
      <c r="D77" s="468">
        <v>0</v>
      </c>
      <c r="E77" s="468">
        <v>387985</v>
      </c>
      <c r="F77" s="468">
        <v>0</v>
      </c>
      <c r="G77" s="443"/>
      <c r="H77" s="443"/>
      <c r="I77" s="1327"/>
      <c r="J77" s="846"/>
      <c r="K77" s="846"/>
      <c r="L77" s="444">
        <v>0</v>
      </c>
    </row>
    <row r="78" spans="1:12" ht="13.5" thickBot="1">
      <c r="A78" s="452">
        <v>54</v>
      </c>
      <c r="B78" s="559" t="s">
        <v>770</v>
      </c>
      <c r="C78" s="1328">
        <v>0</v>
      </c>
      <c r="D78" s="441">
        <v>0</v>
      </c>
      <c r="E78" s="1329">
        <v>516434</v>
      </c>
      <c r="F78" s="1329">
        <v>0</v>
      </c>
      <c r="G78" s="593"/>
      <c r="H78" s="593"/>
      <c r="I78" s="1330"/>
      <c r="J78" s="846"/>
      <c r="K78" s="846"/>
      <c r="L78" s="549">
        <v>516434</v>
      </c>
    </row>
    <row r="79" spans="1:12" ht="13.5" thickBot="1">
      <c r="A79" s="471">
        <v>55</v>
      </c>
      <c r="B79" s="472" t="s">
        <v>335</v>
      </c>
      <c r="C79" s="460">
        <f>SUM(C76:C78)</f>
        <v>10377551</v>
      </c>
      <c r="D79" s="473">
        <f>SUM(D76:D78)</f>
        <v>0</v>
      </c>
      <c r="E79" s="473">
        <f>SUM(E76:E78)</f>
        <v>10377551</v>
      </c>
      <c r="F79" s="473">
        <f>SUM(F76:F78)</f>
        <v>0</v>
      </c>
      <c r="G79" s="485"/>
      <c r="H79" s="485"/>
      <c r="I79" s="486"/>
      <c r="J79" s="854"/>
      <c r="K79" s="854"/>
      <c r="L79" s="462">
        <f>SUM(L75:L78)</f>
        <v>516434</v>
      </c>
    </row>
    <row r="80" spans="1:12" ht="14.25" thickBot="1" thickTop="1">
      <c r="A80" s="463"/>
      <c r="B80" s="860"/>
      <c r="C80" s="861"/>
      <c r="D80" s="861"/>
      <c r="E80" s="861"/>
      <c r="F80" s="861"/>
      <c r="G80" s="861"/>
      <c r="H80" s="861"/>
      <c r="I80" s="861"/>
      <c r="J80" s="861"/>
      <c r="K80" s="861"/>
      <c r="L80" s="862"/>
    </row>
    <row r="81" spans="1:12" ht="16.5" thickBot="1" thickTop="1">
      <c r="A81" s="546">
        <v>56</v>
      </c>
      <c r="B81" s="865" t="s">
        <v>914</v>
      </c>
      <c r="C81" s="866"/>
      <c r="D81" s="866"/>
      <c r="E81" s="866"/>
      <c r="F81" s="866"/>
      <c r="G81" s="866"/>
      <c r="H81" s="866"/>
      <c r="I81" s="866"/>
      <c r="J81" s="867"/>
      <c r="K81" s="867"/>
      <c r="L81" s="548"/>
    </row>
    <row r="82" spans="1:12" ht="12.75">
      <c r="A82" s="431">
        <v>57</v>
      </c>
      <c r="B82" s="434" t="s">
        <v>771</v>
      </c>
      <c r="C82" s="464">
        <v>0</v>
      </c>
      <c r="D82" s="551"/>
      <c r="E82" s="465">
        <v>0</v>
      </c>
      <c r="F82" s="465">
        <v>0</v>
      </c>
      <c r="G82" s="465">
        <v>0</v>
      </c>
      <c r="H82" s="551"/>
      <c r="I82" s="551"/>
      <c r="J82" s="438">
        <v>0</v>
      </c>
      <c r="K82" s="438">
        <v>0</v>
      </c>
      <c r="L82" s="845"/>
    </row>
    <row r="83" spans="1:12" ht="13.5" thickBot="1">
      <c r="A83" s="466">
        <v>58</v>
      </c>
      <c r="B83" s="439" t="s">
        <v>767</v>
      </c>
      <c r="C83" s="467">
        <v>202321812</v>
      </c>
      <c r="D83" s="552"/>
      <c r="E83" s="442">
        <f>104483115+10976885</f>
        <v>115460000</v>
      </c>
      <c r="F83" s="442">
        <v>75330433</v>
      </c>
      <c r="G83" s="442">
        <v>11531379</v>
      </c>
      <c r="H83" s="552"/>
      <c r="I83" s="552"/>
      <c r="J83" s="444">
        <f>79738385+8508586</f>
        <v>88246971</v>
      </c>
      <c r="K83" s="444">
        <v>0</v>
      </c>
      <c r="L83" s="846"/>
    </row>
    <row r="84" spans="1:12" ht="13.5" thickBot="1">
      <c r="A84" s="433">
        <v>59</v>
      </c>
      <c r="B84" s="445" t="s">
        <v>768</v>
      </c>
      <c r="C84" s="446">
        <f aca="true" t="shared" si="3" ref="C84:K84">SUM(C82:C83)</f>
        <v>202321812</v>
      </c>
      <c r="D84" s="448"/>
      <c r="E84" s="447">
        <f t="shared" si="3"/>
        <v>115460000</v>
      </c>
      <c r="F84" s="447">
        <f t="shared" si="3"/>
        <v>75330433</v>
      </c>
      <c r="G84" s="447">
        <f t="shared" si="3"/>
        <v>11531379</v>
      </c>
      <c r="H84" s="448"/>
      <c r="I84" s="448"/>
      <c r="J84" s="451">
        <f>SUM(J82:J83)</f>
        <v>88246971</v>
      </c>
      <c r="K84" s="451">
        <f t="shared" si="3"/>
        <v>0</v>
      </c>
      <c r="L84" s="854"/>
    </row>
    <row r="85" spans="1:12" ht="13.5" thickBot="1">
      <c r="A85" s="433"/>
      <c r="B85" s="863"/>
      <c r="C85" s="1306"/>
      <c r="D85" s="1306"/>
      <c r="E85" s="1306"/>
      <c r="F85" s="1306"/>
      <c r="G85" s="1306"/>
      <c r="H85" s="1306"/>
      <c r="I85" s="1306"/>
      <c r="J85" s="1306"/>
      <c r="K85" s="864"/>
      <c r="L85" s="432"/>
    </row>
    <row r="86" spans="1:12" ht="12.75">
      <c r="A86" s="469">
        <v>60</v>
      </c>
      <c r="B86" s="470" t="s">
        <v>772</v>
      </c>
      <c r="C86" s="872">
        <v>89908666</v>
      </c>
      <c r="D86" s="553"/>
      <c r="E86" s="436">
        <f>8545743+1</f>
        <v>8545744</v>
      </c>
      <c r="F86" s="475">
        <v>63219192</v>
      </c>
      <c r="G86" s="475">
        <v>9109530</v>
      </c>
      <c r="H86" s="553"/>
      <c r="I86" s="553"/>
      <c r="J86" s="845"/>
      <c r="K86" s="845"/>
      <c r="L86" s="438">
        <f>17304194+24000000+4680000</f>
        <v>45984194</v>
      </c>
    </row>
    <row r="87" spans="1:12" ht="25.5">
      <c r="A87" s="1310">
        <v>61</v>
      </c>
      <c r="B87" s="1331" t="s">
        <v>932</v>
      </c>
      <c r="C87" s="873"/>
      <c r="D87" s="585"/>
      <c r="E87" s="1314">
        <v>860400</v>
      </c>
      <c r="F87" s="1313">
        <v>6883200</v>
      </c>
      <c r="G87" s="1313">
        <v>1290600</v>
      </c>
      <c r="H87" s="585"/>
      <c r="I87" s="585"/>
      <c r="J87" s="846"/>
      <c r="K87" s="846"/>
      <c r="L87" s="1315">
        <v>6883200</v>
      </c>
    </row>
    <row r="88" spans="1:12" ht="12.75">
      <c r="A88" s="452">
        <v>62</v>
      </c>
      <c r="B88" s="456" t="s">
        <v>770</v>
      </c>
      <c r="C88" s="554">
        <v>88083888</v>
      </c>
      <c r="D88" s="555"/>
      <c r="E88" s="442">
        <v>4803780</v>
      </c>
      <c r="F88" s="468">
        <v>82148859</v>
      </c>
      <c r="G88" s="468">
        <v>1131249</v>
      </c>
      <c r="H88" s="555"/>
      <c r="I88" s="555"/>
      <c r="J88" s="846"/>
      <c r="K88" s="846"/>
      <c r="L88" s="444">
        <f>58739847-28680000</f>
        <v>30059847</v>
      </c>
    </row>
    <row r="89" spans="1:12" ht="12.75">
      <c r="A89" s="452">
        <v>63</v>
      </c>
      <c r="B89" s="556" t="s">
        <v>769</v>
      </c>
      <c r="C89" s="557">
        <v>17800696</v>
      </c>
      <c r="D89" s="558"/>
      <c r="E89" s="442">
        <v>13003105</v>
      </c>
      <c r="F89" s="468">
        <v>4797591</v>
      </c>
      <c r="G89" s="468">
        <v>0</v>
      </c>
      <c r="H89" s="558"/>
      <c r="I89" s="558"/>
      <c r="J89" s="846"/>
      <c r="K89" s="846"/>
      <c r="L89" s="444">
        <v>4797591</v>
      </c>
    </row>
    <row r="90" spans="1:12" ht="13.5" thickBot="1">
      <c r="A90" s="452">
        <v>64</v>
      </c>
      <c r="B90" s="559" t="s">
        <v>775</v>
      </c>
      <c r="C90" s="554">
        <v>6528562</v>
      </c>
      <c r="D90" s="560"/>
      <c r="E90" s="441"/>
      <c r="F90" s="561">
        <v>6528562</v>
      </c>
      <c r="G90" s="561">
        <v>0</v>
      </c>
      <c r="H90" s="560"/>
      <c r="I90" s="560"/>
      <c r="J90" s="846"/>
      <c r="K90" s="846"/>
      <c r="L90" s="562">
        <v>522139</v>
      </c>
    </row>
    <row r="91" spans="1:12" ht="13.5" thickBot="1">
      <c r="A91" s="471">
        <v>65</v>
      </c>
      <c r="B91" s="472" t="s">
        <v>335</v>
      </c>
      <c r="C91" s="460">
        <f>SUM(C86:C90)</f>
        <v>202321812</v>
      </c>
      <c r="D91" s="485"/>
      <c r="E91" s="473">
        <f>SUM(E86:E90)</f>
        <v>27213029</v>
      </c>
      <c r="F91" s="473">
        <f>SUM(F86:F90)</f>
        <v>163577404</v>
      </c>
      <c r="G91" s="473">
        <f>SUM(G86:G90)</f>
        <v>11531379</v>
      </c>
      <c r="H91" s="485"/>
      <c r="I91" s="485"/>
      <c r="J91" s="847"/>
      <c r="K91" s="847"/>
      <c r="L91" s="462">
        <f>SUM(L86:L90)</f>
        <v>88246971</v>
      </c>
    </row>
    <row r="92" spans="1:12" ht="14.25" thickBot="1" thickTop="1">
      <c r="A92" s="463"/>
      <c r="B92" s="860"/>
      <c r="C92" s="861"/>
      <c r="D92" s="861"/>
      <c r="E92" s="861"/>
      <c r="F92" s="861"/>
      <c r="G92" s="861"/>
      <c r="H92" s="861"/>
      <c r="I92" s="861"/>
      <c r="J92" s="861"/>
      <c r="K92" s="861"/>
      <c r="L92" s="862"/>
    </row>
    <row r="93" spans="1:12" ht="16.5" thickBot="1" thickTop="1">
      <c r="A93" s="546">
        <v>66</v>
      </c>
      <c r="B93" s="865" t="s">
        <v>915</v>
      </c>
      <c r="C93" s="866"/>
      <c r="D93" s="866"/>
      <c r="E93" s="866"/>
      <c r="F93" s="866"/>
      <c r="G93" s="866"/>
      <c r="H93" s="866"/>
      <c r="I93" s="866"/>
      <c r="J93" s="867"/>
      <c r="K93" s="867"/>
      <c r="L93" s="548"/>
    </row>
    <row r="94" spans="1:12" ht="12.75">
      <c r="A94" s="431">
        <v>67</v>
      </c>
      <c r="B94" s="434" t="s">
        <v>771</v>
      </c>
      <c r="C94" s="464">
        <v>0</v>
      </c>
      <c r="D94" s="551"/>
      <c r="E94" s="465">
        <v>0</v>
      </c>
      <c r="F94" s="465">
        <v>0</v>
      </c>
      <c r="G94" s="465">
        <v>0</v>
      </c>
      <c r="H94" s="465"/>
      <c r="I94" s="551"/>
      <c r="J94" s="438">
        <v>0</v>
      </c>
      <c r="K94" s="438">
        <v>0</v>
      </c>
      <c r="L94" s="845"/>
    </row>
    <row r="95" spans="1:12" ht="13.5" thickBot="1">
      <c r="A95" s="466">
        <v>68</v>
      </c>
      <c r="B95" s="439" t="s">
        <v>767</v>
      </c>
      <c r="C95" s="467">
        <v>62107135</v>
      </c>
      <c r="D95" s="552"/>
      <c r="E95" s="442">
        <v>32379432</v>
      </c>
      <c r="F95" s="442">
        <v>8244379</v>
      </c>
      <c r="G95" s="442">
        <v>20495112</v>
      </c>
      <c r="H95" s="442">
        <v>988212</v>
      </c>
      <c r="I95" s="552"/>
      <c r="J95" s="444">
        <f>16987125</f>
        <v>16987125</v>
      </c>
      <c r="K95" s="444">
        <v>0</v>
      </c>
      <c r="L95" s="846"/>
    </row>
    <row r="96" spans="1:12" ht="13.5" thickBot="1">
      <c r="A96" s="433">
        <v>69</v>
      </c>
      <c r="B96" s="445" t="s">
        <v>768</v>
      </c>
      <c r="C96" s="446">
        <f>SUM(C94:C95)</f>
        <v>62107135</v>
      </c>
      <c r="D96" s="448"/>
      <c r="E96" s="447">
        <f>SUM(E94:E95)</f>
        <v>32379432</v>
      </c>
      <c r="F96" s="447">
        <f>SUM(F94:F95)</f>
        <v>8244379</v>
      </c>
      <c r="G96" s="447">
        <f>SUM(G94:G95)</f>
        <v>20495112</v>
      </c>
      <c r="H96" s="447">
        <f>SUM(H94:H95)</f>
        <v>988212</v>
      </c>
      <c r="I96" s="448"/>
      <c r="J96" s="451">
        <f>SUM(J94:J95)</f>
        <v>16987125</v>
      </c>
      <c r="K96" s="451">
        <f>SUM(K94:K95)</f>
        <v>0</v>
      </c>
      <c r="L96" s="854"/>
    </row>
    <row r="97" spans="1:12" ht="13.5" thickBot="1">
      <c r="A97" s="433"/>
      <c r="B97" s="863"/>
      <c r="C97" s="1306"/>
      <c r="D97" s="1306"/>
      <c r="E97" s="1306"/>
      <c r="F97" s="1306"/>
      <c r="G97" s="1306"/>
      <c r="H97" s="1306"/>
      <c r="I97" s="1306"/>
      <c r="J97" s="1306"/>
      <c r="K97" s="864"/>
      <c r="L97" s="432"/>
    </row>
    <row r="98" spans="1:12" ht="12.75">
      <c r="A98" s="1332">
        <v>70</v>
      </c>
      <c r="B98" s="1333" t="s">
        <v>772</v>
      </c>
      <c r="C98" s="872">
        <v>30232800</v>
      </c>
      <c r="D98" s="553"/>
      <c r="E98" s="1334">
        <v>1493750</v>
      </c>
      <c r="F98" s="1335">
        <v>10460450</v>
      </c>
      <c r="G98" s="1335">
        <v>6062400</v>
      </c>
      <c r="H98" s="1335">
        <v>505200</v>
      </c>
      <c r="I98" s="553"/>
      <c r="J98" s="845"/>
      <c r="K98" s="845"/>
      <c r="L98" s="1336">
        <v>7143232</v>
      </c>
    </row>
    <row r="99" spans="1:12" ht="25.5">
      <c r="A99" s="1310">
        <v>71</v>
      </c>
      <c r="B99" s="1311" t="s">
        <v>931</v>
      </c>
      <c r="C99" s="873"/>
      <c r="D99" s="585"/>
      <c r="E99" s="1314">
        <v>3346000</v>
      </c>
      <c r="F99" s="1313">
        <v>4015200</v>
      </c>
      <c r="G99" s="1313">
        <v>4015200</v>
      </c>
      <c r="H99" s="1313">
        <v>334600</v>
      </c>
      <c r="I99" s="585"/>
      <c r="J99" s="846"/>
      <c r="K99" s="846"/>
      <c r="L99" s="1315">
        <v>4015200</v>
      </c>
    </row>
    <row r="100" spans="1:12" ht="12.75">
      <c r="A100" s="452">
        <v>72</v>
      </c>
      <c r="B100" s="456" t="s">
        <v>770</v>
      </c>
      <c r="C100" s="457">
        <v>28874335</v>
      </c>
      <c r="D100" s="555"/>
      <c r="E100" s="442">
        <v>10552557</v>
      </c>
      <c r="F100" s="468">
        <v>8855854</v>
      </c>
      <c r="G100" s="468">
        <v>9417512</v>
      </c>
      <c r="H100" s="468">
        <v>48412</v>
      </c>
      <c r="I100" s="555"/>
      <c r="J100" s="846"/>
      <c r="K100" s="846"/>
      <c r="L100" s="444">
        <v>4264649</v>
      </c>
    </row>
    <row r="101" spans="1:12" ht="13.5" thickBot="1">
      <c r="A101" s="452">
        <v>73</v>
      </c>
      <c r="B101" s="556" t="s">
        <v>916</v>
      </c>
      <c r="C101" s="564">
        <v>3000000</v>
      </c>
      <c r="D101" s="558"/>
      <c r="E101" s="442">
        <v>0</v>
      </c>
      <c r="F101" s="468">
        <v>1900000</v>
      </c>
      <c r="G101" s="468">
        <v>1000000</v>
      </c>
      <c r="H101" s="468">
        <v>100000</v>
      </c>
      <c r="I101" s="558"/>
      <c r="J101" s="846"/>
      <c r="K101" s="846"/>
      <c r="L101" s="444">
        <v>1564044</v>
      </c>
    </row>
    <row r="102" spans="1:12" ht="13.5" thickBot="1">
      <c r="A102" s="471">
        <v>74</v>
      </c>
      <c r="B102" s="472" t="s">
        <v>335</v>
      </c>
      <c r="C102" s="460">
        <f>SUM(C98:C101)</f>
        <v>62107135</v>
      </c>
      <c r="D102" s="485"/>
      <c r="E102" s="473">
        <f>SUM(E98:E101)</f>
        <v>15392307</v>
      </c>
      <c r="F102" s="473">
        <f>SUM(F98:F101)</f>
        <v>25231504</v>
      </c>
      <c r="G102" s="473">
        <f>SUM(G98:G101)</f>
        <v>20495112</v>
      </c>
      <c r="H102" s="473">
        <f>SUM(H98:H101)</f>
        <v>988212</v>
      </c>
      <c r="I102" s="486"/>
      <c r="J102" s="847"/>
      <c r="K102" s="847"/>
      <c r="L102" s="462">
        <f>SUM(L98:L101)</f>
        <v>16987125</v>
      </c>
    </row>
    <row r="103" spans="2:12" ht="13.5" thickTop="1">
      <c r="B103" s="1306"/>
      <c r="C103" s="1306"/>
      <c r="D103" s="1306"/>
      <c r="E103" s="1306"/>
      <c r="F103" s="1306"/>
      <c r="G103" s="1306"/>
      <c r="H103" s="1306"/>
      <c r="I103" s="1306"/>
      <c r="J103" s="1306"/>
      <c r="K103" s="1306"/>
      <c r="L103"/>
    </row>
    <row r="104" spans="1:12" ht="15.75" thickBot="1">
      <c r="A104" s="1337">
        <v>75</v>
      </c>
      <c r="B104" s="1338" t="s">
        <v>918</v>
      </c>
      <c r="C104" s="1339"/>
      <c r="D104" s="1339"/>
      <c r="E104" s="1339"/>
      <c r="F104" s="1339"/>
      <c r="G104" s="1339"/>
      <c r="H104" s="1339"/>
      <c r="I104" s="1339"/>
      <c r="J104" s="1340"/>
      <c r="K104" s="1340"/>
      <c r="L104" s="547"/>
    </row>
    <row r="105" spans="1:12" ht="25.5">
      <c r="A105" s="1321">
        <v>76</v>
      </c>
      <c r="B105" s="1341" t="s">
        <v>961</v>
      </c>
      <c r="C105" s="1342">
        <v>0</v>
      </c>
      <c r="D105" s="1343"/>
      <c r="E105" s="1334">
        <v>0</v>
      </c>
      <c r="F105" s="1335">
        <v>0</v>
      </c>
      <c r="G105" s="1344"/>
      <c r="H105" s="1344"/>
      <c r="I105" s="1344"/>
      <c r="J105" s="1336">
        <v>0</v>
      </c>
      <c r="K105" s="1336">
        <v>40000</v>
      </c>
      <c r="L105" s="845"/>
    </row>
    <row r="106" spans="1:12" ht="12.75">
      <c r="A106" s="431">
        <v>77</v>
      </c>
      <c r="B106" s="1345" t="s">
        <v>771</v>
      </c>
      <c r="C106" s="564">
        <v>0</v>
      </c>
      <c r="D106" s="1346"/>
      <c r="E106" s="584">
        <v>0</v>
      </c>
      <c r="F106" s="586">
        <v>0</v>
      </c>
      <c r="G106" s="586">
        <v>0</v>
      </c>
      <c r="H106" s="593"/>
      <c r="I106" s="593"/>
      <c r="J106" s="583">
        <v>0</v>
      </c>
      <c r="K106" s="583">
        <v>0</v>
      </c>
      <c r="L106" s="846"/>
    </row>
    <row r="107" spans="1:12" ht="13.5" thickBot="1">
      <c r="A107" s="433">
        <v>78</v>
      </c>
      <c r="B107" s="439" t="s">
        <v>767</v>
      </c>
      <c r="C107" s="457">
        <v>196302400</v>
      </c>
      <c r="D107" s="558"/>
      <c r="E107" s="442">
        <v>196302400</v>
      </c>
      <c r="F107" s="442">
        <v>0</v>
      </c>
      <c r="G107" s="442">
        <v>0</v>
      </c>
      <c r="H107" s="477"/>
      <c r="I107" s="478"/>
      <c r="J107" s="444">
        <v>196302400</v>
      </c>
      <c r="K107" s="444">
        <v>0</v>
      </c>
      <c r="L107" s="846"/>
    </row>
    <row r="108" spans="1:12" ht="13.5" thickBot="1">
      <c r="A108" s="433">
        <v>79</v>
      </c>
      <c r="B108" s="445" t="s">
        <v>768</v>
      </c>
      <c r="C108" s="446">
        <f>SUM(C106:C107)</f>
        <v>196302400</v>
      </c>
      <c r="D108" s="483"/>
      <c r="E108" s="447">
        <f>SUM(E106:E107)</f>
        <v>196302400</v>
      </c>
      <c r="F108" s="447">
        <f>SUM(F106:F107)</f>
        <v>0</v>
      </c>
      <c r="G108" s="447">
        <f>SUM(G106:G107)</f>
        <v>0</v>
      </c>
      <c r="H108" s="483"/>
      <c r="I108" s="484"/>
      <c r="J108" s="451">
        <f>SUM(J106:J107)</f>
        <v>196302400</v>
      </c>
      <c r="K108" s="451">
        <f>SUM(K105:K107)</f>
        <v>40000</v>
      </c>
      <c r="L108" s="854"/>
    </row>
    <row r="109" spans="1:12" ht="13.5" thickBot="1">
      <c r="A109" s="433"/>
      <c r="B109" s="863"/>
      <c r="C109" s="1306"/>
      <c r="D109" s="1306"/>
      <c r="E109" s="1306"/>
      <c r="F109" s="1306"/>
      <c r="G109" s="1306"/>
      <c r="H109" s="1306"/>
      <c r="I109" s="1306"/>
      <c r="J109" s="1306"/>
      <c r="K109" s="864"/>
      <c r="L109" s="432"/>
    </row>
    <row r="110" spans="1:12" ht="12.75">
      <c r="A110" s="452">
        <v>80</v>
      </c>
      <c r="B110" s="470" t="s">
        <v>769</v>
      </c>
      <c r="C110" s="454">
        <f>SUM(E110:G110)</f>
        <v>196302400</v>
      </c>
      <c r="D110" s="1347"/>
      <c r="E110" s="436">
        <v>0</v>
      </c>
      <c r="F110" s="436">
        <v>96822314</v>
      </c>
      <c r="G110" s="436">
        <v>99480086</v>
      </c>
      <c r="H110" s="476"/>
      <c r="I110" s="476"/>
      <c r="J110" s="845"/>
      <c r="K110" s="845"/>
      <c r="L110" s="438">
        <v>196302400</v>
      </c>
    </row>
    <row r="111" spans="1:12" ht="12.75">
      <c r="A111" s="452">
        <v>81</v>
      </c>
      <c r="B111" s="479" t="s">
        <v>774</v>
      </c>
      <c r="C111" s="457">
        <v>0</v>
      </c>
      <c r="D111" s="558"/>
      <c r="E111" s="480">
        <v>0</v>
      </c>
      <c r="F111" s="480">
        <v>0</v>
      </c>
      <c r="G111" s="480">
        <v>0</v>
      </c>
      <c r="H111" s="443"/>
      <c r="I111" s="1327"/>
      <c r="J111" s="846"/>
      <c r="K111" s="846"/>
      <c r="L111" s="444">
        <v>0</v>
      </c>
    </row>
    <row r="112" spans="1:12" ht="13.5" thickBot="1">
      <c r="A112" s="452">
        <v>82</v>
      </c>
      <c r="B112" s="1348" t="s">
        <v>1148</v>
      </c>
      <c r="C112" s="1328">
        <v>0</v>
      </c>
      <c r="D112" s="1349"/>
      <c r="E112" s="1319">
        <v>0</v>
      </c>
      <c r="F112" s="1319">
        <v>0</v>
      </c>
      <c r="G112" s="1319">
        <v>0</v>
      </c>
      <c r="H112" s="593"/>
      <c r="I112" s="594"/>
      <c r="J112" s="846"/>
      <c r="K112" s="846"/>
      <c r="L112" s="549">
        <v>40000</v>
      </c>
    </row>
    <row r="113" spans="1:12" ht="13.5" thickBot="1">
      <c r="A113" s="471">
        <v>83</v>
      </c>
      <c r="B113" s="472" t="s">
        <v>335</v>
      </c>
      <c r="C113" s="460">
        <f>SUM(C110:C111)</f>
        <v>196302400</v>
      </c>
      <c r="D113" s="485"/>
      <c r="E113" s="473">
        <f>SUM(E110:E111)</f>
        <v>0</v>
      </c>
      <c r="F113" s="473">
        <f>SUM(F110:F111)</f>
        <v>96822314</v>
      </c>
      <c r="G113" s="473">
        <f>SUM(G110:G111)</f>
        <v>99480086</v>
      </c>
      <c r="H113" s="485"/>
      <c r="I113" s="485"/>
      <c r="J113" s="847"/>
      <c r="K113" s="847"/>
      <c r="L113" s="462">
        <f>SUM(L110:L112)</f>
        <v>196342400</v>
      </c>
    </row>
    <row r="114" spans="1:12" ht="14.25" thickBot="1" thickTop="1">
      <c r="A114" s="433"/>
      <c r="B114" s="863"/>
      <c r="C114" s="1306"/>
      <c r="D114" s="1306"/>
      <c r="E114" s="1306"/>
      <c r="F114" s="1306"/>
      <c r="G114" s="1306"/>
      <c r="H114" s="1306"/>
      <c r="I114" s="1306"/>
      <c r="J114" s="1306"/>
      <c r="K114" s="864"/>
      <c r="L114" s="432"/>
    </row>
    <row r="115" spans="1:12" ht="16.5" thickBot="1" thickTop="1">
      <c r="A115" s="546">
        <v>84</v>
      </c>
      <c r="B115" s="851" t="s">
        <v>919</v>
      </c>
      <c r="C115" s="852"/>
      <c r="D115" s="852"/>
      <c r="E115" s="852"/>
      <c r="F115" s="852"/>
      <c r="G115" s="852"/>
      <c r="H115" s="852"/>
      <c r="I115" s="852"/>
      <c r="J115" s="853"/>
      <c r="K115" s="853"/>
      <c r="L115" s="548"/>
    </row>
    <row r="116" spans="1:12" ht="25.5">
      <c r="A116" s="1321">
        <v>85</v>
      </c>
      <c r="B116" s="1341" t="s">
        <v>961</v>
      </c>
      <c r="C116" s="1342">
        <v>0</v>
      </c>
      <c r="D116" s="1343"/>
      <c r="E116" s="1334">
        <v>0</v>
      </c>
      <c r="F116" s="1335">
        <v>0</v>
      </c>
      <c r="G116" s="1344"/>
      <c r="H116" s="1344"/>
      <c r="I116" s="1344"/>
      <c r="J116" s="1336">
        <v>0</v>
      </c>
      <c r="K116" s="1336">
        <v>40000</v>
      </c>
      <c r="L116" s="845"/>
    </row>
    <row r="117" spans="1:12" ht="12.75">
      <c r="A117" s="431">
        <v>86</v>
      </c>
      <c r="B117" s="1345" t="s">
        <v>771</v>
      </c>
      <c r="C117" s="564">
        <v>0</v>
      </c>
      <c r="D117" s="1346"/>
      <c r="E117" s="584">
        <v>0</v>
      </c>
      <c r="F117" s="586">
        <v>0</v>
      </c>
      <c r="G117" s="593"/>
      <c r="H117" s="593"/>
      <c r="I117" s="593"/>
      <c r="J117" s="583">
        <v>0</v>
      </c>
      <c r="K117" s="583">
        <v>0</v>
      </c>
      <c r="L117" s="846"/>
    </row>
    <row r="118" spans="1:12" ht="13.5" thickBot="1">
      <c r="A118" s="433">
        <v>87</v>
      </c>
      <c r="B118" s="439" t="s">
        <v>767</v>
      </c>
      <c r="C118" s="457">
        <v>437625000</v>
      </c>
      <c r="D118" s="558"/>
      <c r="E118" s="442">
        <v>437625000</v>
      </c>
      <c r="F118" s="442">
        <v>0</v>
      </c>
      <c r="G118" s="477"/>
      <c r="H118" s="477"/>
      <c r="I118" s="478"/>
      <c r="J118" s="444">
        <f>7875000+429750000</f>
        <v>437625000</v>
      </c>
      <c r="K118" s="444">
        <v>0</v>
      </c>
      <c r="L118" s="846"/>
    </row>
    <row r="119" spans="1:12" ht="13.5" thickBot="1">
      <c r="A119" s="433">
        <v>88</v>
      </c>
      <c r="B119" s="445" t="s">
        <v>768</v>
      </c>
      <c r="C119" s="446">
        <f>SUM(C117:C118)</f>
        <v>437625000</v>
      </c>
      <c r="D119" s="483"/>
      <c r="E119" s="447">
        <f>SUM(E117:E118)</f>
        <v>437625000</v>
      </c>
      <c r="F119" s="447">
        <f>SUM(F117:F118)</f>
        <v>0</v>
      </c>
      <c r="G119" s="483"/>
      <c r="H119" s="483"/>
      <c r="I119" s="484"/>
      <c r="J119" s="451">
        <f>SUM(J117:J118)</f>
        <v>437625000</v>
      </c>
      <c r="K119" s="451">
        <f>SUM(K116:K118)</f>
        <v>40000</v>
      </c>
      <c r="L119" s="854"/>
    </row>
    <row r="120" spans="1:12" ht="13.5" thickBot="1">
      <c r="A120" s="433"/>
      <c r="B120" s="863"/>
      <c r="C120" s="1306"/>
      <c r="D120" s="1306"/>
      <c r="E120" s="1306"/>
      <c r="F120" s="1306"/>
      <c r="G120" s="1306"/>
      <c r="H120" s="1306"/>
      <c r="I120" s="1306"/>
      <c r="J120" s="1306"/>
      <c r="K120" s="864"/>
      <c r="L120" s="432"/>
    </row>
    <row r="121" spans="1:12" ht="12.75">
      <c r="A121" s="452">
        <v>89</v>
      </c>
      <c r="B121" s="470" t="s">
        <v>769</v>
      </c>
      <c r="C121" s="454">
        <v>429750000</v>
      </c>
      <c r="D121" s="1347"/>
      <c r="E121" s="436">
        <v>0</v>
      </c>
      <c r="F121" s="436">
        <v>429750000</v>
      </c>
      <c r="G121" s="476"/>
      <c r="H121" s="476"/>
      <c r="I121" s="476"/>
      <c r="J121" s="845"/>
      <c r="K121" s="845"/>
      <c r="L121" s="438">
        <v>429750000</v>
      </c>
    </row>
    <row r="122" spans="1:12" ht="12.75">
      <c r="A122" s="452">
        <v>90</v>
      </c>
      <c r="B122" s="479" t="s">
        <v>770</v>
      </c>
      <c r="C122" s="457">
        <v>7875000</v>
      </c>
      <c r="D122" s="558"/>
      <c r="E122" s="480">
        <v>0</v>
      </c>
      <c r="F122" s="1350">
        <v>7875000</v>
      </c>
      <c r="G122" s="1317"/>
      <c r="H122" s="1317"/>
      <c r="I122" s="1318"/>
      <c r="J122" s="846"/>
      <c r="K122" s="846"/>
      <c r="L122" s="444">
        <v>7875000</v>
      </c>
    </row>
    <row r="123" spans="1:12" ht="13.5" thickBot="1">
      <c r="A123" s="452">
        <v>91</v>
      </c>
      <c r="B123" s="479" t="s">
        <v>1148</v>
      </c>
      <c r="C123" s="457">
        <v>0</v>
      </c>
      <c r="D123" s="558"/>
      <c r="E123" s="480">
        <v>0</v>
      </c>
      <c r="F123" s="441">
        <v>0</v>
      </c>
      <c r="G123" s="477"/>
      <c r="H123" s="477"/>
      <c r="I123" s="478"/>
      <c r="J123" s="846"/>
      <c r="K123" s="846"/>
      <c r="L123" s="444">
        <v>40000</v>
      </c>
    </row>
    <row r="124" spans="1:12" ht="13.5" thickBot="1">
      <c r="A124" s="471">
        <v>92</v>
      </c>
      <c r="B124" s="472" t="s">
        <v>335</v>
      </c>
      <c r="C124" s="460">
        <f>SUM(C121:C123)</f>
        <v>437625000</v>
      </c>
      <c r="D124" s="485"/>
      <c r="E124" s="473">
        <f>SUM(E121:E123)</f>
        <v>0</v>
      </c>
      <c r="F124" s="473">
        <f>SUM(F121:F123)</f>
        <v>437625000</v>
      </c>
      <c r="G124" s="485"/>
      <c r="H124" s="485"/>
      <c r="I124" s="485"/>
      <c r="J124" s="847"/>
      <c r="K124" s="847"/>
      <c r="L124" s="462">
        <f>SUM(L121:L123)</f>
        <v>437665000</v>
      </c>
    </row>
    <row r="125" spans="1:12" ht="14.25" thickBot="1" thickTop="1">
      <c r="A125" s="433"/>
      <c r="B125" s="863"/>
      <c r="C125" s="1306"/>
      <c r="D125" s="1306"/>
      <c r="E125" s="1306"/>
      <c r="F125" s="1306"/>
      <c r="G125" s="1306"/>
      <c r="H125" s="1306"/>
      <c r="I125" s="1306"/>
      <c r="J125" s="1306"/>
      <c r="K125" s="864"/>
      <c r="L125" s="432"/>
    </row>
    <row r="126" spans="1:12" ht="16.5" thickBot="1" thickTop="1">
      <c r="A126" s="546">
        <v>93</v>
      </c>
      <c r="B126" s="851" t="s">
        <v>920</v>
      </c>
      <c r="C126" s="852"/>
      <c r="D126" s="852"/>
      <c r="E126" s="852"/>
      <c r="F126" s="852"/>
      <c r="G126" s="852"/>
      <c r="H126" s="852"/>
      <c r="I126" s="852"/>
      <c r="J126" s="853"/>
      <c r="K126" s="853"/>
      <c r="L126" s="548"/>
    </row>
    <row r="127" spans="1:12" ht="25.5">
      <c r="A127" s="1321">
        <v>94</v>
      </c>
      <c r="B127" s="1351" t="s">
        <v>961</v>
      </c>
      <c r="C127" s="1342">
        <v>0</v>
      </c>
      <c r="D127" s="1343"/>
      <c r="E127" s="1334">
        <v>0</v>
      </c>
      <c r="F127" s="1335">
        <v>0</v>
      </c>
      <c r="G127" s="1335">
        <v>0</v>
      </c>
      <c r="H127" s="1344"/>
      <c r="I127" s="1344"/>
      <c r="J127" s="1336">
        <v>0</v>
      </c>
      <c r="K127" s="1336">
        <v>40000</v>
      </c>
      <c r="L127" s="845"/>
    </row>
    <row r="128" spans="1:12" ht="12.75">
      <c r="A128" s="431">
        <v>95</v>
      </c>
      <c r="B128" s="1345" t="s">
        <v>771</v>
      </c>
      <c r="C128" s="564">
        <v>0</v>
      </c>
      <c r="D128" s="1346"/>
      <c r="E128" s="584">
        <v>0</v>
      </c>
      <c r="F128" s="586">
        <v>0</v>
      </c>
      <c r="G128" s="586">
        <v>0</v>
      </c>
      <c r="H128" s="593"/>
      <c r="I128" s="593"/>
      <c r="J128" s="583">
        <v>0</v>
      </c>
      <c r="K128" s="583">
        <v>0</v>
      </c>
      <c r="L128" s="846"/>
    </row>
    <row r="129" spans="1:12" ht="13.5" thickBot="1">
      <c r="A129" s="433">
        <v>96</v>
      </c>
      <c r="B129" s="439" t="s">
        <v>767</v>
      </c>
      <c r="C129" s="457">
        <v>100000000</v>
      </c>
      <c r="D129" s="558"/>
      <c r="E129" s="442">
        <v>100000000</v>
      </c>
      <c r="F129" s="442">
        <v>0</v>
      </c>
      <c r="G129" s="442">
        <v>0</v>
      </c>
      <c r="H129" s="477"/>
      <c r="I129" s="478"/>
      <c r="J129" s="444">
        <v>97606050</v>
      </c>
      <c r="K129" s="444">
        <v>0</v>
      </c>
      <c r="L129" s="846"/>
    </row>
    <row r="130" spans="1:12" ht="13.5" thickBot="1">
      <c r="A130" s="433">
        <v>97</v>
      </c>
      <c r="B130" s="445" t="s">
        <v>768</v>
      </c>
      <c r="C130" s="446">
        <f>SUM(C128:C129)</f>
        <v>100000000</v>
      </c>
      <c r="D130" s="483"/>
      <c r="E130" s="447">
        <f>SUM(E128:E129)</f>
        <v>100000000</v>
      </c>
      <c r="F130" s="447">
        <f>SUM(F128:F129)</f>
        <v>0</v>
      </c>
      <c r="G130" s="447">
        <f>SUM(G128:G129)</f>
        <v>0</v>
      </c>
      <c r="H130" s="483"/>
      <c r="I130" s="484"/>
      <c r="J130" s="451">
        <f>SUM(J128:J129)</f>
        <v>97606050</v>
      </c>
      <c r="K130" s="451">
        <f>SUM(K127:K129)</f>
        <v>40000</v>
      </c>
      <c r="L130" s="854"/>
    </row>
    <row r="131" spans="1:12" ht="13.5" thickBot="1">
      <c r="A131" s="433"/>
      <c r="B131" s="863"/>
      <c r="C131" s="1306"/>
      <c r="D131" s="1306"/>
      <c r="E131" s="1306"/>
      <c r="F131" s="1306"/>
      <c r="G131" s="1306"/>
      <c r="H131" s="1306"/>
      <c r="I131" s="1306"/>
      <c r="J131" s="1306"/>
      <c r="K131" s="864"/>
      <c r="L131" s="432"/>
    </row>
    <row r="132" spans="1:12" ht="12.75">
      <c r="A132" s="452">
        <v>98</v>
      </c>
      <c r="B132" s="470" t="s">
        <v>775</v>
      </c>
      <c r="C132" s="454">
        <f>SUM(E132:G132)</f>
        <v>100000000</v>
      </c>
      <c r="D132" s="437"/>
      <c r="E132" s="436">
        <v>2393950</v>
      </c>
      <c r="F132" s="436">
        <v>85795050</v>
      </c>
      <c r="G132" s="436">
        <v>11811000</v>
      </c>
      <c r="H132" s="476"/>
      <c r="I132" s="476"/>
      <c r="J132" s="845"/>
      <c r="K132" s="845"/>
      <c r="L132" s="438">
        <v>97606050</v>
      </c>
    </row>
    <row r="133" spans="1:12" ht="12.75">
      <c r="A133" s="452">
        <v>99</v>
      </c>
      <c r="B133" s="556" t="s">
        <v>776</v>
      </c>
      <c r="C133" s="457">
        <v>0</v>
      </c>
      <c r="D133" s="558"/>
      <c r="E133" s="480">
        <v>0</v>
      </c>
      <c r="F133" s="480">
        <v>0</v>
      </c>
      <c r="G133" s="480">
        <v>0</v>
      </c>
      <c r="H133" s="1317"/>
      <c r="I133" s="1318"/>
      <c r="J133" s="846"/>
      <c r="K133" s="846"/>
      <c r="L133" s="444">
        <v>0</v>
      </c>
    </row>
    <row r="134" spans="1:12" ht="13.5" thickBot="1">
      <c r="A134" s="452">
        <v>100</v>
      </c>
      <c r="B134" s="479" t="s">
        <v>1148</v>
      </c>
      <c r="C134" s="457">
        <v>0</v>
      </c>
      <c r="D134" s="558"/>
      <c r="E134" s="480">
        <v>0</v>
      </c>
      <c r="F134" s="441">
        <v>0</v>
      </c>
      <c r="G134" s="441">
        <v>0</v>
      </c>
      <c r="H134" s="477"/>
      <c r="I134" s="478"/>
      <c r="J134" s="846"/>
      <c r="K134" s="846"/>
      <c r="L134" s="444">
        <v>40000</v>
      </c>
    </row>
    <row r="135" spans="1:12" ht="13.5" thickBot="1">
      <c r="A135" s="471">
        <v>101</v>
      </c>
      <c r="B135" s="472" t="s">
        <v>335</v>
      </c>
      <c r="C135" s="460">
        <f>SUM(C132:C133)</f>
        <v>100000000</v>
      </c>
      <c r="D135" s="485"/>
      <c r="E135" s="473">
        <f>SUM(E132:E133)</f>
        <v>2393950</v>
      </c>
      <c r="F135" s="473">
        <f>SUM(F132:F133)</f>
        <v>85795050</v>
      </c>
      <c r="G135" s="473">
        <f>SUM(G132:G133)</f>
        <v>11811000</v>
      </c>
      <c r="H135" s="485"/>
      <c r="I135" s="485"/>
      <c r="J135" s="847"/>
      <c r="K135" s="847"/>
      <c r="L135" s="462">
        <f>SUM(L132:L134)</f>
        <v>97646050</v>
      </c>
    </row>
    <row r="136" spans="1:12" ht="14.25" thickBot="1" thickTop="1">
      <c r="A136" s="433"/>
      <c r="B136" s="863"/>
      <c r="C136" s="1306"/>
      <c r="D136" s="1306"/>
      <c r="E136" s="1306"/>
      <c r="F136" s="1306"/>
      <c r="G136" s="1306"/>
      <c r="H136" s="1306"/>
      <c r="I136" s="1306"/>
      <c r="J136" s="1306"/>
      <c r="K136" s="864"/>
      <c r="L136" s="432"/>
    </row>
    <row r="137" spans="1:12" ht="16.5" thickBot="1" thickTop="1">
      <c r="A137" s="546">
        <v>102</v>
      </c>
      <c r="B137" s="851" t="s">
        <v>921</v>
      </c>
      <c r="C137" s="852"/>
      <c r="D137" s="852"/>
      <c r="E137" s="852"/>
      <c r="F137" s="852"/>
      <c r="G137" s="852"/>
      <c r="H137" s="852"/>
      <c r="I137" s="852"/>
      <c r="J137" s="853"/>
      <c r="K137" s="853"/>
      <c r="L137" s="548"/>
    </row>
    <row r="138" spans="1:12" ht="25.5">
      <c r="A138" s="431">
        <v>103</v>
      </c>
      <c r="B138" s="595" t="s">
        <v>961</v>
      </c>
      <c r="C138" s="564">
        <v>0</v>
      </c>
      <c r="D138" s="558"/>
      <c r="E138" s="584">
        <v>0</v>
      </c>
      <c r="F138" s="586">
        <v>0</v>
      </c>
      <c r="G138" s="437"/>
      <c r="H138" s="437"/>
      <c r="I138" s="1320"/>
      <c r="J138" s="583">
        <v>0</v>
      </c>
      <c r="K138" s="583">
        <f>40000+1208400</f>
        <v>1248400</v>
      </c>
      <c r="L138" s="845"/>
    </row>
    <row r="139" spans="1:12" ht="12.75">
      <c r="A139" s="431">
        <v>104</v>
      </c>
      <c r="B139" s="1352" t="s">
        <v>771</v>
      </c>
      <c r="C139" s="564">
        <v>0</v>
      </c>
      <c r="D139" s="558"/>
      <c r="E139" s="584">
        <v>0</v>
      </c>
      <c r="F139" s="586">
        <v>0</v>
      </c>
      <c r="G139" s="593"/>
      <c r="H139" s="593"/>
      <c r="I139" s="594"/>
      <c r="J139" s="583">
        <v>0</v>
      </c>
      <c r="K139" s="583">
        <v>0</v>
      </c>
      <c r="L139" s="846"/>
    </row>
    <row r="140" spans="1:12" ht="13.5" thickBot="1">
      <c r="A140" s="433">
        <v>105</v>
      </c>
      <c r="B140" s="439" t="s">
        <v>767</v>
      </c>
      <c r="C140" s="457">
        <v>118000000</v>
      </c>
      <c r="D140" s="558"/>
      <c r="E140" s="442">
        <v>112219000</v>
      </c>
      <c r="F140" s="442">
        <v>5781000</v>
      </c>
      <c r="G140" s="477"/>
      <c r="H140" s="477"/>
      <c r="I140" s="478"/>
      <c r="J140" s="444">
        <v>106361800</v>
      </c>
      <c r="K140" s="444">
        <v>0</v>
      </c>
      <c r="L140" s="846"/>
    </row>
    <row r="141" spans="1:12" ht="13.5" thickBot="1">
      <c r="A141" s="433">
        <v>106</v>
      </c>
      <c r="B141" s="445" t="s">
        <v>768</v>
      </c>
      <c r="C141" s="446">
        <f>SUM(C138:C140)</f>
        <v>118000000</v>
      </c>
      <c r="D141" s="483"/>
      <c r="E141" s="447">
        <f>SUM(E138:E140)</f>
        <v>112219000</v>
      </c>
      <c r="F141" s="447">
        <f>SUM(F138:F140)</f>
        <v>5781000</v>
      </c>
      <c r="G141" s="483"/>
      <c r="H141" s="483"/>
      <c r="I141" s="484"/>
      <c r="J141" s="451">
        <f>SUM(J138:J140)</f>
        <v>106361800</v>
      </c>
      <c r="K141" s="451">
        <f>SUM(K138:K140)</f>
        <v>1248400</v>
      </c>
      <c r="L141" s="854"/>
    </row>
    <row r="142" spans="1:12" ht="13.5" thickBot="1">
      <c r="A142" s="433"/>
      <c r="B142" s="863"/>
      <c r="C142" s="1306"/>
      <c r="D142" s="1306"/>
      <c r="E142" s="1306"/>
      <c r="F142" s="1306"/>
      <c r="G142" s="1306"/>
      <c r="H142" s="1306"/>
      <c r="I142" s="1306"/>
      <c r="J142" s="1306"/>
      <c r="K142" s="864"/>
      <c r="L142" s="432"/>
    </row>
    <row r="143" spans="1:12" ht="12.75">
      <c r="A143" s="452">
        <v>107</v>
      </c>
      <c r="B143" s="1307" t="s">
        <v>1148</v>
      </c>
      <c r="C143" s="454">
        <v>0</v>
      </c>
      <c r="D143" s="1347"/>
      <c r="E143" s="436">
        <v>0</v>
      </c>
      <c r="F143" s="436">
        <v>0</v>
      </c>
      <c r="G143" s="437"/>
      <c r="H143" s="437"/>
      <c r="I143" s="437"/>
      <c r="J143" s="845"/>
      <c r="K143" s="845"/>
      <c r="L143" s="438">
        <f>40000+1208400</f>
        <v>1248400</v>
      </c>
    </row>
    <row r="144" spans="1:12" ht="12.75">
      <c r="A144" s="452">
        <v>108</v>
      </c>
      <c r="B144" s="453" t="s">
        <v>769</v>
      </c>
      <c r="C144" s="457">
        <f>SUM(E144:G144)</f>
        <v>118000000</v>
      </c>
      <c r="D144" s="558"/>
      <c r="E144" s="442">
        <v>5857200</v>
      </c>
      <c r="F144" s="442">
        <v>112142800</v>
      </c>
      <c r="G144" s="593"/>
      <c r="H144" s="593"/>
      <c r="I144" s="593"/>
      <c r="J144" s="846"/>
      <c r="K144" s="846"/>
      <c r="L144" s="583">
        <v>106361800</v>
      </c>
    </row>
    <row r="145" spans="1:12" ht="13.5" thickBot="1">
      <c r="A145" s="452">
        <v>109</v>
      </c>
      <c r="B145" s="479" t="s">
        <v>774</v>
      </c>
      <c r="C145" s="482">
        <v>0</v>
      </c>
      <c r="D145" s="558"/>
      <c r="E145" s="1353">
        <v>0</v>
      </c>
      <c r="F145" s="1354">
        <v>0</v>
      </c>
      <c r="G145" s="477"/>
      <c r="H145" s="477"/>
      <c r="I145" s="478"/>
      <c r="J145" s="846"/>
      <c r="K145" s="846"/>
      <c r="L145" s="444">
        <v>0</v>
      </c>
    </row>
    <row r="146" spans="1:12" ht="13.5" thickBot="1">
      <c r="A146" s="471">
        <v>110</v>
      </c>
      <c r="B146" s="472" t="s">
        <v>335</v>
      </c>
      <c r="C146" s="460">
        <f>SUM(C144:C145)</f>
        <v>118000000</v>
      </c>
      <c r="D146" s="485"/>
      <c r="E146" s="473">
        <f>SUM(E144:E145)</f>
        <v>5857200</v>
      </c>
      <c r="F146" s="473">
        <f>SUM(F144:F145)</f>
        <v>112142800</v>
      </c>
      <c r="G146" s="485"/>
      <c r="H146" s="485"/>
      <c r="I146" s="485"/>
      <c r="J146" s="847"/>
      <c r="K146" s="847"/>
      <c r="L146" s="462">
        <f>SUM(L143:L145)</f>
        <v>107610200</v>
      </c>
    </row>
    <row r="147" spans="1:12" ht="14.25" thickBot="1" thickTop="1">
      <c r="A147" s="474"/>
      <c r="B147" s="565"/>
      <c r="C147" s="1355"/>
      <c r="D147" s="1356"/>
      <c r="E147" s="1357"/>
      <c r="F147" s="1357"/>
      <c r="G147" s="1356"/>
      <c r="H147" s="1356"/>
      <c r="I147" s="1356"/>
      <c r="J147" s="1358"/>
      <c r="K147" s="1358"/>
      <c r="L147" s="566"/>
    </row>
    <row r="148" spans="1:12" ht="16.5" thickBot="1" thickTop="1">
      <c r="A148" s="546">
        <v>111</v>
      </c>
      <c r="B148" s="851" t="s">
        <v>922</v>
      </c>
      <c r="C148" s="852"/>
      <c r="D148" s="852"/>
      <c r="E148" s="852"/>
      <c r="F148" s="852"/>
      <c r="G148" s="852"/>
      <c r="H148" s="852"/>
      <c r="I148" s="852"/>
      <c r="J148" s="853"/>
      <c r="K148" s="853"/>
      <c r="L148" s="548"/>
    </row>
    <row r="149" spans="1:12" ht="25.5">
      <c r="A149" s="1321">
        <v>112</v>
      </c>
      <c r="B149" s="1359" t="s">
        <v>961</v>
      </c>
      <c r="C149" s="1342">
        <v>0</v>
      </c>
      <c r="D149" s="1360"/>
      <c r="E149" s="1334">
        <v>0</v>
      </c>
      <c r="F149" s="1335">
        <v>0</v>
      </c>
      <c r="G149" s="1344"/>
      <c r="H149" s="1344"/>
      <c r="I149" s="1361"/>
      <c r="J149" s="1336">
        <v>0</v>
      </c>
      <c r="K149" s="1336">
        <f>40000+829010</f>
        <v>869010</v>
      </c>
      <c r="L149" s="845"/>
    </row>
    <row r="150" spans="1:12" ht="12.75">
      <c r="A150" s="431">
        <v>113</v>
      </c>
      <c r="B150" s="1352" t="s">
        <v>771</v>
      </c>
      <c r="C150" s="564">
        <v>0</v>
      </c>
      <c r="D150" s="558"/>
      <c r="E150" s="584">
        <v>0</v>
      </c>
      <c r="F150" s="586">
        <v>0</v>
      </c>
      <c r="G150" s="593"/>
      <c r="H150" s="593"/>
      <c r="I150" s="594"/>
      <c r="J150" s="583">
        <v>0</v>
      </c>
      <c r="K150" s="583">
        <v>0</v>
      </c>
      <c r="L150" s="846"/>
    </row>
    <row r="151" spans="1:12" ht="13.5" thickBot="1">
      <c r="A151" s="433">
        <v>114</v>
      </c>
      <c r="B151" s="439" t="s">
        <v>767</v>
      </c>
      <c r="C151" s="457">
        <v>50000000</v>
      </c>
      <c r="D151" s="558"/>
      <c r="E151" s="442">
        <v>50000000</v>
      </c>
      <c r="F151" s="442">
        <v>0</v>
      </c>
      <c r="G151" s="477"/>
      <c r="H151" s="477"/>
      <c r="I151" s="478"/>
      <c r="J151" s="444">
        <v>47550000</v>
      </c>
      <c r="K151" s="444">
        <v>0</v>
      </c>
      <c r="L151" s="846"/>
    </row>
    <row r="152" spans="1:12" ht="13.5" thickBot="1">
      <c r="A152" s="433">
        <v>115</v>
      </c>
      <c r="B152" s="445" t="s">
        <v>768</v>
      </c>
      <c r="C152" s="446">
        <f>SUM(C149:C151)</f>
        <v>50000000</v>
      </c>
      <c r="D152" s="483"/>
      <c r="E152" s="447">
        <f>SUM(E149:E151)</f>
        <v>50000000</v>
      </c>
      <c r="F152" s="447">
        <f>SUM(F149:F151)</f>
        <v>0</v>
      </c>
      <c r="G152" s="483"/>
      <c r="H152" s="483"/>
      <c r="I152" s="484"/>
      <c r="J152" s="451">
        <f>SUM(J149:J151)</f>
        <v>47550000</v>
      </c>
      <c r="K152" s="451">
        <f>SUM(K149:K151)</f>
        <v>869010</v>
      </c>
      <c r="L152" s="854"/>
    </row>
    <row r="153" spans="1:12" ht="13.5" thickBot="1">
      <c r="A153" s="433"/>
      <c r="B153" s="863"/>
      <c r="C153" s="1306"/>
      <c r="D153" s="1306"/>
      <c r="E153" s="1306"/>
      <c r="F153" s="1306"/>
      <c r="G153" s="1306"/>
      <c r="H153" s="1306"/>
      <c r="I153" s="1306"/>
      <c r="J153" s="1306"/>
      <c r="K153" s="864"/>
      <c r="L153" s="432"/>
    </row>
    <row r="154" spans="1:12" ht="12.75">
      <c r="A154" s="452">
        <v>116</v>
      </c>
      <c r="B154" s="470" t="s">
        <v>775</v>
      </c>
      <c r="C154" s="454">
        <v>50000000</v>
      </c>
      <c r="D154" s="437"/>
      <c r="E154" s="567">
        <v>2450000</v>
      </c>
      <c r="F154" s="567">
        <v>47550000</v>
      </c>
      <c r="G154" s="476"/>
      <c r="H154" s="476"/>
      <c r="I154" s="476"/>
      <c r="J154" s="845"/>
      <c r="K154" s="845"/>
      <c r="L154" s="438">
        <v>47550000</v>
      </c>
    </row>
    <row r="155" spans="1:12" ht="12.75">
      <c r="A155" s="452">
        <v>117</v>
      </c>
      <c r="B155" s="479" t="s">
        <v>776</v>
      </c>
      <c r="C155" s="457">
        <v>0</v>
      </c>
      <c r="D155" s="558"/>
      <c r="E155" s="480">
        <v>0</v>
      </c>
      <c r="F155" s="480">
        <v>0</v>
      </c>
      <c r="G155" s="443"/>
      <c r="H155" s="443"/>
      <c r="I155" s="1327"/>
      <c r="J155" s="846"/>
      <c r="K155" s="846"/>
      <c r="L155" s="444">
        <v>829010</v>
      </c>
    </row>
    <row r="156" spans="1:12" ht="13.5" thickBot="1">
      <c r="A156" s="452">
        <v>118</v>
      </c>
      <c r="B156" s="479" t="s">
        <v>1148</v>
      </c>
      <c r="C156" s="457">
        <v>0</v>
      </c>
      <c r="D156" s="558"/>
      <c r="E156" s="480">
        <v>0</v>
      </c>
      <c r="F156" s="480">
        <v>0</v>
      </c>
      <c r="G156" s="1362"/>
      <c r="H156" s="1362"/>
      <c r="I156" s="1363"/>
      <c r="J156" s="846"/>
      <c r="K156" s="846"/>
      <c r="L156" s="444">
        <v>40000</v>
      </c>
    </row>
    <row r="157" spans="1:12" ht="13.5" thickBot="1">
      <c r="A157" s="471">
        <v>119</v>
      </c>
      <c r="B157" s="472" t="s">
        <v>335</v>
      </c>
      <c r="C157" s="460">
        <f>SUM(C154:C155)</f>
        <v>50000000</v>
      </c>
      <c r="D157" s="485"/>
      <c r="E157" s="473">
        <f>SUM(E154:E155)</f>
        <v>2450000</v>
      </c>
      <c r="F157" s="473">
        <f>SUM(F154:F155)</f>
        <v>47550000</v>
      </c>
      <c r="G157" s="485"/>
      <c r="H157" s="485"/>
      <c r="I157" s="485"/>
      <c r="J157" s="847"/>
      <c r="K157" s="847"/>
      <c r="L157" s="462">
        <f>SUM(L154:L155)</f>
        <v>48379010</v>
      </c>
    </row>
    <row r="158" spans="1:12" ht="14.25" thickBot="1" thickTop="1">
      <c r="A158" s="452"/>
      <c r="B158" s="568"/>
      <c r="C158" s="569"/>
      <c r="D158" s="570"/>
      <c r="E158" s="569"/>
      <c r="F158" s="569"/>
      <c r="G158" s="570"/>
      <c r="H158" s="570"/>
      <c r="I158" s="570"/>
      <c r="J158" s="571"/>
      <c r="K158" s="571"/>
      <c r="L158" s="572"/>
    </row>
    <row r="159" spans="1:12" ht="16.5" thickBot="1" thickTop="1">
      <c r="A159" s="546">
        <v>120</v>
      </c>
      <c r="B159" s="851" t="s">
        <v>923</v>
      </c>
      <c r="C159" s="852"/>
      <c r="D159" s="852"/>
      <c r="E159" s="852"/>
      <c r="F159" s="852"/>
      <c r="G159" s="852"/>
      <c r="H159" s="852"/>
      <c r="I159" s="852"/>
      <c r="J159" s="853"/>
      <c r="K159" s="853"/>
      <c r="L159" s="548"/>
    </row>
    <row r="160" spans="1:12" ht="12.75">
      <c r="A160" s="431">
        <v>121</v>
      </c>
      <c r="B160" s="489" t="s">
        <v>771</v>
      </c>
      <c r="C160" s="454">
        <v>0</v>
      </c>
      <c r="D160" s="558"/>
      <c r="E160" s="436">
        <v>0</v>
      </c>
      <c r="F160" s="475">
        <v>0</v>
      </c>
      <c r="G160" s="573">
        <v>0</v>
      </c>
      <c r="H160" s="573">
        <v>0</v>
      </c>
      <c r="I160" s="573">
        <v>0</v>
      </c>
      <c r="J160" s="438">
        <v>0</v>
      </c>
      <c r="K160" s="438">
        <v>0</v>
      </c>
      <c r="L160" s="845"/>
    </row>
    <row r="161" spans="1:12" ht="13.5" thickBot="1">
      <c r="A161" s="433">
        <v>122</v>
      </c>
      <c r="B161" s="439" t="s">
        <v>767</v>
      </c>
      <c r="C161" s="457">
        <v>21635062</v>
      </c>
      <c r="D161" s="558"/>
      <c r="E161" s="442">
        <v>21635062</v>
      </c>
      <c r="F161" s="442">
        <v>0</v>
      </c>
      <c r="G161" s="574">
        <v>0</v>
      </c>
      <c r="H161" s="574">
        <v>0</v>
      </c>
      <c r="I161" s="575">
        <v>0</v>
      </c>
      <c r="J161" s="444">
        <f>19772715+55</f>
        <v>19772770</v>
      </c>
      <c r="K161" s="444"/>
      <c r="L161" s="846"/>
    </row>
    <row r="162" spans="1:12" ht="13.5" thickBot="1">
      <c r="A162" s="433">
        <v>123</v>
      </c>
      <c r="B162" s="445" t="s">
        <v>768</v>
      </c>
      <c r="C162" s="446">
        <f>SUM(C160:C161)</f>
        <v>21635062</v>
      </c>
      <c r="D162" s="483"/>
      <c r="E162" s="447">
        <f aca="true" t="shared" si="4" ref="E162:K162">SUM(E160:E161)</f>
        <v>21635062</v>
      </c>
      <c r="F162" s="447">
        <f t="shared" si="4"/>
        <v>0</v>
      </c>
      <c r="G162" s="447">
        <f t="shared" si="4"/>
        <v>0</v>
      </c>
      <c r="H162" s="447">
        <f t="shared" si="4"/>
        <v>0</v>
      </c>
      <c r="I162" s="447">
        <f t="shared" si="4"/>
        <v>0</v>
      </c>
      <c r="J162" s="451">
        <f t="shared" si="4"/>
        <v>19772770</v>
      </c>
      <c r="K162" s="451">
        <f t="shared" si="4"/>
        <v>0</v>
      </c>
      <c r="L162" s="854"/>
    </row>
    <row r="163" spans="1:12" ht="13.5" thickBot="1">
      <c r="A163" s="433"/>
      <c r="B163" s="863"/>
      <c r="C163" s="1306"/>
      <c r="D163" s="1306"/>
      <c r="E163" s="1306"/>
      <c r="F163" s="1306"/>
      <c r="G163" s="1306"/>
      <c r="H163" s="1306"/>
      <c r="I163" s="1306"/>
      <c r="J163" s="1306"/>
      <c r="K163" s="864"/>
      <c r="L163" s="432"/>
    </row>
    <row r="164" spans="1:12" ht="12.75">
      <c r="A164" s="452">
        <v>124</v>
      </c>
      <c r="B164" s="470" t="s">
        <v>772</v>
      </c>
      <c r="C164" s="454">
        <v>10295000</v>
      </c>
      <c r="D164" s="437"/>
      <c r="E164" s="567">
        <v>717000</v>
      </c>
      <c r="F164" s="567">
        <v>3123000</v>
      </c>
      <c r="G164" s="567">
        <v>2880000</v>
      </c>
      <c r="H164" s="567">
        <v>2880000</v>
      </c>
      <c r="I164" s="567">
        <v>695000</v>
      </c>
      <c r="J164" s="868"/>
      <c r="K164" s="868"/>
      <c r="L164" s="454">
        <v>9578000</v>
      </c>
    </row>
    <row r="165" spans="1:12" ht="12.75">
      <c r="A165" s="452">
        <v>125</v>
      </c>
      <c r="B165" s="456" t="s">
        <v>770</v>
      </c>
      <c r="C165" s="564">
        <v>10510062</v>
      </c>
      <c r="D165" s="555"/>
      <c r="E165" s="576">
        <v>315347</v>
      </c>
      <c r="F165" s="576">
        <f>3984278+55</f>
        <v>3984333</v>
      </c>
      <c r="G165" s="577">
        <v>2149813</v>
      </c>
      <c r="H165" s="577">
        <v>2149812</v>
      </c>
      <c r="I165" s="577">
        <v>1910757</v>
      </c>
      <c r="J165" s="869"/>
      <c r="K165" s="869"/>
      <c r="L165" s="564">
        <f>10194715+55</f>
        <v>10194770</v>
      </c>
    </row>
    <row r="166" spans="1:12" ht="13.5" thickBot="1">
      <c r="A166" s="452">
        <v>126</v>
      </c>
      <c r="B166" s="556" t="s">
        <v>769</v>
      </c>
      <c r="C166" s="457">
        <v>830000</v>
      </c>
      <c r="D166" s="558"/>
      <c r="E166" s="589">
        <v>829945</v>
      </c>
      <c r="F166" s="480">
        <f>55-55</f>
        <v>0</v>
      </c>
      <c r="G166" s="574">
        <v>0</v>
      </c>
      <c r="H166" s="574">
        <v>0</v>
      </c>
      <c r="I166" s="575">
        <v>0</v>
      </c>
      <c r="J166" s="846"/>
      <c r="K166" s="846"/>
      <c r="L166" s="457">
        <f>55-55</f>
        <v>0</v>
      </c>
    </row>
    <row r="167" spans="1:12" ht="13.5" thickBot="1">
      <c r="A167" s="471">
        <v>127</v>
      </c>
      <c r="B167" s="472" t="s">
        <v>335</v>
      </c>
      <c r="C167" s="460">
        <f>SUM(C164:C166)</f>
        <v>21635062</v>
      </c>
      <c r="D167" s="485"/>
      <c r="E167" s="473">
        <f>SUM(E164:E166)</f>
        <v>1862292</v>
      </c>
      <c r="F167" s="473">
        <f>SUM(F164:F166)</f>
        <v>7107333</v>
      </c>
      <c r="G167" s="473">
        <f>SUM(G164:G166)</f>
        <v>5029813</v>
      </c>
      <c r="H167" s="473">
        <f>SUM(H164:H166)</f>
        <v>5029812</v>
      </c>
      <c r="I167" s="473">
        <f>SUM(I164:I166)</f>
        <v>2605757</v>
      </c>
      <c r="J167" s="847"/>
      <c r="K167" s="847"/>
      <c r="L167" s="462">
        <f>SUM(L164:L166)</f>
        <v>19772770</v>
      </c>
    </row>
    <row r="168" spans="1:12" ht="14.25" thickBot="1" thickTop="1">
      <c r="A168" s="433"/>
      <c r="B168" s="863"/>
      <c r="C168" s="1306"/>
      <c r="D168" s="1306"/>
      <c r="E168" s="1306"/>
      <c r="F168" s="1306"/>
      <c r="G168" s="1306"/>
      <c r="H168" s="1306"/>
      <c r="I168" s="1306"/>
      <c r="J168" s="1306"/>
      <c r="K168" s="864"/>
      <c r="L168" s="432"/>
    </row>
    <row r="169" spans="1:12" ht="16.5" thickBot="1" thickTop="1">
      <c r="A169" s="546">
        <v>128</v>
      </c>
      <c r="B169" s="865" t="s">
        <v>1010</v>
      </c>
      <c r="C169" s="866"/>
      <c r="D169" s="866"/>
      <c r="E169" s="866"/>
      <c r="F169" s="866"/>
      <c r="G169" s="866"/>
      <c r="H169" s="866"/>
      <c r="I169" s="866"/>
      <c r="J169" s="867"/>
      <c r="K169" s="867"/>
      <c r="L169" s="548"/>
    </row>
    <row r="170" spans="1:12" ht="12.75">
      <c r="A170" s="431">
        <v>129</v>
      </c>
      <c r="B170" s="434" t="s">
        <v>771</v>
      </c>
      <c r="C170" s="464">
        <v>0</v>
      </c>
      <c r="D170" s="551"/>
      <c r="E170" s="551"/>
      <c r="F170" s="465">
        <v>0</v>
      </c>
      <c r="G170" s="465">
        <v>0</v>
      </c>
      <c r="H170" s="465"/>
      <c r="I170" s="551"/>
      <c r="J170" s="438">
        <v>0</v>
      </c>
      <c r="K170" s="438">
        <v>0</v>
      </c>
      <c r="L170" s="845"/>
    </row>
    <row r="171" spans="1:12" ht="13.5" thickBot="1">
      <c r="A171" s="466">
        <v>130</v>
      </c>
      <c r="B171" s="439" t="s">
        <v>767</v>
      </c>
      <c r="C171" s="467">
        <v>6119772</v>
      </c>
      <c r="D171" s="552"/>
      <c r="E171" s="552"/>
      <c r="F171" s="442">
        <v>4083324</v>
      </c>
      <c r="G171" s="442">
        <v>0</v>
      </c>
      <c r="H171" s="442">
        <v>2036448</v>
      </c>
      <c r="I171" s="552"/>
      <c r="J171" s="444">
        <v>0</v>
      </c>
      <c r="K171" s="444">
        <v>4083324</v>
      </c>
      <c r="L171" s="846"/>
    </row>
    <row r="172" spans="1:12" ht="13.5" thickBot="1">
      <c r="A172" s="433">
        <v>131</v>
      </c>
      <c r="B172" s="445" t="s">
        <v>768</v>
      </c>
      <c r="C172" s="446">
        <f>SUM(C170:C171)</f>
        <v>6119772</v>
      </c>
      <c r="D172" s="448"/>
      <c r="E172" s="448"/>
      <c r="F172" s="447">
        <f>SUM(F170:F171)</f>
        <v>4083324</v>
      </c>
      <c r="G172" s="447">
        <f>SUM(G170:G171)</f>
        <v>0</v>
      </c>
      <c r="H172" s="447">
        <f>SUM(H170:H171)</f>
        <v>2036448</v>
      </c>
      <c r="I172" s="448"/>
      <c r="J172" s="451">
        <f>SUM(J170:J171)</f>
        <v>0</v>
      </c>
      <c r="K172" s="451">
        <f>SUM(K170:K171)</f>
        <v>4083324</v>
      </c>
      <c r="L172" s="854"/>
    </row>
    <row r="173" spans="1:12" ht="13.5" thickBot="1">
      <c r="A173" s="433"/>
      <c r="B173" s="863"/>
      <c r="C173" s="1306"/>
      <c r="D173" s="1306"/>
      <c r="E173" s="1306"/>
      <c r="F173" s="1306"/>
      <c r="G173" s="1306"/>
      <c r="H173" s="1306"/>
      <c r="I173" s="1306"/>
      <c r="J173" s="1306"/>
      <c r="K173" s="864"/>
      <c r="L173" s="432"/>
    </row>
    <row r="174" spans="1:12" ht="12.75">
      <c r="A174" s="469">
        <v>132</v>
      </c>
      <c r="B174" s="470" t="s">
        <v>772</v>
      </c>
      <c r="C174" s="613">
        <f>SUM(F174:H174)</f>
        <v>2588370</v>
      </c>
      <c r="D174" s="553"/>
      <c r="E174" s="553"/>
      <c r="F174" s="436">
        <v>970639</v>
      </c>
      <c r="G174" s="475">
        <v>1294185</v>
      </c>
      <c r="H174" s="475">
        <v>323546</v>
      </c>
      <c r="I174" s="553"/>
      <c r="J174" s="845"/>
      <c r="K174" s="845"/>
      <c r="L174" s="438">
        <v>970639</v>
      </c>
    </row>
    <row r="175" spans="1:12" ht="12.75">
      <c r="A175" s="452">
        <v>133</v>
      </c>
      <c r="B175" s="456" t="s">
        <v>770</v>
      </c>
      <c r="C175" s="614">
        <f>SUM(F175:H175)</f>
        <v>521854</v>
      </c>
      <c r="D175" s="555"/>
      <c r="E175" s="555"/>
      <c r="F175" s="442">
        <v>296854</v>
      </c>
      <c r="G175" s="468">
        <v>180000</v>
      </c>
      <c r="H175" s="468">
        <v>45000</v>
      </c>
      <c r="I175" s="555"/>
      <c r="J175" s="846"/>
      <c r="K175" s="846"/>
      <c r="L175" s="444">
        <v>296854</v>
      </c>
    </row>
    <row r="176" spans="1:12" ht="12.75">
      <c r="A176" s="452">
        <v>134</v>
      </c>
      <c r="B176" s="556" t="s">
        <v>769</v>
      </c>
      <c r="C176" s="614">
        <f>SUM(F176:H176)</f>
        <v>973100</v>
      </c>
      <c r="D176" s="555"/>
      <c r="E176" s="555"/>
      <c r="F176" s="442">
        <v>779383</v>
      </c>
      <c r="G176" s="468">
        <v>193717</v>
      </c>
      <c r="H176" s="468">
        <v>0</v>
      </c>
      <c r="I176" s="555"/>
      <c r="J176" s="846"/>
      <c r="K176" s="846"/>
      <c r="L176" s="444">
        <v>779383</v>
      </c>
    </row>
    <row r="177" spans="1:12" ht="13.5" thickBot="1">
      <c r="A177" s="452">
        <v>135</v>
      </c>
      <c r="B177" s="556" t="s">
        <v>1011</v>
      </c>
      <c r="C177" s="615">
        <f>SUM(F177:H177)</f>
        <v>2036448</v>
      </c>
      <c r="D177" s="558"/>
      <c r="E177" s="558"/>
      <c r="F177" s="441">
        <v>2036448</v>
      </c>
      <c r="G177" s="468">
        <v>0</v>
      </c>
      <c r="H177" s="468">
        <v>0</v>
      </c>
      <c r="I177" s="558"/>
      <c r="J177" s="846"/>
      <c r="K177" s="846"/>
      <c r="L177" s="444">
        <v>2036448</v>
      </c>
    </row>
    <row r="178" spans="1:12" ht="13.5" thickBot="1">
      <c r="A178" s="471">
        <v>136</v>
      </c>
      <c r="B178" s="472" t="s">
        <v>335</v>
      </c>
      <c r="C178" s="460">
        <f>SUM(C174:C177)</f>
        <v>6119772</v>
      </c>
      <c r="D178" s="485"/>
      <c r="E178" s="485"/>
      <c r="F178" s="473">
        <f>SUM(F174:F177)</f>
        <v>4083324</v>
      </c>
      <c r="G178" s="473">
        <f>SUM(G174:G177)</f>
        <v>1667902</v>
      </c>
      <c r="H178" s="473">
        <f>SUM(H174:H177)</f>
        <v>368546</v>
      </c>
      <c r="I178" s="485"/>
      <c r="J178" s="847"/>
      <c r="K178" s="847"/>
      <c r="L178" s="462">
        <f>SUM(L174:L177)</f>
        <v>4083324</v>
      </c>
    </row>
    <row r="179" spans="1:12" ht="14.25" thickBot="1" thickTop="1">
      <c r="A179" s="433"/>
      <c r="B179" s="863"/>
      <c r="C179" s="1306"/>
      <c r="D179" s="1306"/>
      <c r="E179" s="1306"/>
      <c r="F179" s="1306"/>
      <c r="G179" s="1306"/>
      <c r="H179" s="1306"/>
      <c r="I179" s="1306"/>
      <c r="J179" s="1306"/>
      <c r="K179" s="864"/>
      <c r="L179" s="432"/>
    </row>
    <row r="180" spans="1:12" ht="19.5" thickBot="1" thickTop="1">
      <c r="A180" s="578">
        <v>137</v>
      </c>
      <c r="B180" s="848" t="s">
        <v>716</v>
      </c>
      <c r="C180" s="849"/>
      <c r="D180" s="849"/>
      <c r="E180" s="849"/>
      <c r="F180" s="849"/>
      <c r="G180" s="849"/>
      <c r="H180" s="849"/>
      <c r="I180" s="849"/>
      <c r="J180" s="849"/>
      <c r="K180" s="849"/>
      <c r="L180" s="850"/>
    </row>
    <row r="181" spans="1:12" ht="14.25" thickBot="1" thickTop="1">
      <c r="A181" s="463"/>
      <c r="B181" s="860"/>
      <c r="C181" s="861"/>
      <c r="D181" s="861"/>
      <c r="E181" s="861"/>
      <c r="F181" s="861"/>
      <c r="G181" s="861"/>
      <c r="H181" s="861"/>
      <c r="I181" s="861"/>
      <c r="J181" s="861"/>
      <c r="K181" s="861"/>
      <c r="L181" s="862"/>
    </row>
    <row r="182" spans="1:12" ht="16.5" thickBot="1" thickTop="1">
      <c r="A182" s="546">
        <v>138</v>
      </c>
      <c r="B182" s="870" t="s">
        <v>915</v>
      </c>
      <c r="C182" s="871"/>
      <c r="D182" s="871"/>
      <c r="E182" s="871"/>
      <c r="F182" s="871"/>
      <c r="G182" s="871"/>
      <c r="H182" s="871"/>
      <c r="I182" s="871"/>
      <c r="J182" s="871"/>
      <c r="K182" s="871"/>
      <c r="L182" s="579"/>
    </row>
    <row r="183" spans="1:12" ht="12.75">
      <c r="A183" s="431">
        <v>139</v>
      </c>
      <c r="B183" s="481" t="s">
        <v>771</v>
      </c>
      <c r="C183" s="580">
        <v>0</v>
      </c>
      <c r="D183" s="581"/>
      <c r="E183" s="582">
        <v>0</v>
      </c>
      <c r="F183" s="582">
        <v>0</v>
      </c>
      <c r="G183" s="582">
        <v>0</v>
      </c>
      <c r="H183" s="582"/>
      <c r="I183" s="581"/>
      <c r="J183" s="583">
        <v>0</v>
      </c>
      <c r="K183" s="583">
        <v>0</v>
      </c>
      <c r="L183" s="846"/>
    </row>
    <row r="184" spans="1:12" ht="13.5" thickBot="1">
      <c r="A184" s="466">
        <v>140</v>
      </c>
      <c r="B184" s="439" t="s">
        <v>767</v>
      </c>
      <c r="C184" s="467">
        <v>88217316</v>
      </c>
      <c r="D184" s="552"/>
      <c r="E184" s="442">
        <v>45094449</v>
      </c>
      <c r="F184" s="442">
        <v>0</v>
      </c>
      <c r="G184" s="442">
        <v>0</v>
      </c>
      <c r="H184" s="442">
        <v>43122867</v>
      </c>
      <c r="I184" s="552"/>
      <c r="J184" s="444">
        <v>27430982</v>
      </c>
      <c r="K184" s="444">
        <v>0</v>
      </c>
      <c r="L184" s="846"/>
    </row>
    <row r="185" spans="1:12" ht="13.5" thickBot="1">
      <c r="A185" s="433">
        <v>141</v>
      </c>
      <c r="B185" s="445" t="s">
        <v>768</v>
      </c>
      <c r="C185" s="446">
        <f>SUM(C183:C184)</f>
        <v>88217316</v>
      </c>
      <c r="D185" s="448"/>
      <c r="E185" s="447">
        <f>SUM(E183:E184)</f>
        <v>45094449</v>
      </c>
      <c r="F185" s="447">
        <f>SUM(F183:F184)</f>
        <v>0</v>
      </c>
      <c r="G185" s="447">
        <f>SUM(G183:G184)</f>
        <v>0</v>
      </c>
      <c r="H185" s="447">
        <f>SUM(H183:H184)</f>
        <v>43122867</v>
      </c>
      <c r="I185" s="448"/>
      <c r="J185" s="451">
        <f>SUM(J183:J184)</f>
        <v>27430982</v>
      </c>
      <c r="K185" s="451">
        <f>SUM(K183:K184)</f>
        <v>0</v>
      </c>
      <c r="L185" s="854"/>
    </row>
    <row r="186" spans="1:12" ht="13.5" thickBot="1">
      <c r="A186" s="433"/>
      <c r="B186" s="863"/>
      <c r="C186" s="1306"/>
      <c r="D186" s="1306"/>
      <c r="E186" s="1306"/>
      <c r="F186" s="1306"/>
      <c r="G186" s="1306"/>
      <c r="H186" s="1306"/>
      <c r="I186" s="1306"/>
      <c r="J186" s="1306"/>
      <c r="K186" s="864"/>
      <c r="L186" s="432"/>
    </row>
    <row r="187" spans="1:12" ht="12.75">
      <c r="A187" s="469">
        <v>142</v>
      </c>
      <c r="B187" s="470" t="s">
        <v>772</v>
      </c>
      <c r="C187" s="563">
        <f>SUM(E187:H187)</f>
        <v>53041950</v>
      </c>
      <c r="D187" s="553"/>
      <c r="E187" s="436">
        <v>4082460</v>
      </c>
      <c r="F187" s="475">
        <v>23773325</v>
      </c>
      <c r="G187" s="475">
        <v>23773325</v>
      </c>
      <c r="H187" s="475">
        <v>1412840</v>
      </c>
      <c r="I187" s="553"/>
      <c r="J187" s="845"/>
      <c r="K187" s="845"/>
      <c r="L187" s="438">
        <v>23031236</v>
      </c>
    </row>
    <row r="188" spans="1:12" ht="12.75">
      <c r="A188" s="452">
        <v>143</v>
      </c>
      <c r="B188" s="456" t="s">
        <v>770</v>
      </c>
      <c r="C188" s="457">
        <f>SUM(E188:H188)</f>
        <v>33488176</v>
      </c>
      <c r="D188" s="555"/>
      <c r="E188" s="442">
        <v>12718558</v>
      </c>
      <c r="F188" s="468">
        <v>10002127</v>
      </c>
      <c r="G188" s="468">
        <v>10002126</v>
      </c>
      <c r="H188" s="468">
        <v>765365</v>
      </c>
      <c r="I188" s="555"/>
      <c r="J188" s="846"/>
      <c r="K188" s="846"/>
      <c r="L188" s="444">
        <v>4399746</v>
      </c>
    </row>
    <row r="189" spans="1:12" ht="13.5" thickBot="1">
      <c r="A189" s="452">
        <v>144</v>
      </c>
      <c r="B189" s="556" t="s">
        <v>769</v>
      </c>
      <c r="C189" s="564">
        <f>SUM(E189:H189)</f>
        <v>1687190</v>
      </c>
      <c r="D189" s="558"/>
      <c r="E189" s="442">
        <v>862449</v>
      </c>
      <c r="F189" s="468">
        <v>412371</v>
      </c>
      <c r="G189" s="468">
        <v>412370</v>
      </c>
      <c r="H189" s="468">
        <v>0</v>
      </c>
      <c r="I189" s="558"/>
      <c r="J189" s="846"/>
      <c r="K189" s="846"/>
      <c r="L189" s="444">
        <v>0</v>
      </c>
    </row>
    <row r="190" spans="1:12" ht="13.5" thickBot="1">
      <c r="A190" s="471">
        <v>145</v>
      </c>
      <c r="B190" s="472" t="s">
        <v>335</v>
      </c>
      <c r="C190" s="460">
        <f>SUM(C187:C189)</f>
        <v>88217316</v>
      </c>
      <c r="D190" s="485"/>
      <c r="E190" s="473">
        <f>SUM(E187:E189)</f>
        <v>17663467</v>
      </c>
      <c r="F190" s="473">
        <f>SUM(F187:F189)</f>
        <v>34187823</v>
      </c>
      <c r="G190" s="473">
        <f>SUM(G187:G189)</f>
        <v>34187821</v>
      </c>
      <c r="H190" s="473">
        <f>SUM(H187:H189)</f>
        <v>2178205</v>
      </c>
      <c r="I190" s="485"/>
      <c r="J190" s="847"/>
      <c r="K190" s="847"/>
      <c r="L190" s="462">
        <f>SUM(L187:L189)</f>
        <v>27430982</v>
      </c>
    </row>
    <row r="191" spans="1:12" ht="14.25" thickBot="1" thickTop="1">
      <c r="A191" s="463"/>
      <c r="B191" s="860"/>
      <c r="C191" s="861"/>
      <c r="D191" s="861"/>
      <c r="E191" s="861"/>
      <c r="F191" s="861"/>
      <c r="G191" s="861"/>
      <c r="H191" s="861"/>
      <c r="I191" s="861"/>
      <c r="J191" s="861"/>
      <c r="K191" s="861"/>
      <c r="L191" s="862"/>
    </row>
    <row r="192" spans="1:12" ht="16.5" thickBot="1" thickTop="1">
      <c r="A192" s="546">
        <v>146</v>
      </c>
      <c r="B192" s="865" t="s">
        <v>924</v>
      </c>
      <c r="C192" s="866"/>
      <c r="D192" s="866"/>
      <c r="E192" s="866"/>
      <c r="F192" s="866"/>
      <c r="G192" s="866"/>
      <c r="H192" s="866"/>
      <c r="I192" s="866"/>
      <c r="J192" s="867"/>
      <c r="K192" s="867"/>
      <c r="L192" s="548"/>
    </row>
    <row r="193" spans="1:12" ht="12.75">
      <c r="A193" s="431">
        <v>147</v>
      </c>
      <c r="B193" s="434" t="s">
        <v>771</v>
      </c>
      <c r="C193" s="464">
        <v>0</v>
      </c>
      <c r="D193" s="465">
        <v>0</v>
      </c>
      <c r="E193" s="465">
        <v>0</v>
      </c>
      <c r="F193" s="465">
        <v>0</v>
      </c>
      <c r="G193" s="551"/>
      <c r="H193" s="551"/>
      <c r="I193" s="551"/>
      <c r="J193" s="438">
        <v>0</v>
      </c>
      <c r="K193" s="438">
        <v>0</v>
      </c>
      <c r="L193" s="845"/>
    </row>
    <row r="194" spans="1:12" ht="13.5" thickBot="1">
      <c r="A194" s="466">
        <v>148</v>
      </c>
      <c r="B194" s="439" t="s">
        <v>767</v>
      </c>
      <c r="C194" s="467">
        <f>SUM(D194:F194)</f>
        <v>40000000</v>
      </c>
      <c r="D194" s="442">
        <v>39200000</v>
      </c>
      <c r="E194" s="442">
        <v>0</v>
      </c>
      <c r="F194" s="442">
        <v>800000</v>
      </c>
      <c r="G194" s="552"/>
      <c r="H194" s="552"/>
      <c r="I194" s="552"/>
      <c r="J194" s="444">
        <v>5459106</v>
      </c>
      <c r="K194" s="444">
        <v>0</v>
      </c>
      <c r="L194" s="846"/>
    </row>
    <row r="195" spans="1:12" ht="13.5" thickBot="1">
      <c r="A195" s="433">
        <v>149</v>
      </c>
      <c r="B195" s="445" t="s">
        <v>768</v>
      </c>
      <c r="C195" s="446">
        <f>SUM(C193:C194)</f>
        <v>40000000</v>
      </c>
      <c r="D195" s="447">
        <f>SUM(D193:D194)</f>
        <v>39200000</v>
      </c>
      <c r="E195" s="447">
        <f>SUM(E193:E194)</f>
        <v>0</v>
      </c>
      <c r="F195" s="447">
        <f>SUM(F193:F194)</f>
        <v>800000</v>
      </c>
      <c r="G195" s="448"/>
      <c r="H195" s="448"/>
      <c r="I195" s="448"/>
      <c r="J195" s="451">
        <f>SUM(J193:J194)</f>
        <v>5459106</v>
      </c>
      <c r="K195" s="451">
        <f>SUM(K193:K194)</f>
        <v>0</v>
      </c>
      <c r="L195" s="854"/>
    </row>
    <row r="196" spans="1:12" ht="13.5" thickBot="1">
      <c r="A196" s="433"/>
      <c r="B196" s="863"/>
      <c r="C196" s="1306"/>
      <c r="D196" s="1306"/>
      <c r="E196" s="1306"/>
      <c r="F196" s="1306"/>
      <c r="G196" s="1306"/>
      <c r="H196" s="1306"/>
      <c r="I196" s="1306"/>
      <c r="J196" s="1306"/>
      <c r="K196" s="864"/>
      <c r="L196" s="432"/>
    </row>
    <row r="197" spans="1:12" ht="12.75">
      <c r="A197" s="469">
        <v>150</v>
      </c>
      <c r="B197" s="470" t="s">
        <v>772</v>
      </c>
      <c r="C197" s="563">
        <f>SUM(D197:F197)</f>
        <v>12988120</v>
      </c>
      <c r="D197" s="436">
        <v>1760137</v>
      </c>
      <c r="E197" s="436">
        <v>8475898</v>
      </c>
      <c r="F197" s="475">
        <v>2752085</v>
      </c>
      <c r="G197" s="553"/>
      <c r="H197" s="553"/>
      <c r="I197" s="553"/>
      <c r="J197" s="845"/>
      <c r="K197" s="845"/>
      <c r="L197" s="438">
        <v>2752085</v>
      </c>
    </row>
    <row r="198" spans="1:12" ht="12.75">
      <c r="A198" s="452">
        <v>151</v>
      </c>
      <c r="B198" s="456" t="s">
        <v>770</v>
      </c>
      <c r="C198" s="457">
        <f>SUM(D198:F198)</f>
        <v>23158258</v>
      </c>
      <c r="D198" s="442">
        <v>2486374</v>
      </c>
      <c r="E198" s="442">
        <v>17164863</v>
      </c>
      <c r="F198" s="468">
        <v>3507021</v>
      </c>
      <c r="G198" s="555"/>
      <c r="H198" s="555"/>
      <c r="I198" s="555"/>
      <c r="J198" s="846"/>
      <c r="K198" s="846"/>
      <c r="L198" s="444">
        <v>2707021</v>
      </c>
    </row>
    <row r="199" spans="1:12" ht="13.5" thickBot="1">
      <c r="A199" s="452">
        <v>152</v>
      </c>
      <c r="B199" s="556" t="s">
        <v>769</v>
      </c>
      <c r="C199" s="592">
        <f>SUM(D199:F199)</f>
        <v>3853622</v>
      </c>
      <c r="D199" s="442">
        <v>1441069</v>
      </c>
      <c r="E199" s="442">
        <v>2412553</v>
      </c>
      <c r="F199" s="468">
        <v>0</v>
      </c>
      <c r="G199" s="558"/>
      <c r="H199" s="558"/>
      <c r="I199" s="558"/>
      <c r="J199" s="846"/>
      <c r="K199" s="846"/>
      <c r="L199" s="444">
        <v>0</v>
      </c>
    </row>
    <row r="200" spans="1:12" ht="13.5" thickBot="1">
      <c r="A200" s="471">
        <v>153</v>
      </c>
      <c r="B200" s="472" t="s">
        <v>335</v>
      </c>
      <c r="C200" s="460">
        <f>SUM(C197:C199)</f>
        <v>40000000</v>
      </c>
      <c r="D200" s="473">
        <f>SUM(D197:D199)</f>
        <v>5687580</v>
      </c>
      <c r="E200" s="473">
        <f>SUM(E197:E199)</f>
        <v>28053314</v>
      </c>
      <c r="F200" s="473">
        <f>SUM(F197:F199)</f>
        <v>6259106</v>
      </c>
      <c r="G200" s="485"/>
      <c r="H200" s="485"/>
      <c r="I200" s="485"/>
      <c r="J200" s="847"/>
      <c r="K200" s="847"/>
      <c r="L200" s="462">
        <f>SUM(L197:L199)</f>
        <v>5459106</v>
      </c>
    </row>
    <row r="201" ht="14.25" thickBot="1" thickTop="1"/>
    <row r="202" spans="1:12" ht="19.5" thickBot="1" thickTop="1">
      <c r="A202" s="578">
        <v>154</v>
      </c>
      <c r="B202" s="848" t="s">
        <v>779</v>
      </c>
      <c r="C202" s="849"/>
      <c r="D202" s="849"/>
      <c r="E202" s="849"/>
      <c r="F202" s="849"/>
      <c r="G202" s="849"/>
      <c r="H202" s="849"/>
      <c r="I202" s="849"/>
      <c r="J202" s="849"/>
      <c r="K202" s="849"/>
      <c r="L202" s="850"/>
    </row>
    <row r="203" spans="1:12" ht="14.25" thickBot="1" thickTop="1">
      <c r="A203" s="1364"/>
      <c r="B203" s="874"/>
      <c r="C203" s="874"/>
      <c r="D203" s="874"/>
      <c r="E203" s="874"/>
      <c r="F203" s="874"/>
      <c r="G203" s="874"/>
      <c r="H203" s="874"/>
      <c r="I203" s="874"/>
      <c r="J203" s="874"/>
      <c r="K203" s="874"/>
      <c r="L203" s="1365"/>
    </row>
    <row r="204" spans="1:12" ht="16.5" thickBot="1" thickTop="1">
      <c r="A204" s="546">
        <v>155</v>
      </c>
      <c r="B204" s="875" t="s">
        <v>917</v>
      </c>
      <c r="C204" s="876"/>
      <c r="D204" s="876"/>
      <c r="E204" s="876"/>
      <c r="F204" s="876"/>
      <c r="G204" s="876"/>
      <c r="H204" s="876"/>
      <c r="I204" s="876"/>
      <c r="J204" s="876"/>
      <c r="K204" s="876"/>
      <c r="L204" s="877"/>
    </row>
    <row r="205" spans="1:12" ht="12.75">
      <c r="A205" s="431">
        <v>156</v>
      </c>
      <c r="B205" s="434" t="s">
        <v>771</v>
      </c>
      <c r="C205" s="464">
        <v>0</v>
      </c>
      <c r="D205" s="551"/>
      <c r="E205" s="551"/>
      <c r="F205" s="465">
        <v>0</v>
      </c>
      <c r="G205" s="551"/>
      <c r="H205" s="551"/>
      <c r="I205" s="551"/>
      <c r="J205" s="438">
        <v>0</v>
      </c>
      <c r="K205" s="438">
        <v>0</v>
      </c>
      <c r="L205" s="845"/>
    </row>
    <row r="206" spans="1:12" ht="13.5" thickBot="1">
      <c r="A206" s="466">
        <v>157</v>
      </c>
      <c r="B206" s="439" t="s">
        <v>767</v>
      </c>
      <c r="C206" s="467">
        <v>25000000</v>
      </c>
      <c r="D206" s="552"/>
      <c r="E206" s="552"/>
      <c r="F206" s="442">
        <v>25000000</v>
      </c>
      <c r="G206" s="552"/>
      <c r="H206" s="552"/>
      <c r="I206" s="552"/>
      <c r="J206" s="444">
        <v>0</v>
      </c>
      <c r="K206" s="444">
        <v>25000000</v>
      </c>
      <c r="L206" s="846"/>
    </row>
    <row r="207" spans="1:12" ht="13.5" thickBot="1">
      <c r="A207" s="433">
        <v>158</v>
      </c>
      <c r="B207" s="445" t="s">
        <v>768</v>
      </c>
      <c r="C207" s="446">
        <f>SUM(C205:C206)</f>
        <v>25000000</v>
      </c>
      <c r="D207" s="448"/>
      <c r="E207" s="448"/>
      <c r="F207" s="447">
        <f>SUM(F205:F206)</f>
        <v>25000000</v>
      </c>
      <c r="G207" s="448"/>
      <c r="H207" s="448"/>
      <c r="I207" s="448"/>
      <c r="J207" s="451">
        <f>SUM(J205:J206)</f>
        <v>0</v>
      </c>
      <c r="K207" s="451">
        <f>SUM(K205:K206)</f>
        <v>25000000</v>
      </c>
      <c r="L207" s="854"/>
    </row>
    <row r="208" spans="1:12" ht="13.5" thickBot="1">
      <c r="A208" s="433"/>
      <c r="B208" s="863"/>
      <c r="C208" s="1306"/>
      <c r="D208" s="1306"/>
      <c r="E208" s="1306"/>
      <c r="F208" s="1306"/>
      <c r="G208" s="1306"/>
      <c r="H208" s="1306"/>
      <c r="I208" s="1306"/>
      <c r="J208" s="1306"/>
      <c r="K208" s="864"/>
      <c r="L208" s="432"/>
    </row>
    <row r="209" spans="1:12" ht="12.75">
      <c r="A209" s="469">
        <v>159</v>
      </c>
      <c r="B209" s="470" t="s">
        <v>772</v>
      </c>
      <c r="C209" s="563">
        <f>SUM(E209:H209)</f>
        <v>8407749</v>
      </c>
      <c r="D209" s="553"/>
      <c r="E209" s="553"/>
      <c r="F209" s="436">
        <v>8407749</v>
      </c>
      <c r="G209" s="553"/>
      <c r="H209" s="553"/>
      <c r="I209" s="553"/>
      <c r="J209" s="845"/>
      <c r="K209" s="845"/>
      <c r="L209" s="438">
        <v>8407749</v>
      </c>
    </row>
    <row r="210" spans="1:12" ht="12.75">
      <c r="A210" s="452">
        <v>160</v>
      </c>
      <c r="B210" s="456" t="s">
        <v>770</v>
      </c>
      <c r="C210" s="457">
        <f>SUM(E210:H210)</f>
        <v>14095151</v>
      </c>
      <c r="D210" s="555"/>
      <c r="E210" s="555"/>
      <c r="F210" s="442">
        <v>14095151</v>
      </c>
      <c r="G210" s="555"/>
      <c r="H210" s="555"/>
      <c r="I210" s="555"/>
      <c r="J210" s="846"/>
      <c r="K210" s="846"/>
      <c r="L210" s="444">
        <v>14095151</v>
      </c>
    </row>
    <row r="211" spans="1:12" ht="13.5" thickBot="1">
      <c r="A211" s="452">
        <v>161</v>
      </c>
      <c r="B211" s="556" t="s">
        <v>769</v>
      </c>
      <c r="C211" s="564">
        <f>SUM(E211:H211)</f>
        <v>2497100</v>
      </c>
      <c r="D211" s="558"/>
      <c r="E211" s="558"/>
      <c r="F211" s="441">
        <v>2497100</v>
      </c>
      <c r="G211" s="558"/>
      <c r="H211" s="558"/>
      <c r="I211" s="558"/>
      <c r="J211" s="846"/>
      <c r="K211" s="846"/>
      <c r="L211" s="444">
        <v>2497100</v>
      </c>
    </row>
    <row r="212" spans="1:12" ht="13.5" thickBot="1">
      <c r="A212" s="471">
        <v>162</v>
      </c>
      <c r="B212" s="472" t="s">
        <v>335</v>
      </c>
      <c r="C212" s="460">
        <f>SUM(C209:C211)</f>
        <v>25000000</v>
      </c>
      <c r="D212" s="485"/>
      <c r="E212" s="485"/>
      <c r="F212" s="473">
        <f>SUM(F209:F211)</f>
        <v>25000000</v>
      </c>
      <c r="G212" s="485"/>
      <c r="H212" s="485"/>
      <c r="I212" s="486"/>
      <c r="J212" s="847"/>
      <c r="K212" s="847"/>
      <c r="L212" s="462">
        <f>SUM(L209:L211)</f>
        <v>25000000</v>
      </c>
    </row>
    <row r="213" ht="13.5" thickTop="1"/>
    <row r="216" spans="2:3" ht="12.75">
      <c r="B216" s="620">
        <v>33</v>
      </c>
      <c r="C216" s="621" t="s">
        <v>1028</v>
      </c>
    </row>
    <row r="217" spans="2:3" ht="12.75">
      <c r="B217" s="1300">
        <v>34</v>
      </c>
      <c r="C217" s="621" t="s">
        <v>1029</v>
      </c>
    </row>
  </sheetData>
  <sheetProtection/>
  <mergeCells count="127">
    <mergeCell ref="B204:L204"/>
    <mergeCell ref="L205:L207"/>
    <mergeCell ref="B208:K208"/>
    <mergeCell ref="J209:J212"/>
    <mergeCell ref="K209:K212"/>
    <mergeCell ref="L193:L195"/>
    <mergeCell ref="B196:K196"/>
    <mergeCell ref="J197:J200"/>
    <mergeCell ref="K197:K200"/>
    <mergeCell ref="B202:L202"/>
    <mergeCell ref="A203:L203"/>
    <mergeCell ref="B180:L180"/>
    <mergeCell ref="B182:K182"/>
    <mergeCell ref="L183:L185"/>
    <mergeCell ref="B186:K186"/>
    <mergeCell ref="J187:J190"/>
    <mergeCell ref="K187:K190"/>
    <mergeCell ref="B169:K169"/>
    <mergeCell ref="L170:L172"/>
    <mergeCell ref="B173:K173"/>
    <mergeCell ref="J174:J178"/>
    <mergeCell ref="K174:K178"/>
    <mergeCell ref="B179:K179"/>
    <mergeCell ref="K154:K157"/>
    <mergeCell ref="B159:K159"/>
    <mergeCell ref="L160:L162"/>
    <mergeCell ref="B163:K163"/>
    <mergeCell ref="J164:J167"/>
    <mergeCell ref="K164:K167"/>
    <mergeCell ref="B126:K126"/>
    <mergeCell ref="L127:L130"/>
    <mergeCell ref="B131:K131"/>
    <mergeCell ref="J132:J135"/>
    <mergeCell ref="K132:K135"/>
    <mergeCell ref="B136:K136"/>
    <mergeCell ref="K98:K102"/>
    <mergeCell ref="B103:K103"/>
    <mergeCell ref="B104:K104"/>
    <mergeCell ref="L105:L108"/>
    <mergeCell ref="B109:K109"/>
    <mergeCell ref="J110:J113"/>
    <mergeCell ref="K110:K113"/>
    <mergeCell ref="B80:L80"/>
    <mergeCell ref="B81:K81"/>
    <mergeCell ref="L82:L84"/>
    <mergeCell ref="B85:K85"/>
    <mergeCell ref="C86:C87"/>
    <mergeCell ref="J86:J91"/>
    <mergeCell ref="K86:K91"/>
    <mergeCell ref="B66:K66"/>
    <mergeCell ref="J67:J69"/>
    <mergeCell ref="K67:K69"/>
    <mergeCell ref="B70:L70"/>
    <mergeCell ref="B71:K71"/>
    <mergeCell ref="L72:L74"/>
    <mergeCell ref="K38:K41"/>
    <mergeCell ref="B42:L42"/>
    <mergeCell ref="B43:K43"/>
    <mergeCell ref="L44:L46"/>
    <mergeCell ref="B47:K47"/>
    <mergeCell ref="J48:J50"/>
    <mergeCell ref="K48:K50"/>
    <mergeCell ref="B148:K148"/>
    <mergeCell ref="L149:L152"/>
    <mergeCell ref="B153:K153"/>
    <mergeCell ref="J154:J157"/>
    <mergeCell ref="B192:K192"/>
    <mergeCell ref="B191:L191"/>
    <mergeCell ref="B181:L181"/>
    <mergeCell ref="J57:J59"/>
    <mergeCell ref="K57:K59"/>
    <mergeCell ref="B60:L60"/>
    <mergeCell ref="B61:K61"/>
    <mergeCell ref="B51:L51"/>
    <mergeCell ref="B52:K52"/>
    <mergeCell ref="L53:L55"/>
    <mergeCell ref="L62:L65"/>
    <mergeCell ref="B168:K168"/>
    <mergeCell ref="B142:K142"/>
    <mergeCell ref="K143:K146"/>
    <mergeCell ref="J143:J146"/>
    <mergeCell ref="B137:K137"/>
    <mergeCell ref="L138:L141"/>
    <mergeCell ref="B120:K120"/>
    <mergeCell ref="J121:J124"/>
    <mergeCell ref="K121:K124"/>
    <mergeCell ref="B125:K125"/>
    <mergeCell ref="B115:K115"/>
    <mergeCell ref="B114:K114"/>
    <mergeCell ref="L116:L119"/>
    <mergeCell ref="C98:C99"/>
    <mergeCell ref="J98:J102"/>
    <mergeCell ref="B93:K93"/>
    <mergeCell ref="L94:L96"/>
    <mergeCell ref="B97:K97"/>
    <mergeCell ref="B92:L92"/>
    <mergeCell ref="B75:K75"/>
    <mergeCell ref="J76:J79"/>
    <mergeCell ref="K76:K79"/>
    <mergeCell ref="B37:K37"/>
    <mergeCell ref="J38:J41"/>
    <mergeCell ref="B33:K33"/>
    <mergeCell ref="L34:L36"/>
    <mergeCell ref="B56:K56"/>
    <mergeCell ref="B22:K22"/>
    <mergeCell ref="L23:L25"/>
    <mergeCell ref="B26:K26"/>
    <mergeCell ref="K27:K31"/>
    <mergeCell ref="B32:L32"/>
    <mergeCell ref="J27:J31"/>
    <mergeCell ref="B12:L12"/>
    <mergeCell ref="B13:K13"/>
    <mergeCell ref="L14:L16"/>
    <mergeCell ref="B17:K17"/>
    <mergeCell ref="K18:K20"/>
    <mergeCell ref="B21:L21"/>
    <mergeCell ref="J18:J20"/>
    <mergeCell ref="B1:L1"/>
    <mergeCell ref="B4:L4"/>
    <mergeCell ref="A8:A10"/>
    <mergeCell ref="B8:B10"/>
    <mergeCell ref="C8:I8"/>
    <mergeCell ref="K8:K10"/>
    <mergeCell ref="L8:L10"/>
    <mergeCell ref="C9:C10"/>
    <mergeCell ref="D9:I9"/>
    <mergeCell ref="J8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rowBreaks count="1" manualBreakCount="1">
    <brk id="10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0"/>
  <sheetViews>
    <sheetView zoomScalePageLayoutView="0" workbookViewId="0" topLeftCell="A1">
      <selection activeCell="C80" sqref="C80"/>
    </sheetView>
  </sheetViews>
  <sheetFormatPr defaultColWidth="9.00390625" defaultRowHeight="12.75"/>
  <cols>
    <col min="1" max="1" width="6.125" style="108" customWidth="1"/>
    <col min="2" max="4" width="9.125" style="108" customWidth="1"/>
    <col min="5" max="5" width="40.375" style="108" customWidth="1"/>
    <col min="6" max="6" width="16.125" style="108" bestFit="1" customWidth="1"/>
    <col min="7" max="7" width="14.125" style="108" bestFit="1" customWidth="1"/>
    <col min="8" max="9" width="14.875" style="108" customWidth="1"/>
    <col min="10" max="10" width="16.00390625" style="108" bestFit="1" customWidth="1"/>
    <col min="11" max="16384" width="9.125" style="108" customWidth="1"/>
  </cols>
  <sheetData>
    <row r="1" spans="1:10" s="111" customFormat="1" ht="15.75">
      <c r="A1" s="669" t="s">
        <v>1031</v>
      </c>
      <c r="B1" s="669"/>
      <c r="C1" s="669"/>
      <c r="D1" s="669"/>
      <c r="E1" s="669"/>
      <c r="F1" s="669"/>
      <c r="G1" s="669"/>
      <c r="H1" s="669"/>
      <c r="I1" s="669"/>
      <c r="J1" s="669"/>
    </row>
    <row r="2" spans="1:10" s="111" customFormat="1" ht="9.75" customHeight="1">
      <c r="A2" s="112"/>
      <c r="B2" s="113"/>
      <c r="C2" s="113"/>
      <c r="D2" s="113"/>
      <c r="E2" s="113"/>
      <c r="F2" s="113"/>
      <c r="G2" s="113"/>
      <c r="H2" s="113"/>
      <c r="I2" s="113"/>
      <c r="J2" s="113"/>
    </row>
    <row r="3" spans="1:10" s="111" customFormat="1" ht="16.5">
      <c r="A3" s="670" t="s">
        <v>812</v>
      </c>
      <c r="B3" s="670"/>
      <c r="C3" s="670"/>
      <c r="D3" s="670"/>
      <c r="E3" s="670"/>
      <c r="F3" s="670"/>
      <c r="G3" s="670"/>
      <c r="H3" s="670"/>
      <c r="I3" s="670"/>
      <c r="J3" s="670"/>
    </row>
    <row r="4" spans="1:10" s="111" customFormat="1" ht="60" customHeight="1">
      <c r="A4" s="658" t="s">
        <v>0</v>
      </c>
      <c r="B4" s="659"/>
      <c r="C4" s="659"/>
      <c r="D4" s="659"/>
      <c r="E4" s="660"/>
      <c r="F4" s="623" t="s">
        <v>55</v>
      </c>
      <c r="G4" s="623" t="s">
        <v>337</v>
      </c>
      <c r="H4" s="623" t="s">
        <v>716</v>
      </c>
      <c r="I4" s="623" t="s">
        <v>779</v>
      </c>
      <c r="J4" s="627" t="s">
        <v>330</v>
      </c>
    </row>
    <row r="5" spans="1:10" s="111" customFormat="1" ht="15">
      <c r="A5" s="628" t="s">
        <v>399</v>
      </c>
      <c r="B5" s="661" t="s">
        <v>400</v>
      </c>
      <c r="C5" s="662"/>
      <c r="D5" s="662"/>
      <c r="E5" s="663"/>
      <c r="F5" s="629" t="s">
        <v>401</v>
      </c>
      <c r="G5" s="629" t="s">
        <v>402</v>
      </c>
      <c r="H5" s="629" t="s">
        <v>403</v>
      </c>
      <c r="I5" s="629" t="s">
        <v>404</v>
      </c>
      <c r="J5" s="629" t="s">
        <v>406</v>
      </c>
    </row>
    <row r="6" spans="1:10" s="111" customFormat="1" ht="12.75">
      <c r="A6" s="115" t="s">
        <v>1</v>
      </c>
      <c r="B6" s="664" t="s">
        <v>308</v>
      </c>
      <c r="C6" s="664"/>
      <c r="D6" s="664"/>
      <c r="E6" s="664"/>
      <c r="F6" s="107">
        <f>136546622+36347085+11080125+812250+20900-338000+2193899+565720+1059890+3179670-2666710+24000000</f>
        <v>212801451</v>
      </c>
      <c r="G6" s="107">
        <f>103642037+2326520+200000+1420400+338000+47334+2742+2666710+1582900</f>
        <v>112226643</v>
      </c>
      <c r="H6" s="107">
        <f>163138725-240000+220000+56100+1229250</f>
        <v>164404075</v>
      </c>
      <c r="I6" s="107">
        <f>17165696+1500000+223500</f>
        <v>18889196</v>
      </c>
      <c r="J6" s="599">
        <f>SUM(F6:I6)</f>
        <v>508321365</v>
      </c>
    </row>
    <row r="7" spans="1:10" s="111" customFormat="1" ht="12.75">
      <c r="A7" s="115" t="s">
        <v>3</v>
      </c>
      <c r="B7" s="664" t="s">
        <v>4</v>
      </c>
      <c r="C7" s="664"/>
      <c r="D7" s="664"/>
      <c r="E7" s="664"/>
      <c r="F7" s="107">
        <f>27233284+3543768+1080288+158389+4081-65910+383932+99001+92742+278226-520008+4680000</f>
        <v>36967793</v>
      </c>
      <c r="G7" s="107">
        <f>20846432+453671+39000+293204+65910-8955+520008+303260</f>
        <v>22512530</v>
      </c>
      <c r="H7" s="107">
        <f>42572412-46800+42900+10940+215116</f>
        <v>42794568</v>
      </c>
      <c r="I7" s="107">
        <f>3698515+775525+39112</f>
        <v>4513152</v>
      </c>
      <c r="J7" s="599">
        <f aca="true" t="shared" si="0" ref="J7:J70">SUM(F7:I7)</f>
        <v>106788043</v>
      </c>
    </row>
    <row r="8" spans="1:10" s="111" customFormat="1" ht="12.75">
      <c r="A8" s="115" t="s">
        <v>5</v>
      </c>
      <c r="B8" s="664" t="s">
        <v>6</v>
      </c>
      <c r="C8" s="664"/>
      <c r="D8" s="664"/>
      <c r="E8" s="664"/>
      <c r="F8" s="107">
        <f>327018687+180000+220000+8618030+22660742+2730247+4347090+296854+8004000-2108200-413+413+88787+2794000+754380+1208400+300000+248400+30000+200000+516434+128723+40000+40000+40000+40000+40000-28680000-4844+23576063-165615</f>
        <v>373162178</v>
      </c>
      <c r="G8" s="107">
        <f>22317134+1537859+247115+2108200-829010+6213+6147-6147+269840</f>
        <v>25657351</v>
      </c>
      <c r="H8" s="107">
        <f>66124238-1073150+10500000+656145-600000+889000-889000-273095-36576</f>
        <v>75297562</v>
      </c>
      <c r="I8" s="107">
        <f>28552341-1270000+622539+7367584+614391+300000+81000</f>
        <v>36267855</v>
      </c>
      <c r="J8" s="599">
        <f t="shared" si="0"/>
        <v>510384946</v>
      </c>
    </row>
    <row r="9" spans="1:10" s="111" customFormat="1" ht="12.75">
      <c r="A9" s="115" t="s">
        <v>8</v>
      </c>
      <c r="B9" s="664" t="s">
        <v>9</v>
      </c>
      <c r="C9" s="664"/>
      <c r="D9" s="664"/>
      <c r="E9" s="664"/>
      <c r="F9" s="107">
        <f>SUM(F10,F11,F14:F19)</f>
        <v>3804900</v>
      </c>
      <c r="G9" s="107">
        <f>SUM(G10,G11,G14:G19)</f>
        <v>7430000</v>
      </c>
      <c r="H9" s="107">
        <f>SUM(H10,H11,H14:H19)</f>
        <v>0</v>
      </c>
      <c r="I9" s="107">
        <f>SUM(I10,I11,I14:I19)</f>
        <v>0</v>
      </c>
      <c r="J9" s="599">
        <f t="shared" si="0"/>
        <v>11234900</v>
      </c>
    </row>
    <row r="10" spans="1:10" s="111" customFormat="1" ht="12.75">
      <c r="A10" s="103"/>
      <c r="B10" s="103" t="s">
        <v>10</v>
      </c>
      <c r="C10" s="649" t="s">
        <v>11</v>
      </c>
      <c r="D10" s="665"/>
      <c r="E10" s="650"/>
      <c r="F10" s="106">
        <v>0</v>
      </c>
      <c r="G10" s="106">
        <v>0</v>
      </c>
      <c r="H10" s="106">
        <v>0</v>
      </c>
      <c r="I10" s="106">
        <v>0</v>
      </c>
      <c r="J10" s="107">
        <f t="shared" si="0"/>
        <v>0</v>
      </c>
    </row>
    <row r="11" spans="1:10" s="111" customFormat="1" ht="12.75">
      <c r="A11" s="103"/>
      <c r="B11" s="103" t="s">
        <v>12</v>
      </c>
      <c r="C11" s="666" t="s">
        <v>13</v>
      </c>
      <c r="D11" s="666"/>
      <c r="E11" s="666"/>
      <c r="F11" s="106">
        <f>SUM(F12:F13)</f>
        <v>0</v>
      </c>
      <c r="G11" s="106">
        <f>SUM(G12:G13)</f>
        <v>7430000</v>
      </c>
      <c r="H11" s="106">
        <f>SUM(H12:H13)</f>
        <v>0</v>
      </c>
      <c r="I11" s="106">
        <f>SUM(I12:I13)</f>
        <v>0</v>
      </c>
      <c r="J11" s="107">
        <f t="shared" si="0"/>
        <v>7430000</v>
      </c>
    </row>
    <row r="12" spans="1:10" s="111" customFormat="1" ht="12.75" customHeight="1">
      <c r="A12" s="109"/>
      <c r="B12" s="103"/>
      <c r="C12" s="109"/>
      <c r="D12" s="656" t="s">
        <v>620</v>
      </c>
      <c r="E12" s="657"/>
      <c r="F12" s="110">
        <v>0</v>
      </c>
      <c r="G12" s="110">
        <v>7430000</v>
      </c>
      <c r="H12" s="110">
        <v>0</v>
      </c>
      <c r="I12" s="110">
        <v>0</v>
      </c>
      <c r="J12" s="116">
        <f t="shared" si="0"/>
        <v>7430000</v>
      </c>
    </row>
    <row r="13" spans="1:10" s="111" customFormat="1" ht="12.75" customHeight="1">
      <c r="A13" s="109"/>
      <c r="B13" s="103"/>
      <c r="C13" s="109"/>
      <c r="D13" s="667" t="s">
        <v>621</v>
      </c>
      <c r="E13" s="668"/>
      <c r="F13" s="110">
        <v>0</v>
      </c>
      <c r="G13" s="110">
        <v>0</v>
      </c>
      <c r="H13" s="110">
        <v>0</v>
      </c>
      <c r="I13" s="110">
        <v>0</v>
      </c>
      <c r="J13" s="116">
        <f t="shared" si="0"/>
        <v>0</v>
      </c>
    </row>
    <row r="14" spans="1:10" s="111" customFormat="1" ht="12.75">
      <c r="A14" s="103"/>
      <c r="B14" s="103" t="s">
        <v>96</v>
      </c>
      <c r="C14" s="666" t="s">
        <v>97</v>
      </c>
      <c r="D14" s="666"/>
      <c r="E14" s="666"/>
      <c r="F14" s="106">
        <v>0</v>
      </c>
      <c r="G14" s="106">
        <v>0</v>
      </c>
      <c r="H14" s="106">
        <v>0</v>
      </c>
      <c r="I14" s="106">
        <v>0</v>
      </c>
      <c r="J14" s="116">
        <f t="shared" si="0"/>
        <v>0</v>
      </c>
    </row>
    <row r="15" spans="1:10" s="111" customFormat="1" ht="12.75">
      <c r="A15" s="103"/>
      <c r="B15" s="103" t="s">
        <v>98</v>
      </c>
      <c r="C15" s="649" t="s">
        <v>99</v>
      </c>
      <c r="D15" s="665"/>
      <c r="E15" s="650"/>
      <c r="F15" s="106">
        <f aca="true" t="shared" si="1" ref="F15:I16">SUM(F16:F17)</f>
        <v>0</v>
      </c>
      <c r="G15" s="106">
        <f t="shared" si="1"/>
        <v>0</v>
      </c>
      <c r="H15" s="106">
        <f t="shared" si="1"/>
        <v>0</v>
      </c>
      <c r="I15" s="106">
        <f t="shared" si="1"/>
        <v>0</v>
      </c>
      <c r="J15" s="116">
        <f t="shared" si="0"/>
        <v>0</v>
      </c>
    </row>
    <row r="16" spans="1:10" s="111" customFormat="1" ht="12.75">
      <c r="A16" s="109"/>
      <c r="B16" s="103" t="s">
        <v>100</v>
      </c>
      <c r="C16" s="103" t="s">
        <v>101</v>
      </c>
      <c r="D16" s="104"/>
      <c r="E16" s="105"/>
      <c r="F16" s="106">
        <f t="shared" si="1"/>
        <v>0</v>
      </c>
      <c r="G16" s="106">
        <f t="shared" si="1"/>
        <v>0</v>
      </c>
      <c r="H16" s="106">
        <f t="shared" si="1"/>
        <v>0</v>
      </c>
      <c r="I16" s="106">
        <f t="shared" si="1"/>
        <v>0</v>
      </c>
      <c r="J16" s="116">
        <f t="shared" si="0"/>
        <v>0</v>
      </c>
    </row>
    <row r="17" spans="1:10" s="111" customFormat="1" ht="12.75">
      <c r="A17" s="103"/>
      <c r="B17" s="103" t="s">
        <v>102</v>
      </c>
      <c r="C17" s="649" t="s">
        <v>103</v>
      </c>
      <c r="D17" s="665"/>
      <c r="E17" s="650"/>
      <c r="F17" s="106">
        <f>SUM(F18)</f>
        <v>0</v>
      </c>
      <c r="G17" s="106">
        <f>SUM(G18)</f>
        <v>0</v>
      </c>
      <c r="H17" s="106">
        <f>SUM(H18)</f>
        <v>0</v>
      </c>
      <c r="I17" s="106">
        <f>SUM(I18)</f>
        <v>0</v>
      </c>
      <c r="J17" s="116">
        <f t="shared" si="0"/>
        <v>0</v>
      </c>
    </row>
    <row r="18" spans="1:10" s="111" customFormat="1" ht="12.75">
      <c r="A18" s="103"/>
      <c r="B18" s="103" t="s">
        <v>104</v>
      </c>
      <c r="C18" s="666" t="s">
        <v>14</v>
      </c>
      <c r="D18" s="666"/>
      <c r="E18" s="666"/>
      <c r="F18" s="106">
        <v>0</v>
      </c>
      <c r="G18" s="106">
        <v>0</v>
      </c>
      <c r="H18" s="106">
        <v>0</v>
      </c>
      <c r="I18" s="106">
        <v>0</v>
      </c>
      <c r="J18" s="116">
        <f t="shared" si="0"/>
        <v>0</v>
      </c>
    </row>
    <row r="19" spans="1:10" s="111" customFormat="1" ht="12.75">
      <c r="A19" s="103"/>
      <c r="B19" s="103" t="s">
        <v>105</v>
      </c>
      <c r="C19" s="649" t="s">
        <v>106</v>
      </c>
      <c r="D19" s="665"/>
      <c r="E19" s="650"/>
      <c r="F19" s="106">
        <f>SUM(F20:F21)</f>
        <v>3804900</v>
      </c>
      <c r="G19" s="106">
        <f>SUM(G20:G21)</f>
        <v>0</v>
      </c>
      <c r="H19" s="106">
        <f>SUM(H20:H21)</f>
        <v>0</v>
      </c>
      <c r="I19" s="106">
        <f>SUM(I20:I21)</f>
        <v>0</v>
      </c>
      <c r="J19" s="116">
        <f t="shared" si="0"/>
        <v>3804900</v>
      </c>
    </row>
    <row r="20" spans="1:10" s="111" customFormat="1" ht="12.75">
      <c r="A20" s="109"/>
      <c r="B20" s="109"/>
      <c r="C20" s="109"/>
      <c r="D20" s="649" t="s">
        <v>571</v>
      </c>
      <c r="E20" s="650"/>
      <c r="F20" s="110">
        <v>1500000</v>
      </c>
      <c r="G20" s="110">
        <v>0</v>
      </c>
      <c r="H20" s="110">
        <v>0</v>
      </c>
      <c r="I20" s="110">
        <v>0</v>
      </c>
      <c r="J20" s="116">
        <f t="shared" si="0"/>
        <v>1500000</v>
      </c>
    </row>
    <row r="21" spans="1:10" s="111" customFormat="1" ht="12.75">
      <c r="A21" s="109"/>
      <c r="B21" s="109"/>
      <c r="C21" s="109"/>
      <c r="D21" s="649" t="s">
        <v>570</v>
      </c>
      <c r="E21" s="650"/>
      <c r="F21" s="110">
        <v>2304900</v>
      </c>
      <c r="G21" s="110">
        <v>0</v>
      </c>
      <c r="H21" s="110">
        <v>0</v>
      </c>
      <c r="I21" s="110">
        <v>0</v>
      </c>
      <c r="J21" s="116">
        <f t="shared" si="0"/>
        <v>2304900</v>
      </c>
    </row>
    <row r="22" spans="1:10" s="111" customFormat="1" ht="12.75">
      <c r="A22" s="115" t="s">
        <v>107</v>
      </c>
      <c r="B22" s="651" t="s">
        <v>108</v>
      </c>
      <c r="C22" s="652"/>
      <c r="D22" s="652"/>
      <c r="E22" s="653"/>
      <c r="F22" s="107">
        <f>SUM(F56+F45+F44+F42+F41+F40+F39+F28+F27+F26+F25+F23+F24)</f>
        <v>239471903</v>
      </c>
      <c r="G22" s="107">
        <f>SUM(G56+G45+G42+G41+G40+G39+G28+G27+G26+G25+G23+G24)</f>
        <v>0</v>
      </c>
      <c r="H22" s="107">
        <f>SUM(H56+H45+H42+H41+H40+H39+H28+H27+H26+H25+H23+H24)</f>
        <v>0</v>
      </c>
      <c r="I22" s="107">
        <f>SUM(I56+I45+I42+I41+I40+I39+I28+I27+I26+I25+I23+I24)</f>
        <v>0</v>
      </c>
      <c r="J22" s="599">
        <f t="shared" si="0"/>
        <v>239471903</v>
      </c>
    </row>
    <row r="23" spans="1:10" s="111" customFormat="1" ht="12.75">
      <c r="A23" s="109"/>
      <c r="B23" s="109"/>
      <c r="C23" s="109" t="s">
        <v>109</v>
      </c>
      <c r="D23" s="109" t="s">
        <v>110</v>
      </c>
      <c r="E23" s="109"/>
      <c r="F23" s="110">
        <v>0</v>
      </c>
      <c r="G23" s="110">
        <v>0</v>
      </c>
      <c r="H23" s="110">
        <v>0</v>
      </c>
      <c r="I23" s="110">
        <v>0</v>
      </c>
      <c r="J23" s="116">
        <f t="shared" si="0"/>
        <v>0</v>
      </c>
    </row>
    <row r="24" spans="1:10" s="111" customFormat="1" ht="12.75">
      <c r="A24" s="109"/>
      <c r="B24" s="109"/>
      <c r="C24" s="109" t="s">
        <v>111</v>
      </c>
      <c r="D24" s="109" t="s">
        <v>112</v>
      </c>
      <c r="E24" s="109"/>
      <c r="F24" s="110">
        <f>46343378</f>
        <v>46343378</v>
      </c>
      <c r="G24" s="110">
        <v>0</v>
      </c>
      <c r="H24" s="110">
        <v>0</v>
      </c>
      <c r="I24" s="110">
        <v>0</v>
      </c>
      <c r="J24" s="116">
        <f t="shared" si="0"/>
        <v>46343378</v>
      </c>
    </row>
    <row r="25" spans="1:10" s="111" customFormat="1" ht="12.75" customHeight="1">
      <c r="A25" s="109"/>
      <c r="B25" s="109"/>
      <c r="C25" s="109" t="s">
        <v>113</v>
      </c>
      <c r="D25" s="654" t="s">
        <v>114</v>
      </c>
      <c r="E25" s="655"/>
      <c r="F25" s="110">
        <v>0</v>
      </c>
      <c r="G25" s="110">
        <v>0</v>
      </c>
      <c r="H25" s="110">
        <v>0</v>
      </c>
      <c r="I25" s="110">
        <v>0</v>
      </c>
      <c r="J25" s="116">
        <f t="shared" si="0"/>
        <v>0</v>
      </c>
    </row>
    <row r="26" spans="1:10" s="111" customFormat="1" ht="12.75" customHeight="1">
      <c r="A26" s="109"/>
      <c r="B26" s="109"/>
      <c r="C26" s="109" t="s">
        <v>115</v>
      </c>
      <c r="D26" s="654" t="s">
        <v>116</v>
      </c>
      <c r="E26" s="655"/>
      <c r="F26" s="110">
        <v>0</v>
      </c>
      <c r="G26" s="110">
        <v>0</v>
      </c>
      <c r="H26" s="110">
        <v>0</v>
      </c>
      <c r="I26" s="110">
        <v>0</v>
      </c>
      <c r="J26" s="116">
        <f t="shared" si="0"/>
        <v>0</v>
      </c>
    </row>
    <row r="27" spans="1:10" s="111" customFormat="1" ht="12.75" customHeight="1">
      <c r="A27" s="109"/>
      <c r="B27" s="109"/>
      <c r="C27" s="109" t="s">
        <v>137</v>
      </c>
      <c r="D27" s="654" t="s">
        <v>138</v>
      </c>
      <c r="E27" s="655"/>
      <c r="F27" s="110">
        <v>0</v>
      </c>
      <c r="G27" s="110">
        <v>0</v>
      </c>
      <c r="H27" s="110">
        <v>0</v>
      </c>
      <c r="I27" s="110">
        <v>0</v>
      </c>
      <c r="J27" s="116">
        <f t="shared" si="0"/>
        <v>0</v>
      </c>
    </row>
    <row r="28" spans="1:10" s="111" customFormat="1" ht="12.75" customHeight="1">
      <c r="A28" s="109"/>
      <c r="B28" s="109"/>
      <c r="C28" s="109" t="s">
        <v>139</v>
      </c>
      <c r="D28" s="654" t="s">
        <v>140</v>
      </c>
      <c r="E28" s="655"/>
      <c r="F28" s="110">
        <f>SUM(F29:F38)</f>
        <v>0</v>
      </c>
      <c r="G28" s="110">
        <f>SUM(G29:G38)</f>
        <v>0</v>
      </c>
      <c r="H28" s="110">
        <f>SUM(H29:H38)</f>
        <v>0</v>
      </c>
      <c r="I28" s="110">
        <f>SUM(I29:I38)</f>
        <v>0</v>
      </c>
      <c r="J28" s="116">
        <f t="shared" si="0"/>
        <v>0</v>
      </c>
    </row>
    <row r="29" spans="1:10" s="111" customFormat="1" ht="12.75">
      <c r="A29" s="117"/>
      <c r="B29" s="117"/>
      <c r="C29" s="118" t="s">
        <v>2</v>
      </c>
      <c r="D29" s="118" t="s">
        <v>117</v>
      </c>
      <c r="E29" s="118" t="s">
        <v>118</v>
      </c>
      <c r="F29" s="119">
        <v>0</v>
      </c>
      <c r="G29" s="119">
        <v>0</v>
      </c>
      <c r="H29" s="119">
        <v>0</v>
      </c>
      <c r="I29" s="119">
        <v>0</v>
      </c>
      <c r="J29" s="116">
        <f t="shared" si="0"/>
        <v>0</v>
      </c>
    </row>
    <row r="30" spans="1:10" s="111" customFormat="1" ht="12.75">
      <c r="A30" s="117"/>
      <c r="B30" s="117"/>
      <c r="C30" s="118"/>
      <c r="D30" s="118" t="s">
        <v>119</v>
      </c>
      <c r="E30" s="118" t="s">
        <v>120</v>
      </c>
      <c r="F30" s="119">
        <v>0</v>
      </c>
      <c r="G30" s="119">
        <v>0</v>
      </c>
      <c r="H30" s="119">
        <v>0</v>
      </c>
      <c r="I30" s="119">
        <v>0</v>
      </c>
      <c r="J30" s="116">
        <f t="shared" si="0"/>
        <v>0</v>
      </c>
    </row>
    <row r="31" spans="1:10" s="111" customFormat="1" ht="12.75">
      <c r="A31" s="117"/>
      <c r="B31" s="117"/>
      <c r="C31" s="118"/>
      <c r="D31" s="118" t="s">
        <v>121</v>
      </c>
      <c r="E31" s="118" t="s">
        <v>122</v>
      </c>
      <c r="F31" s="119">
        <v>0</v>
      </c>
      <c r="G31" s="119">
        <v>0</v>
      </c>
      <c r="H31" s="119">
        <v>0</v>
      </c>
      <c r="I31" s="119">
        <v>0</v>
      </c>
      <c r="J31" s="116">
        <f t="shared" si="0"/>
        <v>0</v>
      </c>
    </row>
    <row r="32" spans="1:10" s="111" customFormat="1" ht="12.75">
      <c r="A32" s="117"/>
      <c r="B32" s="117"/>
      <c r="C32" s="118"/>
      <c r="D32" s="118" t="s">
        <v>123</v>
      </c>
      <c r="E32" s="118" t="s">
        <v>124</v>
      </c>
      <c r="F32" s="119">
        <v>0</v>
      </c>
      <c r="G32" s="119">
        <v>0</v>
      </c>
      <c r="H32" s="119">
        <v>0</v>
      </c>
      <c r="I32" s="119">
        <v>0</v>
      </c>
      <c r="J32" s="116">
        <f t="shared" si="0"/>
        <v>0</v>
      </c>
    </row>
    <row r="33" spans="1:10" s="111" customFormat="1" ht="12.75">
      <c r="A33" s="117"/>
      <c r="B33" s="117"/>
      <c r="C33" s="118"/>
      <c r="D33" s="118" t="s">
        <v>125</v>
      </c>
      <c r="E33" s="118" t="s">
        <v>126</v>
      </c>
      <c r="F33" s="119">
        <v>0</v>
      </c>
      <c r="G33" s="119">
        <v>0</v>
      </c>
      <c r="H33" s="119">
        <v>0</v>
      </c>
      <c r="I33" s="119">
        <v>0</v>
      </c>
      <c r="J33" s="116">
        <f t="shared" si="0"/>
        <v>0</v>
      </c>
    </row>
    <row r="34" spans="1:10" s="111" customFormat="1" ht="12.75">
      <c r="A34" s="117"/>
      <c r="B34" s="117"/>
      <c r="C34" s="118"/>
      <c r="D34" s="118" t="s">
        <v>127</v>
      </c>
      <c r="E34" s="118" t="s">
        <v>128</v>
      </c>
      <c r="F34" s="119">
        <v>0</v>
      </c>
      <c r="G34" s="119">
        <v>0</v>
      </c>
      <c r="H34" s="119">
        <v>0</v>
      </c>
      <c r="I34" s="119">
        <v>0</v>
      </c>
      <c r="J34" s="116">
        <f t="shared" si="0"/>
        <v>0</v>
      </c>
    </row>
    <row r="35" spans="1:10" s="111" customFormat="1" ht="12.75">
      <c r="A35" s="117"/>
      <c r="B35" s="117"/>
      <c r="C35" s="118"/>
      <c r="D35" s="118" t="s">
        <v>129</v>
      </c>
      <c r="E35" s="118" t="s">
        <v>130</v>
      </c>
      <c r="F35" s="119">
        <v>0</v>
      </c>
      <c r="G35" s="119">
        <v>0</v>
      </c>
      <c r="H35" s="119">
        <v>0</v>
      </c>
      <c r="I35" s="119">
        <v>0</v>
      </c>
      <c r="J35" s="116">
        <f t="shared" si="0"/>
        <v>0</v>
      </c>
    </row>
    <row r="36" spans="1:10" s="111" customFormat="1" ht="12.75">
      <c r="A36" s="117"/>
      <c r="B36" s="117"/>
      <c r="C36" s="118"/>
      <c r="D36" s="118" t="s">
        <v>131</v>
      </c>
      <c r="E36" s="118" t="s">
        <v>132</v>
      </c>
      <c r="F36" s="119">
        <v>0</v>
      </c>
      <c r="G36" s="119">
        <v>0</v>
      </c>
      <c r="H36" s="119">
        <v>0</v>
      </c>
      <c r="I36" s="119">
        <v>0</v>
      </c>
      <c r="J36" s="116">
        <f t="shared" si="0"/>
        <v>0</v>
      </c>
    </row>
    <row r="37" spans="1:10" s="111" customFormat="1" ht="12.75">
      <c r="A37" s="117"/>
      <c r="B37" s="117"/>
      <c r="C37" s="118"/>
      <c r="D37" s="118" t="s">
        <v>133</v>
      </c>
      <c r="E37" s="118" t="s">
        <v>134</v>
      </c>
      <c r="F37" s="119">
        <v>0</v>
      </c>
      <c r="G37" s="119">
        <v>0</v>
      </c>
      <c r="H37" s="119">
        <v>0</v>
      </c>
      <c r="I37" s="119">
        <v>0</v>
      </c>
      <c r="J37" s="116">
        <f t="shared" si="0"/>
        <v>0</v>
      </c>
    </row>
    <row r="38" spans="1:10" s="111" customFormat="1" ht="12.75">
      <c r="A38" s="117"/>
      <c r="B38" s="117"/>
      <c r="C38" s="118"/>
      <c r="D38" s="118" t="s">
        <v>135</v>
      </c>
      <c r="E38" s="118" t="s">
        <v>136</v>
      </c>
      <c r="F38" s="119">
        <v>0</v>
      </c>
      <c r="G38" s="119">
        <v>0</v>
      </c>
      <c r="H38" s="119">
        <v>0</v>
      </c>
      <c r="I38" s="119">
        <v>0</v>
      </c>
      <c r="J38" s="116">
        <f t="shared" si="0"/>
        <v>0</v>
      </c>
    </row>
    <row r="39" spans="1:10" s="111" customFormat="1" ht="12.75" customHeight="1">
      <c r="A39" s="109"/>
      <c r="B39" s="109"/>
      <c r="C39" s="109" t="s">
        <v>141</v>
      </c>
      <c r="D39" s="654" t="s">
        <v>142</v>
      </c>
      <c r="E39" s="655"/>
      <c r="F39" s="110">
        <v>0</v>
      </c>
      <c r="G39" s="110">
        <v>0</v>
      </c>
      <c r="H39" s="110">
        <v>0</v>
      </c>
      <c r="I39" s="110">
        <v>0</v>
      </c>
      <c r="J39" s="116">
        <f t="shared" si="0"/>
        <v>0</v>
      </c>
    </row>
    <row r="40" spans="1:10" s="111" customFormat="1" ht="12.75" customHeight="1">
      <c r="A40" s="109"/>
      <c r="B40" s="109"/>
      <c r="C40" s="109" t="s">
        <v>143</v>
      </c>
      <c r="D40" s="654" t="s">
        <v>503</v>
      </c>
      <c r="E40" s="655"/>
      <c r="F40" s="110">
        <v>0</v>
      </c>
      <c r="G40" s="110">
        <v>0</v>
      </c>
      <c r="H40" s="110">
        <v>0</v>
      </c>
      <c r="I40" s="110">
        <v>0</v>
      </c>
      <c r="J40" s="116">
        <f t="shared" si="0"/>
        <v>0</v>
      </c>
    </row>
    <row r="41" spans="1:10" s="111" customFormat="1" ht="12.75" customHeight="1">
      <c r="A41" s="109"/>
      <c r="B41" s="109"/>
      <c r="C41" s="109" t="s">
        <v>154</v>
      </c>
      <c r="D41" s="654" t="s">
        <v>155</v>
      </c>
      <c r="E41" s="655"/>
      <c r="F41" s="110">
        <v>0</v>
      </c>
      <c r="G41" s="110">
        <v>0</v>
      </c>
      <c r="H41" s="110">
        <v>0</v>
      </c>
      <c r="I41" s="110">
        <v>0</v>
      </c>
      <c r="J41" s="116">
        <f t="shared" si="0"/>
        <v>0</v>
      </c>
    </row>
    <row r="42" spans="1:10" s="111" customFormat="1" ht="12.75" customHeight="1">
      <c r="A42" s="109"/>
      <c r="B42" s="109"/>
      <c r="C42" s="109" t="s">
        <v>156</v>
      </c>
      <c r="D42" s="654" t="s">
        <v>157</v>
      </c>
      <c r="E42" s="655"/>
      <c r="F42" s="110">
        <v>0</v>
      </c>
      <c r="G42" s="110">
        <v>0</v>
      </c>
      <c r="H42" s="110">
        <v>0</v>
      </c>
      <c r="I42" s="110">
        <v>0</v>
      </c>
      <c r="J42" s="116">
        <f t="shared" si="0"/>
        <v>0</v>
      </c>
    </row>
    <row r="43" spans="1:10" s="111" customFormat="1" ht="12.75" customHeight="1">
      <c r="A43" s="109"/>
      <c r="B43" s="109"/>
      <c r="C43" s="109" t="s">
        <v>158</v>
      </c>
      <c r="D43" s="654" t="s">
        <v>543</v>
      </c>
      <c r="E43" s="655"/>
      <c r="F43" s="110">
        <v>0</v>
      </c>
      <c r="G43" s="110">
        <v>0</v>
      </c>
      <c r="H43" s="110">
        <v>0</v>
      </c>
      <c r="I43" s="110">
        <v>0</v>
      </c>
      <c r="J43" s="116">
        <f t="shared" si="0"/>
        <v>0</v>
      </c>
    </row>
    <row r="44" spans="1:10" s="111" customFormat="1" ht="12.75" customHeight="1">
      <c r="A44" s="109"/>
      <c r="B44" s="109"/>
      <c r="C44" s="109" t="s">
        <v>139</v>
      </c>
      <c r="D44" s="656" t="s">
        <v>813</v>
      </c>
      <c r="E44" s="657"/>
      <c r="F44" s="110">
        <f>1170350+46053+4844</f>
        <v>1221247</v>
      </c>
      <c r="G44" s="110">
        <v>0</v>
      </c>
      <c r="H44" s="110">
        <v>0</v>
      </c>
      <c r="I44" s="110">
        <v>0</v>
      </c>
      <c r="J44" s="116">
        <f t="shared" si="0"/>
        <v>1221247</v>
      </c>
    </row>
    <row r="45" spans="1:10" s="111" customFormat="1" ht="12.75" customHeight="1">
      <c r="A45" s="109"/>
      <c r="B45" s="109"/>
      <c r="C45" s="109" t="s">
        <v>160</v>
      </c>
      <c r="D45" s="656" t="s">
        <v>159</v>
      </c>
      <c r="E45" s="657"/>
      <c r="F45" s="110">
        <f>177647755+10858846</f>
        <v>188506601</v>
      </c>
      <c r="G45" s="110">
        <f>SUM(G46:G55)</f>
        <v>0</v>
      </c>
      <c r="H45" s="110">
        <f>SUM(H46:H55)</f>
        <v>0</v>
      </c>
      <c r="I45" s="110">
        <f>SUM(I46:I55)</f>
        <v>0</v>
      </c>
      <c r="J45" s="116">
        <f t="shared" si="0"/>
        <v>188506601</v>
      </c>
    </row>
    <row r="46" spans="1:10" s="111" customFormat="1" ht="12.75">
      <c r="A46" s="120"/>
      <c r="B46" s="120"/>
      <c r="C46" s="118" t="s">
        <v>2</v>
      </c>
      <c r="D46" s="164" t="s">
        <v>117</v>
      </c>
      <c r="E46" s="164" t="s">
        <v>144</v>
      </c>
      <c r="F46" s="119">
        <v>0</v>
      </c>
      <c r="G46" s="119">
        <v>0</v>
      </c>
      <c r="H46" s="119">
        <v>0</v>
      </c>
      <c r="I46" s="119">
        <v>0</v>
      </c>
      <c r="J46" s="116">
        <f t="shared" si="0"/>
        <v>0</v>
      </c>
    </row>
    <row r="47" spans="1:10" s="111" customFormat="1" ht="12.75">
      <c r="A47" s="120"/>
      <c r="B47" s="120"/>
      <c r="C47" s="118"/>
      <c r="D47" s="164" t="s">
        <v>119</v>
      </c>
      <c r="E47" s="164" t="s">
        <v>540</v>
      </c>
      <c r="F47" s="119">
        <v>0</v>
      </c>
      <c r="G47" s="119"/>
      <c r="H47" s="119"/>
      <c r="I47" s="119"/>
      <c r="J47" s="116">
        <f t="shared" si="0"/>
        <v>0</v>
      </c>
    </row>
    <row r="48" spans="1:10" s="111" customFormat="1" ht="12.75">
      <c r="A48" s="120"/>
      <c r="B48" s="120"/>
      <c r="C48" s="118"/>
      <c r="D48" s="164" t="s">
        <v>121</v>
      </c>
      <c r="E48" s="164" t="s">
        <v>145</v>
      </c>
      <c r="F48" s="119">
        <f>100000</f>
        <v>100000</v>
      </c>
      <c r="G48" s="119">
        <v>0</v>
      </c>
      <c r="H48" s="119">
        <v>0</v>
      </c>
      <c r="I48" s="119">
        <v>0</v>
      </c>
      <c r="J48" s="116">
        <f t="shared" si="0"/>
        <v>100000</v>
      </c>
    </row>
    <row r="49" spans="1:10" s="111" customFormat="1" ht="12.75">
      <c r="A49" s="120"/>
      <c r="B49" s="120"/>
      <c r="C49" s="118"/>
      <c r="D49" s="164" t="s">
        <v>123</v>
      </c>
      <c r="E49" s="164" t="s">
        <v>146</v>
      </c>
      <c r="F49" s="119">
        <v>0</v>
      </c>
      <c r="G49" s="119">
        <v>0</v>
      </c>
      <c r="H49" s="119">
        <v>0</v>
      </c>
      <c r="I49" s="119">
        <v>0</v>
      </c>
      <c r="J49" s="116">
        <f t="shared" si="0"/>
        <v>0</v>
      </c>
    </row>
    <row r="50" spans="1:10" s="111" customFormat="1" ht="12.75">
      <c r="A50" s="120"/>
      <c r="B50" s="120"/>
      <c r="C50" s="118"/>
      <c r="D50" s="164" t="s">
        <v>125</v>
      </c>
      <c r="E50" s="164" t="s">
        <v>147</v>
      </c>
      <c r="F50" s="119">
        <v>0</v>
      </c>
      <c r="G50" s="119">
        <v>0</v>
      </c>
      <c r="H50" s="119">
        <v>0</v>
      </c>
      <c r="I50" s="119">
        <v>0</v>
      </c>
      <c r="J50" s="116">
        <f t="shared" si="0"/>
        <v>0</v>
      </c>
    </row>
    <row r="51" spans="1:10" s="111" customFormat="1" ht="12.75">
      <c r="A51" s="120"/>
      <c r="B51" s="120"/>
      <c r="C51" s="118"/>
      <c r="D51" s="164" t="s">
        <v>127</v>
      </c>
      <c r="E51" s="164" t="s">
        <v>148</v>
      </c>
      <c r="F51" s="119">
        <v>0</v>
      </c>
      <c r="G51" s="119">
        <v>0</v>
      </c>
      <c r="H51" s="119">
        <v>0</v>
      </c>
      <c r="I51" s="119">
        <v>0</v>
      </c>
      <c r="J51" s="116">
        <f t="shared" si="0"/>
        <v>0</v>
      </c>
    </row>
    <row r="52" spans="1:10" s="111" customFormat="1" ht="12.75">
      <c r="A52" s="117"/>
      <c r="B52" s="117"/>
      <c r="C52" s="118"/>
      <c r="D52" s="164" t="s">
        <v>129</v>
      </c>
      <c r="E52" s="164" t="s">
        <v>149</v>
      </c>
      <c r="F52" s="119">
        <f>16916206+43528000+9850000+2500000+32626000+18843000+37833000+1100000+3374212+13435298+6711326+25701000+11294000+3419000+5394000+8971000+5744000-782000-854000-8393000-50329-262038-267633-9876000-2249000-653000-1203000-2187000-868000-8000000-1200000+782000+854000-1607000-1500000</f>
        <v>208924042</v>
      </c>
      <c r="G52" s="119">
        <v>0</v>
      </c>
      <c r="H52" s="119">
        <v>0</v>
      </c>
      <c r="I52" s="119">
        <v>0</v>
      </c>
      <c r="J52" s="116">
        <f t="shared" si="0"/>
        <v>208924042</v>
      </c>
    </row>
    <row r="53" spans="1:10" s="111" customFormat="1" ht="12.75">
      <c r="A53" s="117"/>
      <c r="B53" s="117"/>
      <c r="C53" s="118"/>
      <c r="D53" s="164" t="s">
        <v>131</v>
      </c>
      <c r="E53" s="164" t="s">
        <v>150</v>
      </c>
      <c r="F53" s="119">
        <f>3224350+35026110</f>
        <v>38250460</v>
      </c>
      <c r="G53" s="119">
        <v>0</v>
      </c>
      <c r="H53" s="119">
        <v>0</v>
      </c>
      <c r="I53" s="119">
        <v>0</v>
      </c>
      <c r="J53" s="116">
        <f t="shared" si="0"/>
        <v>38250460</v>
      </c>
    </row>
    <row r="54" spans="1:10" s="111" customFormat="1" ht="12.75">
      <c r="A54" s="120"/>
      <c r="B54" s="120"/>
      <c r="C54" s="118"/>
      <c r="D54" s="164" t="s">
        <v>133</v>
      </c>
      <c r="E54" s="164" t="s">
        <v>152</v>
      </c>
      <c r="F54" s="119">
        <v>0</v>
      </c>
      <c r="G54" s="119">
        <v>0</v>
      </c>
      <c r="H54" s="119">
        <v>0</v>
      </c>
      <c r="I54" s="119">
        <v>0</v>
      </c>
      <c r="J54" s="116">
        <f t="shared" si="0"/>
        <v>0</v>
      </c>
    </row>
    <row r="55" spans="1:10" s="111" customFormat="1" ht="12.75">
      <c r="A55" s="120"/>
      <c r="B55" s="120"/>
      <c r="C55" s="118"/>
      <c r="D55" s="164" t="s">
        <v>135</v>
      </c>
      <c r="E55" s="164" t="s">
        <v>153</v>
      </c>
      <c r="F55" s="119">
        <v>0</v>
      </c>
      <c r="G55" s="119">
        <v>0</v>
      </c>
      <c r="H55" s="119">
        <v>0</v>
      </c>
      <c r="I55" s="119">
        <v>0</v>
      </c>
      <c r="J55" s="116">
        <f t="shared" si="0"/>
        <v>0</v>
      </c>
    </row>
    <row r="56" spans="1:10" s="111" customFormat="1" ht="12.75">
      <c r="A56" s="120"/>
      <c r="B56" s="120"/>
      <c r="C56" s="109" t="s">
        <v>544</v>
      </c>
      <c r="D56" s="656" t="s">
        <v>161</v>
      </c>
      <c r="E56" s="657"/>
      <c r="F56" s="110">
        <f>SUM(F57:F61)</f>
        <v>3400677</v>
      </c>
      <c r="G56" s="110">
        <f>SUM(G57:G60)</f>
        <v>0</v>
      </c>
      <c r="H56" s="110">
        <f>SUM(H57:H60)</f>
        <v>0</v>
      </c>
      <c r="I56" s="110">
        <f>SUM(I57:I60)</f>
        <v>0</v>
      </c>
      <c r="J56" s="116">
        <f t="shared" si="0"/>
        <v>3400677</v>
      </c>
    </row>
    <row r="57" spans="1:10" s="111" customFormat="1" ht="12.75">
      <c r="A57" s="117"/>
      <c r="B57" s="117"/>
      <c r="C57" s="121" t="s">
        <v>2</v>
      </c>
      <c r="D57" s="122"/>
      <c r="E57" s="123" t="s">
        <v>398</v>
      </c>
      <c r="F57" s="119">
        <f>1000000-180000-220000-512000</f>
        <v>88000</v>
      </c>
      <c r="G57" s="119">
        <v>0</v>
      </c>
      <c r="H57" s="119">
        <v>0</v>
      </c>
      <c r="I57" s="119">
        <v>0</v>
      </c>
      <c r="J57" s="116">
        <f t="shared" si="0"/>
        <v>88000</v>
      </c>
    </row>
    <row r="58" spans="1:10" s="111" customFormat="1" ht="12.75">
      <c r="A58" s="117"/>
      <c r="B58" s="117"/>
      <c r="C58" s="118"/>
      <c r="D58" s="122"/>
      <c r="E58" s="123" t="s">
        <v>430</v>
      </c>
      <c r="F58" s="119">
        <f>1000000-1000000</f>
        <v>0</v>
      </c>
      <c r="G58" s="119">
        <v>0</v>
      </c>
      <c r="H58" s="119">
        <v>0</v>
      </c>
      <c r="I58" s="119">
        <v>0</v>
      </c>
      <c r="J58" s="116">
        <f t="shared" si="0"/>
        <v>0</v>
      </c>
    </row>
    <row r="59" spans="1:10" s="111" customFormat="1" ht="12.75">
      <c r="A59" s="117"/>
      <c r="B59" s="117"/>
      <c r="C59" s="118"/>
      <c r="D59" s="122"/>
      <c r="E59" s="123" t="s">
        <v>663</v>
      </c>
      <c r="F59" s="119">
        <f>350000+926229</f>
        <v>1276229</v>
      </c>
      <c r="G59" s="119">
        <v>0</v>
      </c>
      <c r="H59" s="119">
        <v>0</v>
      </c>
      <c r="I59" s="119">
        <v>0</v>
      </c>
      <c r="J59" s="116">
        <f t="shared" si="0"/>
        <v>1276229</v>
      </c>
    </row>
    <row r="60" spans="1:10" s="111" customFormat="1" ht="22.5">
      <c r="A60" s="117"/>
      <c r="B60" s="117"/>
      <c r="C60" s="118"/>
      <c r="D60" s="122"/>
      <c r="E60" s="406" t="s">
        <v>971</v>
      </c>
      <c r="F60" s="119">
        <f>200000-200000</f>
        <v>0</v>
      </c>
      <c r="G60" s="119">
        <v>0</v>
      </c>
      <c r="H60" s="119">
        <v>0</v>
      </c>
      <c r="I60" s="119">
        <v>0</v>
      </c>
      <c r="J60" s="116">
        <f t="shared" si="0"/>
        <v>0</v>
      </c>
    </row>
    <row r="61" spans="1:10" s="111" customFormat="1" ht="22.5">
      <c r="A61" s="601"/>
      <c r="B61" s="601"/>
      <c r="C61" s="602"/>
      <c r="D61" s="603"/>
      <c r="E61" s="604" t="s">
        <v>978</v>
      </c>
      <c r="F61" s="605">
        <v>2036448</v>
      </c>
      <c r="G61" s="119">
        <v>0</v>
      </c>
      <c r="H61" s="119">
        <v>0</v>
      </c>
      <c r="I61" s="119">
        <v>0</v>
      </c>
      <c r="J61" s="606">
        <f t="shared" si="0"/>
        <v>2036448</v>
      </c>
    </row>
    <row r="62" spans="1:10" s="111" customFormat="1" ht="12.75">
      <c r="A62" s="115" t="s">
        <v>89</v>
      </c>
      <c r="B62" s="651" t="s">
        <v>332</v>
      </c>
      <c r="C62" s="652"/>
      <c r="D62" s="652"/>
      <c r="E62" s="653"/>
      <c r="F62" s="107">
        <f>1034106071+138684+779383+620000+1578000+94270+14850-23410448</f>
        <v>1013920810</v>
      </c>
      <c r="G62" s="107">
        <v>1016000</v>
      </c>
      <c r="H62" s="107">
        <f>946150+36576</f>
        <v>982726</v>
      </c>
      <c r="I62" s="107">
        <v>3132100</v>
      </c>
      <c r="J62" s="599">
        <f t="shared" si="0"/>
        <v>1019051636</v>
      </c>
    </row>
    <row r="63" spans="1:10" s="111" customFormat="1" ht="12.75">
      <c r="A63" s="115" t="s">
        <v>91</v>
      </c>
      <c r="B63" s="651" t="s">
        <v>90</v>
      </c>
      <c r="C63" s="652"/>
      <c r="D63" s="652"/>
      <c r="E63" s="653"/>
      <c r="F63" s="107">
        <f>187022953+1600000+829010+29999998</f>
        <v>219451961</v>
      </c>
      <c r="G63" s="107">
        <v>0</v>
      </c>
      <c r="H63" s="107">
        <f>273095</f>
        <v>273095</v>
      </c>
      <c r="I63" s="107"/>
      <c r="J63" s="599">
        <f t="shared" si="0"/>
        <v>219725056</v>
      </c>
    </row>
    <row r="64" spans="1:10" s="111" customFormat="1" ht="12.75">
      <c r="A64" s="115" t="s">
        <v>93</v>
      </c>
      <c r="B64" s="651" t="s">
        <v>92</v>
      </c>
      <c r="C64" s="652"/>
      <c r="D64" s="652"/>
      <c r="E64" s="653"/>
      <c r="F64" s="107">
        <f>SUM(F65:F73)</f>
        <v>10449520</v>
      </c>
      <c r="G64" s="107">
        <f>SUM(G65:G73)</f>
        <v>0</v>
      </c>
      <c r="H64" s="107">
        <f>SUM(H65:H73)</f>
        <v>0</v>
      </c>
      <c r="I64" s="107">
        <f>SUM(I65:I73)</f>
        <v>0</v>
      </c>
      <c r="J64" s="599">
        <f t="shared" si="0"/>
        <v>10449520</v>
      </c>
    </row>
    <row r="65" spans="1:10" s="111" customFormat="1" ht="12.75">
      <c r="A65" s="103"/>
      <c r="B65" s="103" t="s">
        <v>163</v>
      </c>
      <c r="C65" s="666" t="s">
        <v>164</v>
      </c>
      <c r="D65" s="666"/>
      <c r="E65" s="666"/>
      <c r="F65" s="106">
        <v>0</v>
      </c>
      <c r="G65" s="106">
        <v>0</v>
      </c>
      <c r="H65" s="106">
        <v>0</v>
      </c>
      <c r="I65" s="106">
        <v>0</v>
      </c>
      <c r="J65" s="107">
        <f t="shared" si="0"/>
        <v>0</v>
      </c>
    </row>
    <row r="66" spans="1:10" s="111" customFormat="1" ht="12.75">
      <c r="A66" s="103"/>
      <c r="B66" s="103" t="s">
        <v>165</v>
      </c>
      <c r="C66" s="666" t="s">
        <v>166</v>
      </c>
      <c r="D66" s="666"/>
      <c r="E66" s="666"/>
      <c r="F66" s="106">
        <v>0</v>
      </c>
      <c r="G66" s="106">
        <v>0</v>
      </c>
      <c r="H66" s="106">
        <v>0</v>
      </c>
      <c r="I66" s="106">
        <v>0</v>
      </c>
      <c r="J66" s="107">
        <f t="shared" si="0"/>
        <v>0</v>
      </c>
    </row>
    <row r="67" spans="1:10" s="111" customFormat="1" ht="12.75">
      <c r="A67" s="103" t="s">
        <v>162</v>
      </c>
      <c r="B67" s="103" t="s">
        <v>167</v>
      </c>
      <c r="C67" s="666" t="s">
        <v>168</v>
      </c>
      <c r="D67" s="666"/>
      <c r="E67" s="666"/>
      <c r="F67" s="106">
        <v>0</v>
      </c>
      <c r="G67" s="106">
        <v>0</v>
      </c>
      <c r="H67" s="106">
        <v>0</v>
      </c>
      <c r="I67" s="106">
        <v>0</v>
      </c>
      <c r="J67" s="107">
        <f t="shared" si="0"/>
        <v>0</v>
      </c>
    </row>
    <row r="68" spans="1:10" s="111" customFormat="1" ht="12.75">
      <c r="A68" s="103"/>
      <c r="B68" s="103" t="s">
        <v>169</v>
      </c>
      <c r="C68" s="666" t="s">
        <v>170</v>
      </c>
      <c r="D68" s="666"/>
      <c r="E68" s="666"/>
      <c r="F68" s="106">
        <v>0</v>
      </c>
      <c r="G68" s="106">
        <v>0</v>
      </c>
      <c r="H68" s="106">
        <v>0</v>
      </c>
      <c r="I68" s="106">
        <v>0</v>
      </c>
      <c r="J68" s="107">
        <f t="shared" si="0"/>
        <v>0</v>
      </c>
    </row>
    <row r="69" spans="1:10" s="111" customFormat="1" ht="12.75">
      <c r="A69" s="103"/>
      <c r="B69" s="103" t="s">
        <v>171</v>
      </c>
      <c r="C69" s="666" t="s">
        <v>172</v>
      </c>
      <c r="D69" s="666"/>
      <c r="E69" s="666"/>
      <c r="F69" s="106">
        <v>0</v>
      </c>
      <c r="G69" s="106">
        <v>0</v>
      </c>
      <c r="H69" s="106">
        <v>0</v>
      </c>
      <c r="I69" s="106">
        <v>0</v>
      </c>
      <c r="J69" s="107">
        <f t="shared" si="0"/>
        <v>0</v>
      </c>
    </row>
    <row r="70" spans="1:10" s="111" customFormat="1" ht="12.75">
      <c r="A70" s="103"/>
      <c r="B70" s="103" t="s">
        <v>173</v>
      </c>
      <c r="C70" s="666" t="s">
        <v>174</v>
      </c>
      <c r="D70" s="666"/>
      <c r="E70" s="666"/>
      <c r="F70" s="106">
        <v>0</v>
      </c>
      <c r="G70" s="106">
        <v>0</v>
      </c>
      <c r="H70" s="106">
        <v>0</v>
      </c>
      <c r="I70" s="106">
        <v>0</v>
      </c>
      <c r="J70" s="107">
        <f t="shared" si="0"/>
        <v>0</v>
      </c>
    </row>
    <row r="71" spans="1:10" s="111" customFormat="1" ht="12.75">
      <c r="A71" s="103"/>
      <c r="B71" s="103" t="s">
        <v>175</v>
      </c>
      <c r="C71" s="666" t="s">
        <v>176</v>
      </c>
      <c r="D71" s="666"/>
      <c r="E71" s="666"/>
      <c r="F71" s="106">
        <v>0</v>
      </c>
      <c r="G71" s="106">
        <v>0</v>
      </c>
      <c r="H71" s="106">
        <v>0</v>
      </c>
      <c r="I71" s="106">
        <v>0</v>
      </c>
      <c r="J71" s="107">
        <f>SUM(F71:I71)</f>
        <v>0</v>
      </c>
    </row>
    <row r="72" spans="1:10" s="111" customFormat="1" ht="12.75">
      <c r="A72" s="103"/>
      <c r="B72" s="103" t="s">
        <v>177</v>
      </c>
      <c r="C72" s="666" t="s">
        <v>546</v>
      </c>
      <c r="D72" s="666"/>
      <c r="E72" s="666"/>
      <c r="F72" s="106">
        <v>0</v>
      </c>
      <c r="G72" s="106">
        <v>0</v>
      </c>
      <c r="H72" s="106">
        <v>0</v>
      </c>
      <c r="I72" s="106">
        <v>0</v>
      </c>
      <c r="J72" s="107">
        <f>SUM(F72:I72)</f>
        <v>0</v>
      </c>
    </row>
    <row r="73" spans="1:10" s="111" customFormat="1" ht="12.75">
      <c r="A73" s="103"/>
      <c r="B73" s="103" t="s">
        <v>545</v>
      </c>
      <c r="C73" s="666" t="s">
        <v>662</v>
      </c>
      <c r="D73" s="666"/>
      <c r="E73" s="666"/>
      <c r="F73" s="106">
        <f>5449520+5000000</f>
        <v>10449520</v>
      </c>
      <c r="G73" s="106">
        <v>0</v>
      </c>
      <c r="H73" s="106">
        <v>0</v>
      </c>
      <c r="I73" s="106">
        <v>0</v>
      </c>
      <c r="J73" s="116">
        <f>SUM(F73:I73)</f>
        <v>10449520</v>
      </c>
    </row>
    <row r="74" spans="1:10" s="111" customFormat="1" ht="12.75">
      <c r="A74" s="115" t="s">
        <v>95</v>
      </c>
      <c r="B74" s="651" t="s">
        <v>94</v>
      </c>
      <c r="C74" s="652"/>
      <c r="D74" s="652"/>
      <c r="E74" s="653"/>
      <c r="F74" s="107">
        <v>17347428</v>
      </c>
      <c r="G74" s="107">
        <v>0</v>
      </c>
      <c r="H74" s="107">
        <v>0</v>
      </c>
      <c r="I74" s="107">
        <v>0</v>
      </c>
      <c r="J74" s="599">
        <f>SUM(F74:I74)</f>
        <v>17347428</v>
      </c>
    </row>
    <row r="75" spans="1:10" s="111" customFormat="1" ht="12.75">
      <c r="A75" s="124"/>
      <c r="B75" s="125"/>
      <c r="C75" s="125"/>
      <c r="D75" s="125"/>
      <c r="E75" s="125"/>
      <c r="F75" s="126"/>
      <c r="G75" s="127"/>
      <c r="H75" s="127"/>
      <c r="I75" s="127"/>
      <c r="J75" s="128"/>
    </row>
    <row r="76" spans="1:10" s="111" customFormat="1" ht="15.75">
      <c r="A76" s="646" t="s">
        <v>178</v>
      </c>
      <c r="B76" s="647"/>
      <c r="C76" s="647"/>
      <c r="D76" s="647"/>
      <c r="E76" s="648"/>
      <c r="F76" s="129">
        <f>SUM(F6+F7+F8+F9+F22+F62+F63+F64+F74)</f>
        <v>2127377944</v>
      </c>
      <c r="G76" s="129">
        <f>SUM(G6+G7+G8+G9+G22+G62+G63+G64+G74)</f>
        <v>168842524</v>
      </c>
      <c r="H76" s="129">
        <f>SUM(H6+H7+H8+H9+H22+H62+H63+H64+H74)</f>
        <v>283752026</v>
      </c>
      <c r="I76" s="129">
        <f>SUM(I6+I7+I8+I9+I22+I62+I63+I64+I74)</f>
        <v>62802303</v>
      </c>
      <c r="J76" s="129">
        <f>SUM(J6+J7+J8+J9+J22+J62+J63+J64+J74)</f>
        <v>2642774797</v>
      </c>
    </row>
    <row r="77" spans="1:10" s="111" customFormat="1" ht="13.5" customHeight="1">
      <c r="A77" s="112"/>
      <c r="B77" s="113"/>
      <c r="C77" s="113"/>
      <c r="D77" s="113"/>
      <c r="E77" s="113"/>
      <c r="F77" s="113"/>
      <c r="G77" s="113"/>
      <c r="H77" s="113"/>
      <c r="I77" s="113"/>
      <c r="J77" s="113"/>
    </row>
    <row r="79" spans="2:3" ht="12.75">
      <c r="B79" s="620">
        <v>13</v>
      </c>
      <c r="C79" s="621" t="s">
        <v>1027</v>
      </c>
    </row>
    <row r="80" spans="2:3" ht="12.75">
      <c r="B80" s="621">
        <v>14</v>
      </c>
      <c r="C80" s="621" t="s">
        <v>1029</v>
      </c>
    </row>
  </sheetData>
  <sheetProtection/>
  <mergeCells count="46">
    <mergeCell ref="A1:J1"/>
    <mergeCell ref="A3:J3"/>
    <mergeCell ref="D45:E45"/>
    <mergeCell ref="D21:E21"/>
    <mergeCell ref="C18:E18"/>
    <mergeCell ref="C19:E19"/>
    <mergeCell ref="D26:E26"/>
    <mergeCell ref="D27:E27"/>
    <mergeCell ref="D28:E28"/>
    <mergeCell ref="B8:E8"/>
    <mergeCell ref="B9:E9"/>
    <mergeCell ref="D13:E13"/>
    <mergeCell ref="C15:E15"/>
    <mergeCell ref="D12:E12"/>
    <mergeCell ref="C14:E14"/>
    <mergeCell ref="C17:E17"/>
    <mergeCell ref="B64:E64"/>
    <mergeCell ref="B63:E63"/>
    <mergeCell ref="D40:E40"/>
    <mergeCell ref="D41:E41"/>
    <mergeCell ref="D42:E42"/>
    <mergeCell ref="D43:E43"/>
    <mergeCell ref="D44:E44"/>
    <mergeCell ref="C68:E68"/>
    <mergeCell ref="C69:E69"/>
    <mergeCell ref="C70:E70"/>
    <mergeCell ref="C71:E71"/>
    <mergeCell ref="C72:E72"/>
    <mergeCell ref="C65:E65"/>
    <mergeCell ref="C66:E66"/>
    <mergeCell ref="A4:E4"/>
    <mergeCell ref="B5:E5"/>
    <mergeCell ref="B6:E6"/>
    <mergeCell ref="B7:E7"/>
    <mergeCell ref="C10:E10"/>
    <mergeCell ref="C11:E11"/>
    <mergeCell ref="A76:E76"/>
    <mergeCell ref="D20:E20"/>
    <mergeCell ref="B22:E22"/>
    <mergeCell ref="D25:E25"/>
    <mergeCell ref="D39:E39"/>
    <mergeCell ref="D56:E56"/>
    <mergeCell ref="B62:E62"/>
    <mergeCell ref="C73:E73"/>
    <mergeCell ref="B74:E74"/>
    <mergeCell ref="C67:E6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62"/>
  <sheetViews>
    <sheetView zoomScalePageLayoutView="0" workbookViewId="0" topLeftCell="A1">
      <selection activeCell="B59" sqref="B59"/>
    </sheetView>
  </sheetViews>
  <sheetFormatPr defaultColWidth="9.00390625" defaultRowHeight="12.75"/>
  <cols>
    <col min="1" max="1" width="4.125" style="45" bestFit="1" customWidth="1"/>
    <col min="2" max="2" width="55.125" style="24" bestFit="1" customWidth="1"/>
    <col min="3" max="3" width="13.375" style="24" bestFit="1" customWidth="1"/>
    <col min="4" max="5" width="15.125" style="24" bestFit="1" customWidth="1"/>
    <col min="6" max="6" width="53.875" style="24" bestFit="1" customWidth="1"/>
    <col min="7" max="7" width="15.00390625" style="24" bestFit="1" customWidth="1"/>
    <col min="8" max="9" width="15.875" style="24" bestFit="1" customWidth="1"/>
    <col min="10" max="16384" width="9.125" style="24" customWidth="1"/>
  </cols>
  <sheetData>
    <row r="1" spans="6:10" ht="12.75" customHeight="1">
      <c r="F1" s="671" t="s">
        <v>1106</v>
      </c>
      <c r="G1" s="672"/>
      <c r="H1" s="672"/>
      <c r="I1" s="672"/>
      <c r="J1" s="35"/>
    </row>
    <row r="2" spans="2:9" ht="15.75">
      <c r="B2" s="878" t="s">
        <v>1032</v>
      </c>
      <c r="C2" s="878"/>
      <c r="D2" s="878"/>
      <c r="E2" s="878"/>
      <c r="F2" s="878"/>
      <c r="G2" s="878"/>
      <c r="H2" s="878"/>
      <c r="I2" s="878"/>
    </row>
    <row r="4" spans="1:9" ht="15.75">
      <c r="A4" s="919" t="s">
        <v>405</v>
      </c>
      <c r="B4" s="916" t="s">
        <v>1033</v>
      </c>
      <c r="C4" s="917"/>
      <c r="D4" s="917"/>
      <c r="E4" s="918"/>
      <c r="F4" s="916" t="s">
        <v>327</v>
      </c>
      <c r="G4" s="917"/>
      <c r="H4" s="917"/>
      <c r="I4" s="918"/>
    </row>
    <row r="5" spans="1:9" ht="15">
      <c r="A5" s="920"/>
      <c r="B5" s="879" t="s">
        <v>326</v>
      </c>
      <c r="C5" s="880" t="s">
        <v>1034</v>
      </c>
      <c r="D5" s="880" t="s">
        <v>1035</v>
      </c>
      <c r="E5" s="880" t="s">
        <v>394</v>
      </c>
      <c r="F5" s="879" t="s">
        <v>326</v>
      </c>
      <c r="G5" s="880" t="s">
        <v>1034</v>
      </c>
      <c r="H5" s="880" t="s">
        <v>1035</v>
      </c>
      <c r="I5" s="880" t="s">
        <v>394</v>
      </c>
    </row>
    <row r="6" spans="1:9" ht="15">
      <c r="A6" s="921"/>
      <c r="B6" s="881" t="s">
        <v>399</v>
      </c>
      <c r="C6" s="881" t="s">
        <v>400</v>
      </c>
      <c r="D6" s="881" t="s">
        <v>401</v>
      </c>
      <c r="E6" s="881" t="s">
        <v>402</v>
      </c>
      <c r="F6" s="881" t="s">
        <v>403</v>
      </c>
      <c r="G6" s="881" t="s">
        <v>404</v>
      </c>
      <c r="H6" s="881" t="s">
        <v>406</v>
      </c>
      <c r="I6" s="881" t="s">
        <v>407</v>
      </c>
    </row>
    <row r="7" spans="1:9" ht="15">
      <c r="A7" s="881">
        <v>1</v>
      </c>
      <c r="B7" s="882" t="s">
        <v>1036</v>
      </c>
      <c r="C7" s="883">
        <f>SUM(C8)</f>
        <v>1036472099</v>
      </c>
      <c r="D7" s="883">
        <f>SUM(D32,D8)</f>
        <v>130857475</v>
      </c>
      <c r="E7" s="883">
        <f aca="true" t="shared" si="0" ref="E7:E30">SUM(C7:D7)</f>
        <v>1167329574</v>
      </c>
      <c r="F7" s="882" t="s">
        <v>1037</v>
      </c>
      <c r="G7" s="883">
        <f>SUM(G8,G32)</f>
        <v>1376201157</v>
      </c>
      <c r="H7" s="883">
        <f>SUM(H8,H32)</f>
        <v>1249226212</v>
      </c>
      <c r="I7" s="883">
        <f aca="true" t="shared" si="1" ref="I7:I18">SUM(G7:H7)</f>
        <v>2625427369</v>
      </c>
    </row>
    <row r="8" spans="1:9" ht="15">
      <c r="A8" s="884">
        <v>2</v>
      </c>
      <c r="B8" s="885" t="s">
        <v>1038</v>
      </c>
      <c r="C8" s="886">
        <f>SUM(C28+C18+C13+C9)</f>
        <v>1036472099</v>
      </c>
      <c r="D8" s="886">
        <f>SUM(D28+D18+D13+D9)</f>
        <v>0</v>
      </c>
      <c r="E8" s="886">
        <f t="shared" si="0"/>
        <v>1036472099</v>
      </c>
      <c r="F8" s="887" t="s">
        <v>1039</v>
      </c>
      <c r="G8" s="886">
        <f>SUM(G9:G13)</f>
        <v>1376201157</v>
      </c>
      <c r="H8" s="886">
        <f>SUM(H9:H13)</f>
        <v>0</v>
      </c>
      <c r="I8" s="886">
        <f t="shared" si="1"/>
        <v>1376201157</v>
      </c>
    </row>
    <row r="9" spans="1:9" ht="15">
      <c r="A9" s="884">
        <v>3</v>
      </c>
      <c r="B9" s="888" t="s">
        <v>1040</v>
      </c>
      <c r="C9" s="889">
        <f>SUM(C10:C12)</f>
        <v>715029406</v>
      </c>
      <c r="D9" s="889">
        <v>0</v>
      </c>
      <c r="E9" s="889">
        <f t="shared" si="0"/>
        <v>715029406</v>
      </c>
      <c r="F9" s="890" t="s">
        <v>1041</v>
      </c>
      <c r="G9" s="889">
        <f>422579600+36347085+11080125+812250+20900-338000+200000+1420400+338000+220000+56100+2193899+565720+1059890+3179670-2666710+24000000+47334+2742+2666710+1229250+1500000+223500+1582900</f>
        <v>508321365</v>
      </c>
      <c r="H9" s="889">
        <v>0</v>
      </c>
      <c r="I9" s="889">
        <f t="shared" si="1"/>
        <v>508321365</v>
      </c>
    </row>
    <row r="10" spans="1:9" ht="15">
      <c r="A10" s="881">
        <v>4</v>
      </c>
      <c r="B10" s="891" t="s">
        <v>1042</v>
      </c>
      <c r="C10" s="892">
        <f>474324803+593921+81261+10844656+862312+10464000+10858846+3401000+2145000+2556000+356000</f>
        <v>516487799</v>
      </c>
      <c r="D10" s="892">
        <v>0</v>
      </c>
      <c r="E10" s="892">
        <f t="shared" si="0"/>
        <v>516487799</v>
      </c>
      <c r="F10" s="890" t="s">
        <v>1043</v>
      </c>
      <c r="G10" s="889">
        <f>94757514+3543768+1080288+158389+4081-65910+39000+293204+65910+42900+10940+383932+99001+92742+278226-520008+4680000-8955+520008+215116+775525+39112+303260</f>
        <v>106788043</v>
      </c>
      <c r="H10" s="889">
        <v>0</v>
      </c>
      <c r="I10" s="889">
        <f t="shared" si="1"/>
        <v>106788043</v>
      </c>
    </row>
    <row r="11" spans="1:9" ht="15">
      <c r="A11" s="884">
        <v>5</v>
      </c>
      <c r="B11" s="891" t="s">
        <v>1044</v>
      </c>
      <c r="C11" s="892">
        <v>0</v>
      </c>
      <c r="D11" s="892">
        <v>0</v>
      </c>
      <c r="E11" s="892">
        <f t="shared" si="0"/>
        <v>0</v>
      </c>
      <c r="F11" s="890" t="s">
        <v>1045</v>
      </c>
      <c r="G11" s="889">
        <f>441669250+180000+220000+8618030+22660742+2730247+4347090+296854+8004000-2108200+413-413+1537859+247115+2108200+622539+10500000+656145+88787-600000+2794000+754380+1208400+300000+248400+30000+200000+516434+128723+40000+40000+40000+40000+40000-28680000-4844+23576063-165615-829010+6213+6147-6147+889000-889000+7367584+614391+300000+81000-273095-36576+269840</f>
        <v>510384946</v>
      </c>
      <c r="H11" s="889">
        <v>0</v>
      </c>
      <c r="I11" s="889">
        <f t="shared" si="1"/>
        <v>510384946</v>
      </c>
    </row>
    <row r="12" spans="1:9" ht="15">
      <c r="A12" s="884">
        <v>6</v>
      </c>
      <c r="B12" s="891" t="s">
        <v>1046</v>
      </c>
      <c r="C12" s="892">
        <f>136641874-6854236-6737965+42621100+16507503+3303941+1960719+2577831+1152632+3457896+47334+1444366+262612+2156000</f>
        <v>198541607</v>
      </c>
      <c r="D12" s="892">
        <v>0</v>
      </c>
      <c r="E12" s="892">
        <f t="shared" si="0"/>
        <v>198541607</v>
      </c>
      <c r="F12" s="890" t="s">
        <v>1047</v>
      </c>
      <c r="G12" s="889">
        <v>11234900</v>
      </c>
      <c r="H12" s="889">
        <v>0</v>
      </c>
      <c r="I12" s="889">
        <f t="shared" si="1"/>
        <v>11234900</v>
      </c>
    </row>
    <row r="13" spans="1:9" ht="15">
      <c r="A13" s="881">
        <v>7</v>
      </c>
      <c r="B13" s="888" t="s">
        <v>1048</v>
      </c>
      <c r="C13" s="889">
        <f>SUM(C14:C17)</f>
        <v>254780000</v>
      </c>
      <c r="D13" s="889">
        <f>SUM(D14:D17)</f>
        <v>0</v>
      </c>
      <c r="E13" s="889">
        <f t="shared" si="0"/>
        <v>254780000</v>
      </c>
      <c r="F13" s="893" t="s">
        <v>1049</v>
      </c>
      <c r="G13" s="889">
        <f>SUM(G14:G18)</f>
        <v>239471903</v>
      </c>
      <c r="H13" s="889">
        <f>SUM(H14:H18)</f>
        <v>0</v>
      </c>
      <c r="I13" s="889">
        <f t="shared" si="1"/>
        <v>239471903</v>
      </c>
    </row>
    <row r="14" spans="1:9" ht="15">
      <c r="A14" s="884">
        <v>8</v>
      </c>
      <c r="B14" s="891" t="s">
        <v>1050</v>
      </c>
      <c r="C14" s="892">
        <v>232130000</v>
      </c>
      <c r="D14" s="892">
        <v>0</v>
      </c>
      <c r="E14" s="892">
        <f t="shared" si="0"/>
        <v>232130000</v>
      </c>
      <c r="F14" s="894" t="s">
        <v>1051</v>
      </c>
      <c r="G14" s="892">
        <v>46343378</v>
      </c>
      <c r="H14" s="892">
        <v>0</v>
      </c>
      <c r="I14" s="892">
        <f t="shared" si="1"/>
        <v>46343378</v>
      </c>
    </row>
    <row r="15" spans="1:9" ht="15">
      <c r="A15" s="884"/>
      <c r="B15" s="895" t="s">
        <v>1052</v>
      </c>
      <c r="C15" s="892">
        <v>50000</v>
      </c>
      <c r="D15" s="892">
        <v>0</v>
      </c>
      <c r="E15" s="892">
        <f t="shared" si="0"/>
        <v>50000</v>
      </c>
      <c r="F15" s="894" t="s">
        <v>1053</v>
      </c>
      <c r="G15" s="892">
        <v>0</v>
      </c>
      <c r="H15" s="892">
        <v>0</v>
      </c>
      <c r="I15" s="892">
        <f t="shared" si="1"/>
        <v>0</v>
      </c>
    </row>
    <row r="16" spans="1:9" ht="15">
      <c r="A16" s="884">
        <v>9</v>
      </c>
      <c r="B16" s="895" t="s">
        <v>1054</v>
      </c>
      <c r="C16" s="892">
        <v>22000000</v>
      </c>
      <c r="D16" s="892">
        <v>0</v>
      </c>
      <c r="E16" s="892">
        <f t="shared" si="0"/>
        <v>22000000</v>
      </c>
      <c r="F16" s="894" t="s">
        <v>1055</v>
      </c>
      <c r="G16" s="892">
        <f>1170350+46053+4844</f>
        <v>1221247</v>
      </c>
      <c r="H16" s="892">
        <v>0</v>
      </c>
      <c r="I16" s="892">
        <f t="shared" si="1"/>
        <v>1221247</v>
      </c>
    </row>
    <row r="17" spans="1:9" ht="15">
      <c r="A17" s="881">
        <v>10</v>
      </c>
      <c r="B17" s="891" t="s">
        <v>1056</v>
      </c>
      <c r="C17" s="892">
        <v>600000</v>
      </c>
      <c r="D17" s="892">
        <v>0</v>
      </c>
      <c r="E17" s="892">
        <f t="shared" si="0"/>
        <v>600000</v>
      </c>
      <c r="F17" s="894" t="s">
        <v>1057</v>
      </c>
      <c r="G17" s="892">
        <f>155533573-34818+23849000-500000-500000-700000+10858846</f>
        <v>188506601</v>
      </c>
      <c r="H17" s="892">
        <v>0</v>
      </c>
      <c r="I17" s="892">
        <f t="shared" si="1"/>
        <v>188506601</v>
      </c>
    </row>
    <row r="18" spans="1:9" ht="15">
      <c r="A18" s="884">
        <v>11</v>
      </c>
      <c r="B18" s="888" t="s">
        <v>1058</v>
      </c>
      <c r="C18" s="889">
        <f>SUM(C19:C27)</f>
        <v>66662693</v>
      </c>
      <c r="D18" s="889">
        <f>SUM(D19:D27)</f>
        <v>0</v>
      </c>
      <c r="E18" s="889">
        <f t="shared" si="0"/>
        <v>66662693</v>
      </c>
      <c r="F18" s="894" t="s">
        <v>1059</v>
      </c>
      <c r="G18" s="892">
        <f>26199000-23849000+200000-1000000-180000-220000+97110256+2940272-8618030+926229-926229-22660742-6854236-6737965-46053-46343378+8004000-4923623-2940272+2036448-8004000-512000-200000</f>
        <v>3400677</v>
      </c>
      <c r="H18" s="892">
        <f>5039360-5000000-39360</f>
        <v>0</v>
      </c>
      <c r="I18" s="892">
        <f t="shared" si="1"/>
        <v>3400677</v>
      </c>
    </row>
    <row r="19" spans="1:9" ht="15">
      <c r="A19" s="884">
        <v>12</v>
      </c>
      <c r="B19" s="891" t="s">
        <v>1060</v>
      </c>
      <c r="C19" s="892">
        <f>8000000+2794000+920000</f>
        <v>11714000</v>
      </c>
      <c r="D19" s="892">
        <v>0</v>
      </c>
      <c r="E19" s="892">
        <f t="shared" si="0"/>
        <v>11714000</v>
      </c>
      <c r="F19" s="893"/>
      <c r="G19" s="889"/>
      <c r="H19" s="889"/>
      <c r="I19" s="889"/>
    </row>
    <row r="20" spans="1:9" ht="15">
      <c r="A20" s="881">
        <v>13</v>
      </c>
      <c r="B20" s="891" t="s">
        <v>1061</v>
      </c>
      <c r="C20" s="892">
        <f>17817680+540000+1080000+8076772+300000</f>
        <v>27814452</v>
      </c>
      <c r="D20" s="892">
        <v>0</v>
      </c>
      <c r="E20" s="892">
        <f t="shared" si="0"/>
        <v>27814452</v>
      </c>
      <c r="F20" s="894"/>
      <c r="G20" s="892"/>
      <c r="H20" s="892"/>
      <c r="I20" s="892"/>
    </row>
    <row r="21" spans="1:9" ht="15">
      <c r="A21" s="884">
        <v>14</v>
      </c>
      <c r="B21" s="891" t="s">
        <v>1062</v>
      </c>
      <c r="C21" s="892">
        <v>9130778</v>
      </c>
      <c r="D21" s="892">
        <v>0</v>
      </c>
      <c r="E21" s="892">
        <f t="shared" si="0"/>
        <v>9130778</v>
      </c>
      <c r="F21" s="894"/>
      <c r="G21" s="892"/>
      <c r="H21" s="892"/>
      <c r="I21" s="892"/>
    </row>
    <row r="22" spans="1:9" ht="15">
      <c r="A22" s="884">
        <v>15</v>
      </c>
      <c r="B22" s="891" t="s">
        <v>1063</v>
      </c>
      <c r="C22" s="892">
        <v>721000</v>
      </c>
      <c r="D22" s="892">
        <v>0</v>
      </c>
      <c r="E22" s="892">
        <f t="shared" si="0"/>
        <v>721000</v>
      </c>
      <c r="F22" s="894"/>
      <c r="G22" s="892"/>
      <c r="H22" s="892"/>
      <c r="I22" s="892"/>
    </row>
    <row r="23" spans="1:9" ht="15">
      <c r="A23" s="881">
        <v>16</v>
      </c>
      <c r="B23" s="891" t="s">
        <v>1064</v>
      </c>
      <c r="C23" s="892">
        <v>6042864</v>
      </c>
      <c r="D23" s="892">
        <v>0</v>
      </c>
      <c r="E23" s="892">
        <f t="shared" si="0"/>
        <v>6042864</v>
      </c>
      <c r="F23" s="894"/>
      <c r="G23" s="892"/>
      <c r="H23" s="892"/>
      <c r="I23" s="892"/>
    </row>
    <row r="24" spans="1:9" ht="15">
      <c r="A24" s="884">
        <v>17</v>
      </c>
      <c r="B24" s="891" t="s">
        <v>1065</v>
      </c>
      <c r="C24" s="892">
        <f>5690292+754380+248400+2180728+81000</f>
        <v>8954800</v>
      </c>
      <c r="D24" s="892">
        <v>0</v>
      </c>
      <c r="E24" s="892">
        <f t="shared" si="0"/>
        <v>8954800</v>
      </c>
      <c r="F24" s="896"/>
      <c r="G24" s="892"/>
      <c r="H24" s="897"/>
      <c r="I24" s="897"/>
    </row>
    <row r="25" spans="1:9" ht="15">
      <c r="A25" s="884">
        <v>18</v>
      </c>
      <c r="B25" s="891" t="s">
        <v>1066</v>
      </c>
      <c r="C25" s="892">
        <f>30000+664721+78901+516434+128723+109120</f>
        <v>1527899</v>
      </c>
      <c r="D25" s="892">
        <v>0</v>
      </c>
      <c r="E25" s="892">
        <f t="shared" si="0"/>
        <v>1527899</v>
      </c>
      <c r="F25" s="896"/>
      <c r="G25" s="892"/>
      <c r="H25" s="897"/>
      <c r="I25" s="897"/>
    </row>
    <row r="26" spans="1:9" ht="15">
      <c r="A26" s="884">
        <v>19</v>
      </c>
      <c r="B26" s="891" t="s">
        <v>1067</v>
      </c>
      <c r="C26" s="892">
        <v>500</v>
      </c>
      <c r="D26" s="892">
        <v>0</v>
      </c>
      <c r="E26" s="892">
        <f t="shared" si="0"/>
        <v>500</v>
      </c>
      <c r="F26" s="896"/>
      <c r="G26" s="892"/>
      <c r="H26" s="897"/>
      <c r="I26" s="897"/>
    </row>
    <row r="27" spans="1:9" ht="15">
      <c r="A27" s="881">
        <v>20</v>
      </c>
      <c r="B27" s="891" t="s">
        <v>1068</v>
      </c>
      <c r="C27" s="892">
        <f>12081400-233171+10464000-22252229+696400</f>
        <v>756400</v>
      </c>
      <c r="D27" s="892">
        <v>0</v>
      </c>
      <c r="E27" s="892">
        <f t="shared" si="0"/>
        <v>756400</v>
      </c>
      <c r="F27" s="896"/>
      <c r="G27" s="897"/>
      <c r="H27" s="897"/>
      <c r="I27" s="897"/>
    </row>
    <row r="28" spans="1:9" ht="15">
      <c r="A28" s="884">
        <v>21</v>
      </c>
      <c r="B28" s="888" t="s">
        <v>1069</v>
      </c>
      <c r="C28" s="889">
        <f>SUM(C29:C30)</f>
        <v>0</v>
      </c>
      <c r="D28" s="889">
        <v>0</v>
      </c>
      <c r="E28" s="889">
        <f t="shared" si="0"/>
        <v>0</v>
      </c>
      <c r="F28" s="896"/>
      <c r="G28" s="897"/>
      <c r="H28" s="897"/>
      <c r="I28" s="897"/>
    </row>
    <row r="29" spans="1:9" ht="15">
      <c r="A29" s="884">
        <v>22</v>
      </c>
      <c r="B29" s="891" t="s">
        <v>1070</v>
      </c>
      <c r="C29" s="892">
        <v>0</v>
      </c>
      <c r="D29" s="892">
        <v>0</v>
      </c>
      <c r="E29" s="892">
        <f t="shared" si="0"/>
        <v>0</v>
      </c>
      <c r="F29" s="896"/>
      <c r="G29" s="897"/>
      <c r="H29" s="897"/>
      <c r="I29" s="897"/>
    </row>
    <row r="30" spans="1:9" ht="15">
      <c r="A30" s="881">
        <v>23</v>
      </c>
      <c r="B30" s="891" t="s">
        <v>1071</v>
      </c>
      <c r="C30" s="892">
        <v>0</v>
      </c>
      <c r="D30" s="892">
        <v>0</v>
      </c>
      <c r="E30" s="892">
        <f t="shared" si="0"/>
        <v>0</v>
      </c>
      <c r="F30" s="896"/>
      <c r="G30" s="897"/>
      <c r="H30" s="897"/>
      <c r="I30" s="897"/>
    </row>
    <row r="31" spans="1:9" ht="15">
      <c r="A31" s="884">
        <v>24</v>
      </c>
      <c r="B31" s="891"/>
      <c r="C31" s="892"/>
      <c r="D31" s="892"/>
      <c r="E31" s="892"/>
      <c r="F31" s="896"/>
      <c r="G31" s="897"/>
      <c r="H31" s="897"/>
      <c r="I31" s="897"/>
    </row>
    <row r="32" spans="1:9" ht="15">
      <c r="A32" s="884">
        <v>25</v>
      </c>
      <c r="B32" s="898" t="s">
        <v>1072</v>
      </c>
      <c r="C32" s="886">
        <f>SUM(C41+C36+C33)</f>
        <v>0</v>
      </c>
      <c r="D32" s="886">
        <f>SUM(D41+D36+D33)</f>
        <v>130857475</v>
      </c>
      <c r="E32" s="886">
        <f>SUM(D32:D32)</f>
        <v>130857475</v>
      </c>
      <c r="F32" s="887" t="s">
        <v>1073</v>
      </c>
      <c r="G32" s="886">
        <f>SUM(G33:G35)</f>
        <v>0</v>
      </c>
      <c r="H32" s="886">
        <f>SUM(H33:H35)</f>
        <v>1249226212</v>
      </c>
      <c r="I32" s="886">
        <f aca="true" t="shared" si="2" ref="I32:I40">SUM(G32:H32)</f>
        <v>1249226212</v>
      </c>
    </row>
    <row r="33" spans="1:9" ht="15">
      <c r="A33" s="881">
        <v>26</v>
      </c>
      <c r="B33" s="888" t="s">
        <v>1074</v>
      </c>
      <c r="C33" s="889">
        <f>SUM(C34:C35)</f>
        <v>0</v>
      </c>
      <c r="D33" s="889">
        <f>SUM(D34:D35)</f>
        <v>60945075</v>
      </c>
      <c r="E33" s="889">
        <f>SUM(D33:D33)</f>
        <v>60945075</v>
      </c>
      <c r="F33" s="890" t="s">
        <v>1075</v>
      </c>
      <c r="G33" s="889">
        <v>0</v>
      </c>
      <c r="H33" s="889">
        <f>1039200321+138684+779383+620000+1578000+94270+14850-23410448+36576</f>
        <v>1019051636</v>
      </c>
      <c r="I33" s="889">
        <f t="shared" si="2"/>
        <v>1019051636</v>
      </c>
    </row>
    <row r="34" spans="1:9" ht="15">
      <c r="A34" s="884">
        <v>27</v>
      </c>
      <c r="B34" s="891" t="s">
        <v>1076</v>
      </c>
      <c r="C34" s="892">
        <v>0</v>
      </c>
      <c r="D34" s="892">
        <f>29999998</f>
        <v>29999998</v>
      </c>
      <c r="E34" s="892">
        <f aca="true" t="shared" si="3" ref="E34:E43">SUM(D34:D34)</f>
        <v>29999998</v>
      </c>
      <c r="F34" s="890" t="s">
        <v>1077</v>
      </c>
      <c r="G34" s="889">
        <v>0</v>
      </c>
      <c r="H34" s="889">
        <f>187022953+1600000+829010+29999998+273095</f>
        <v>219725056</v>
      </c>
      <c r="I34" s="889">
        <f t="shared" si="2"/>
        <v>219725056</v>
      </c>
    </row>
    <row r="35" spans="1:9" ht="15">
      <c r="A35" s="884">
        <v>28</v>
      </c>
      <c r="B35" s="891" t="s">
        <v>1078</v>
      </c>
      <c r="C35" s="892">
        <v>0</v>
      </c>
      <c r="D35" s="892">
        <f>27667271-39360+138684+900000+779383+1499099</f>
        <v>30945077</v>
      </c>
      <c r="E35" s="892">
        <f t="shared" si="3"/>
        <v>30945077</v>
      </c>
      <c r="F35" s="890" t="s">
        <v>1079</v>
      </c>
      <c r="G35" s="889">
        <f>SUM(G36:G40)</f>
        <v>0</v>
      </c>
      <c r="H35" s="889">
        <f>SUM(H36:H40)</f>
        <v>10449520</v>
      </c>
      <c r="I35" s="889">
        <f t="shared" si="2"/>
        <v>10449520</v>
      </c>
    </row>
    <row r="36" spans="1:9" ht="15">
      <c r="A36" s="881">
        <v>29</v>
      </c>
      <c r="B36" s="888" t="s">
        <v>1080</v>
      </c>
      <c r="C36" s="889">
        <f>SUM(C37:C40)</f>
        <v>0</v>
      </c>
      <c r="D36" s="889">
        <f>SUM(D37:D40)</f>
        <v>69912400</v>
      </c>
      <c r="E36" s="889">
        <f t="shared" si="3"/>
        <v>69912400</v>
      </c>
      <c r="F36" s="894" t="s">
        <v>1081</v>
      </c>
      <c r="G36" s="892">
        <v>0</v>
      </c>
      <c r="H36" s="892">
        <v>0</v>
      </c>
      <c r="I36" s="892">
        <f t="shared" si="2"/>
        <v>0</v>
      </c>
    </row>
    <row r="37" spans="1:9" ht="15">
      <c r="A37" s="884">
        <v>30</v>
      </c>
      <c r="B37" s="891" t="s">
        <v>1082</v>
      </c>
      <c r="C37" s="892">
        <v>0</v>
      </c>
      <c r="D37" s="892">
        <v>0</v>
      </c>
      <c r="E37" s="892">
        <f t="shared" si="3"/>
        <v>0</v>
      </c>
      <c r="F37" s="894" t="s">
        <v>1083</v>
      </c>
      <c r="G37" s="892">
        <v>0</v>
      </c>
      <c r="H37" s="892">
        <v>0</v>
      </c>
      <c r="I37" s="892">
        <f t="shared" si="2"/>
        <v>0</v>
      </c>
    </row>
    <row r="38" spans="1:9" ht="15">
      <c r="A38" s="884">
        <v>31</v>
      </c>
      <c r="B38" s="891" t="s">
        <v>1084</v>
      </c>
      <c r="C38" s="892">
        <f>SUM(C39:C40)</f>
        <v>0</v>
      </c>
      <c r="D38" s="892">
        <f>78841508+140105-900000+88787+200000-8458000</f>
        <v>69912400</v>
      </c>
      <c r="E38" s="892">
        <f t="shared" si="3"/>
        <v>69912400</v>
      </c>
      <c r="F38" s="894" t="s">
        <v>1085</v>
      </c>
      <c r="G38" s="892">
        <v>0</v>
      </c>
      <c r="H38" s="892">
        <v>0</v>
      </c>
      <c r="I38" s="892">
        <f t="shared" si="2"/>
        <v>0</v>
      </c>
    </row>
    <row r="39" spans="1:9" ht="15">
      <c r="A39" s="881">
        <v>32</v>
      </c>
      <c r="B39" s="891" t="s">
        <v>1086</v>
      </c>
      <c r="C39" s="892">
        <v>0</v>
      </c>
      <c r="D39" s="892">
        <v>0</v>
      </c>
      <c r="E39" s="892">
        <f t="shared" si="3"/>
        <v>0</v>
      </c>
      <c r="F39" s="894" t="s">
        <v>1087</v>
      </c>
      <c r="G39" s="892">
        <v>0</v>
      </c>
      <c r="H39" s="892">
        <v>0</v>
      </c>
      <c r="I39" s="892">
        <f t="shared" si="2"/>
        <v>0</v>
      </c>
    </row>
    <row r="40" spans="1:9" ht="15">
      <c r="A40" s="884">
        <v>33</v>
      </c>
      <c r="B40" s="891" t="s">
        <v>1088</v>
      </c>
      <c r="C40" s="892">
        <v>0</v>
      </c>
      <c r="D40" s="892">
        <v>0</v>
      </c>
      <c r="E40" s="892">
        <f t="shared" si="3"/>
        <v>0</v>
      </c>
      <c r="F40" s="894" t="s">
        <v>1089</v>
      </c>
      <c r="G40" s="892">
        <v>0</v>
      </c>
      <c r="H40" s="892">
        <f>5449520+5000000</f>
        <v>10449520</v>
      </c>
      <c r="I40" s="892">
        <f t="shared" si="2"/>
        <v>10449520</v>
      </c>
    </row>
    <row r="41" spans="1:9" ht="15">
      <c r="A41" s="884">
        <v>34</v>
      </c>
      <c r="B41" s="888" t="s">
        <v>1090</v>
      </c>
      <c r="C41" s="889">
        <f>SUM(C42:C43)</f>
        <v>0</v>
      </c>
      <c r="D41" s="889">
        <f>SUM(D42:D43)</f>
        <v>0</v>
      </c>
      <c r="E41" s="889">
        <f t="shared" si="3"/>
        <v>0</v>
      </c>
      <c r="F41" s="894"/>
      <c r="G41" s="892"/>
      <c r="H41" s="892"/>
      <c r="I41" s="892"/>
    </row>
    <row r="42" spans="1:9" ht="15">
      <c r="A42" s="881">
        <v>35</v>
      </c>
      <c r="B42" s="891" t="s">
        <v>1091</v>
      </c>
      <c r="C42" s="892">
        <v>0</v>
      </c>
      <c r="D42" s="892">
        <v>0</v>
      </c>
      <c r="E42" s="892">
        <f t="shared" si="3"/>
        <v>0</v>
      </c>
      <c r="F42" s="899"/>
      <c r="G42" s="892"/>
      <c r="H42" s="892"/>
      <c r="I42" s="892"/>
    </row>
    <row r="43" spans="1:9" ht="15">
      <c r="A43" s="884">
        <v>36</v>
      </c>
      <c r="B43" s="891" t="s">
        <v>1092</v>
      </c>
      <c r="C43" s="892">
        <v>0</v>
      </c>
      <c r="D43" s="892">
        <v>0</v>
      </c>
      <c r="E43" s="892">
        <f t="shared" si="3"/>
        <v>0</v>
      </c>
      <c r="F43" s="899"/>
      <c r="G43" s="892"/>
      <c r="H43" s="892"/>
      <c r="I43" s="892"/>
    </row>
    <row r="44" spans="1:9" ht="15">
      <c r="A44" s="900"/>
      <c r="B44" s="901"/>
      <c r="C44" s="901"/>
      <c r="D44" s="901"/>
      <c r="E44" s="901"/>
      <c r="F44" s="901"/>
      <c r="G44" s="901"/>
      <c r="H44" s="901"/>
      <c r="I44" s="902"/>
    </row>
    <row r="45" spans="1:9" ht="15">
      <c r="A45" s="884">
        <v>37</v>
      </c>
      <c r="B45" s="903" t="s">
        <v>1093</v>
      </c>
      <c r="C45" s="904"/>
      <c r="D45" s="904"/>
      <c r="E45" s="904"/>
      <c r="F45" s="922"/>
      <c r="G45" s="905">
        <f>C7-G7</f>
        <v>-339729058</v>
      </c>
      <c r="H45" s="905">
        <f>D7-H7</f>
        <v>-1118368737</v>
      </c>
      <c r="I45" s="905">
        <f>SUM(G45:H45)</f>
        <v>-1458097795</v>
      </c>
    </row>
    <row r="46" spans="1:9" ht="15">
      <c r="A46" s="906"/>
      <c r="B46" s="907"/>
      <c r="C46" s="907"/>
      <c r="D46" s="907"/>
      <c r="E46" s="907"/>
      <c r="F46" s="907"/>
      <c r="G46" s="907"/>
      <c r="H46" s="907"/>
      <c r="I46" s="908"/>
    </row>
    <row r="47" spans="1:9" ht="28.5">
      <c r="A47" s="884">
        <v>38</v>
      </c>
      <c r="B47" s="882" t="s">
        <v>1094</v>
      </c>
      <c r="C47" s="909">
        <f>SUM(C48:C49)</f>
        <v>305548289</v>
      </c>
      <c r="D47" s="909">
        <f>SUM(D48:D49)</f>
        <v>1169896934</v>
      </c>
      <c r="E47" s="909">
        <f>SUM(E48:E49)</f>
        <v>1475445223</v>
      </c>
      <c r="F47" s="910"/>
      <c r="G47" s="909"/>
      <c r="H47" s="909"/>
      <c r="I47" s="909"/>
    </row>
    <row r="48" spans="1:9" ht="15">
      <c r="A48" s="881">
        <v>39</v>
      </c>
      <c r="B48" s="911" t="s">
        <v>1095</v>
      </c>
      <c r="C48" s="886">
        <f>192181163+55+97110256+1537859+622539+11156145</f>
        <v>302608017</v>
      </c>
      <c r="D48" s="886">
        <f>1164857629-55+5039360</f>
        <v>1169896934</v>
      </c>
      <c r="E48" s="886">
        <f aca="true" t="shared" si="4" ref="E48:E54">SUM(C48:D48)</f>
        <v>1472504951</v>
      </c>
      <c r="F48" s="887"/>
      <c r="G48" s="886"/>
      <c r="H48" s="886"/>
      <c r="I48" s="886"/>
    </row>
    <row r="49" spans="1:9" ht="15">
      <c r="A49" s="881">
        <v>40</v>
      </c>
      <c r="B49" s="911" t="s">
        <v>1096</v>
      </c>
      <c r="C49" s="886">
        <v>2940272</v>
      </c>
      <c r="D49" s="886">
        <v>0</v>
      </c>
      <c r="E49" s="886">
        <f t="shared" si="4"/>
        <v>2940272</v>
      </c>
      <c r="F49" s="887"/>
      <c r="G49" s="886"/>
      <c r="H49" s="886"/>
      <c r="I49" s="886"/>
    </row>
    <row r="50" spans="1:9" ht="28.5">
      <c r="A50" s="884">
        <v>41</v>
      </c>
      <c r="B50" s="882" t="s">
        <v>1097</v>
      </c>
      <c r="C50" s="909">
        <f>SUM(C51:C53)</f>
        <v>0</v>
      </c>
      <c r="D50" s="909">
        <f>SUM(D51:D53)</f>
        <v>0</v>
      </c>
      <c r="E50" s="909">
        <f t="shared" si="4"/>
        <v>0</v>
      </c>
      <c r="F50" s="912" t="s">
        <v>1098</v>
      </c>
      <c r="G50" s="909">
        <f>SUM(G51:G53)</f>
        <v>17347428</v>
      </c>
      <c r="H50" s="909">
        <f>SUM(H51:H53)</f>
        <v>0</v>
      </c>
      <c r="I50" s="909">
        <f>SUM(G50:H50)</f>
        <v>17347428</v>
      </c>
    </row>
    <row r="51" spans="1:9" ht="15">
      <c r="A51" s="884">
        <v>42</v>
      </c>
      <c r="B51" s="913" t="s">
        <v>1099</v>
      </c>
      <c r="C51" s="886">
        <v>0</v>
      </c>
      <c r="D51" s="886">
        <v>0</v>
      </c>
      <c r="E51" s="886">
        <f t="shared" si="4"/>
        <v>0</v>
      </c>
      <c r="F51" s="887" t="s">
        <v>1100</v>
      </c>
      <c r="G51" s="886">
        <v>0</v>
      </c>
      <c r="H51" s="886">
        <v>0</v>
      </c>
      <c r="I51" s="886">
        <f>SUM(G51:H51)</f>
        <v>0</v>
      </c>
    </row>
    <row r="52" spans="1:9" ht="15">
      <c r="A52" s="884">
        <v>43</v>
      </c>
      <c r="B52" s="913" t="s">
        <v>1101</v>
      </c>
      <c r="C52" s="886">
        <v>0</v>
      </c>
      <c r="D52" s="886">
        <v>0</v>
      </c>
      <c r="E52" s="886">
        <f>SUM(C52:D52)</f>
        <v>0</v>
      </c>
      <c r="F52" s="887" t="s">
        <v>1102</v>
      </c>
      <c r="G52" s="886">
        <v>0</v>
      </c>
      <c r="H52" s="886">
        <v>0</v>
      </c>
      <c r="I52" s="886">
        <f>SUM(G52:H52)</f>
        <v>0</v>
      </c>
    </row>
    <row r="53" spans="1:9" ht="15">
      <c r="A53" s="884">
        <v>44</v>
      </c>
      <c r="B53" s="913" t="s">
        <v>1103</v>
      </c>
      <c r="C53" s="886">
        <v>0</v>
      </c>
      <c r="D53" s="886">
        <v>0</v>
      </c>
      <c r="E53" s="886">
        <f>SUM(C53:D53)</f>
        <v>0</v>
      </c>
      <c r="F53" s="913" t="s">
        <v>1104</v>
      </c>
      <c r="G53" s="886">
        <v>17347428</v>
      </c>
      <c r="H53" s="886">
        <v>0</v>
      </c>
      <c r="I53" s="886">
        <f>SUM(G53:H53)</f>
        <v>17347428</v>
      </c>
    </row>
    <row r="54" spans="1:9" ht="15.75">
      <c r="A54" s="884">
        <v>45</v>
      </c>
      <c r="B54" s="914" t="s">
        <v>411</v>
      </c>
      <c r="C54" s="915">
        <f>SUM(C7,C47,C50)</f>
        <v>1342020388</v>
      </c>
      <c r="D54" s="915">
        <f>SUM(D7,D47,D50)</f>
        <v>1300754409</v>
      </c>
      <c r="E54" s="915">
        <f t="shared" si="4"/>
        <v>2642774797</v>
      </c>
      <c r="F54" s="914" t="s">
        <v>1105</v>
      </c>
      <c r="G54" s="915">
        <f>SUM(G7,G50)</f>
        <v>1393548585</v>
      </c>
      <c r="H54" s="915">
        <f>SUM(H7,H50)</f>
        <v>1249226212</v>
      </c>
      <c r="I54" s="915">
        <f>SUM(G54:H54)</f>
        <v>2642774797</v>
      </c>
    </row>
    <row r="55" ht="15.75" customHeight="1"/>
    <row r="58" spans="1:7" ht="15">
      <c r="A58" s="620">
        <v>15</v>
      </c>
      <c r="B58" s="621" t="s">
        <v>1027</v>
      </c>
      <c r="D58" s="108"/>
      <c r="G58" s="108"/>
    </row>
    <row r="59" spans="1:2" ht="15">
      <c r="A59" s="923">
        <v>16</v>
      </c>
      <c r="B59" s="621" t="s">
        <v>1029</v>
      </c>
    </row>
    <row r="62" ht="15">
      <c r="B62" s="25"/>
    </row>
  </sheetData>
  <sheetProtection/>
  <mergeCells count="8">
    <mergeCell ref="B45:F45"/>
    <mergeCell ref="A46:I46"/>
    <mergeCell ref="F1:I1"/>
    <mergeCell ref="B2:I2"/>
    <mergeCell ref="A4:A6"/>
    <mergeCell ref="B4:E4"/>
    <mergeCell ref="F4:I4"/>
    <mergeCell ref="A44:I44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61"/>
  <sheetViews>
    <sheetView zoomScale="95" zoomScaleNormal="95" zoomScalePageLayoutView="0" workbookViewId="0" topLeftCell="C1">
      <pane xSplit="4" ySplit="7" topLeftCell="N8" activePane="bottomRight" state="frozen"/>
      <selection pane="topLeft" activeCell="C1" sqref="C1"/>
      <selection pane="topRight" activeCell="G1" sqref="G1"/>
      <selection pane="bottomLeft" activeCell="C8" sqref="C8"/>
      <selection pane="bottomRight" activeCell="N65" sqref="N65"/>
    </sheetView>
  </sheetViews>
  <sheetFormatPr defaultColWidth="8.875" defaultRowHeight="12.75"/>
  <cols>
    <col min="1" max="1" width="1.37890625" style="331" hidden="1" customWidth="1"/>
    <col min="2" max="3" width="8.00390625" style="332" hidden="1" customWidth="1"/>
    <col min="4" max="4" width="4.625" style="333" bestFit="1" customWidth="1"/>
    <col min="5" max="5" width="30.375" style="331" customWidth="1"/>
    <col min="6" max="6" width="9.25390625" style="334" hidden="1" customWidth="1"/>
    <col min="7" max="7" width="11.375" style="331" bestFit="1" customWidth="1"/>
    <col min="8" max="8" width="11.125" style="331" customWidth="1"/>
    <col min="9" max="9" width="11.375" style="331" customWidth="1"/>
    <col min="10" max="11" width="10.25390625" style="331" customWidth="1"/>
    <col min="12" max="12" width="11.625" style="331" customWidth="1"/>
    <col min="13" max="13" width="9.875" style="331" customWidth="1"/>
    <col min="14" max="14" width="9.25390625" style="331" customWidth="1"/>
    <col min="15" max="16" width="10.00390625" style="331" customWidth="1"/>
    <col min="17" max="17" width="10.375" style="331" bestFit="1" customWidth="1"/>
    <col min="18" max="18" width="9.25390625" style="331" bestFit="1" customWidth="1"/>
    <col min="19" max="19" width="10.00390625" style="331" customWidth="1"/>
    <col min="20" max="20" width="10.375" style="331" bestFit="1" customWidth="1"/>
    <col min="21" max="21" width="10.375" style="331" customWidth="1"/>
    <col min="22" max="22" width="12.875" style="331" bestFit="1" customWidth="1"/>
    <col min="23" max="23" width="11.375" style="331" bestFit="1" customWidth="1"/>
    <col min="24" max="24" width="11.125" style="331" customWidth="1"/>
    <col min="25" max="25" width="10.625" style="331" customWidth="1"/>
    <col min="26" max="26" width="15.75390625" style="351" bestFit="1" customWidth="1"/>
    <col min="27" max="27" width="14.375" style="331" customWidth="1"/>
    <col min="28" max="28" width="9.875" style="331" bestFit="1" customWidth="1"/>
    <col min="29" max="16384" width="8.875" style="331" customWidth="1"/>
  </cols>
  <sheetData>
    <row r="1" spans="3:26" ht="18">
      <c r="C1" s="673"/>
      <c r="M1" s="111"/>
      <c r="N1" s="111"/>
      <c r="O1" s="111"/>
      <c r="P1" s="111"/>
      <c r="Q1" s="111"/>
      <c r="R1" s="111"/>
      <c r="S1" s="111"/>
      <c r="T1" s="674" t="s">
        <v>1107</v>
      </c>
      <c r="U1" s="674"/>
      <c r="V1" s="675"/>
      <c r="W1" s="675"/>
      <c r="X1" s="675"/>
      <c r="Y1" s="675"/>
      <c r="Z1" s="675"/>
    </row>
    <row r="2" spans="1:26" ht="15.75">
      <c r="A2" s="335"/>
      <c r="B2" s="336"/>
      <c r="C2" s="673"/>
      <c r="D2" s="924"/>
      <c r="E2" s="802" t="s">
        <v>822</v>
      </c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</row>
    <row r="3" spans="4:26" ht="12.75" thickBot="1">
      <c r="D3" s="925"/>
      <c r="E3" s="130"/>
      <c r="F3" s="926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927"/>
    </row>
    <row r="4" spans="2:26" s="338" customFormat="1" ht="12.75" customHeight="1">
      <c r="B4" s="339"/>
      <c r="C4" s="339"/>
      <c r="D4" s="928" t="s">
        <v>405</v>
      </c>
      <c r="E4" s="929" t="s">
        <v>326</v>
      </c>
      <c r="F4" s="930" t="s">
        <v>333</v>
      </c>
      <c r="G4" s="931" t="s">
        <v>334</v>
      </c>
      <c r="H4" s="932"/>
      <c r="I4" s="932"/>
      <c r="J4" s="932"/>
      <c r="K4" s="932"/>
      <c r="L4" s="932"/>
      <c r="M4" s="932"/>
      <c r="N4" s="932"/>
      <c r="O4" s="932"/>
      <c r="P4" s="932"/>
      <c r="Q4" s="932"/>
      <c r="R4" s="932"/>
      <c r="S4" s="932"/>
      <c r="T4" s="932"/>
      <c r="U4" s="932"/>
      <c r="V4" s="932"/>
      <c r="W4" s="932"/>
      <c r="X4" s="932"/>
      <c r="Y4" s="933"/>
      <c r="Z4" s="934" t="s">
        <v>335</v>
      </c>
    </row>
    <row r="5" spans="2:26" s="340" customFormat="1" ht="12" customHeight="1">
      <c r="B5" s="341"/>
      <c r="C5" s="341"/>
      <c r="D5" s="935"/>
      <c r="E5" s="936"/>
      <c r="F5" s="937"/>
      <c r="G5" s="938" t="s">
        <v>1</v>
      </c>
      <c r="H5" s="938" t="s">
        <v>3</v>
      </c>
      <c r="I5" s="938" t="s">
        <v>5</v>
      </c>
      <c r="J5" s="938" t="s">
        <v>8</v>
      </c>
      <c r="K5" s="939" t="s">
        <v>619</v>
      </c>
      <c r="L5" s="940"/>
      <c r="M5" s="940"/>
      <c r="N5" s="940"/>
      <c r="O5" s="940"/>
      <c r="P5" s="940"/>
      <c r="Q5" s="940"/>
      <c r="R5" s="940"/>
      <c r="S5" s="940"/>
      <c r="T5" s="941"/>
      <c r="U5" s="942"/>
      <c r="V5" s="942" t="s">
        <v>89</v>
      </c>
      <c r="W5" s="942" t="s">
        <v>91</v>
      </c>
      <c r="X5" s="938" t="s">
        <v>93</v>
      </c>
      <c r="Y5" s="938" t="s">
        <v>95</v>
      </c>
      <c r="Z5" s="943"/>
    </row>
    <row r="6" spans="2:26" s="340" customFormat="1" ht="63.75" customHeight="1">
      <c r="B6" s="341"/>
      <c r="C6" s="341"/>
      <c r="D6" s="935"/>
      <c r="E6" s="804"/>
      <c r="F6" s="944"/>
      <c r="G6" s="945" t="s">
        <v>308</v>
      </c>
      <c r="H6" s="945" t="s">
        <v>610</v>
      </c>
      <c r="I6" s="945" t="s">
        <v>328</v>
      </c>
      <c r="J6" s="945" t="s">
        <v>9</v>
      </c>
      <c r="K6" s="945" t="s">
        <v>112</v>
      </c>
      <c r="L6" s="945" t="s">
        <v>88</v>
      </c>
      <c r="M6" s="945" t="s">
        <v>823</v>
      </c>
      <c r="N6" s="945" t="s">
        <v>398</v>
      </c>
      <c r="O6" s="945" t="s">
        <v>410</v>
      </c>
      <c r="P6" s="945" t="s">
        <v>430</v>
      </c>
      <c r="Q6" s="945" t="s">
        <v>984</v>
      </c>
      <c r="R6" s="945" t="s">
        <v>985</v>
      </c>
      <c r="S6" s="945" t="s">
        <v>986</v>
      </c>
      <c r="T6" s="945" t="s">
        <v>972</v>
      </c>
      <c r="U6" s="945" t="s">
        <v>983</v>
      </c>
      <c r="V6" s="946" t="s">
        <v>306</v>
      </c>
      <c r="W6" s="946" t="s">
        <v>338</v>
      </c>
      <c r="X6" s="945" t="s">
        <v>618</v>
      </c>
      <c r="Y6" s="945" t="s">
        <v>94</v>
      </c>
      <c r="Z6" s="947"/>
    </row>
    <row r="7" spans="2:26" s="342" customFormat="1" ht="12">
      <c r="B7" s="343"/>
      <c r="C7" s="343"/>
      <c r="D7" s="948"/>
      <c r="E7" s="949" t="s">
        <v>399</v>
      </c>
      <c r="F7" s="950" t="s">
        <v>400</v>
      </c>
      <c r="G7" s="951" t="s">
        <v>400</v>
      </c>
      <c r="H7" s="951" t="s">
        <v>401</v>
      </c>
      <c r="I7" s="952" t="s">
        <v>402</v>
      </c>
      <c r="J7" s="949" t="s">
        <v>403</v>
      </c>
      <c r="K7" s="949" t="s">
        <v>404</v>
      </c>
      <c r="L7" s="952" t="s">
        <v>406</v>
      </c>
      <c r="M7" s="952" t="s">
        <v>407</v>
      </c>
      <c r="N7" s="952" t="s">
        <v>357</v>
      </c>
      <c r="O7" s="952" t="s">
        <v>358</v>
      </c>
      <c r="P7" s="951" t="s">
        <v>359</v>
      </c>
      <c r="Q7" s="952"/>
      <c r="R7" s="952"/>
      <c r="S7" s="951"/>
      <c r="T7" s="951" t="s">
        <v>360</v>
      </c>
      <c r="U7" s="951"/>
      <c r="V7" s="952" t="s">
        <v>361</v>
      </c>
      <c r="W7" s="952" t="s">
        <v>362</v>
      </c>
      <c r="X7" s="953" t="s">
        <v>363</v>
      </c>
      <c r="Y7" s="954" t="s">
        <v>364</v>
      </c>
      <c r="Z7" s="955" t="s">
        <v>857</v>
      </c>
    </row>
    <row r="8" spans="1:26" s="344" customFormat="1" ht="24">
      <c r="A8" s="331"/>
      <c r="B8" s="332"/>
      <c r="C8" s="332" t="s">
        <v>26</v>
      </c>
      <c r="D8" s="956" t="s">
        <v>365</v>
      </c>
      <c r="E8" s="957" t="s">
        <v>27</v>
      </c>
      <c r="F8" s="958"/>
      <c r="G8" s="959">
        <f>29452346+20900</f>
        <v>29473246</v>
      </c>
      <c r="H8" s="959">
        <f>7831519+4081</f>
        <v>7835600</v>
      </c>
      <c r="I8" s="960">
        <f>17230314+45000-2108200-413+754380+248400+23576063</f>
        <v>39745544</v>
      </c>
      <c r="J8" s="960">
        <v>0</v>
      </c>
      <c r="K8" s="960">
        <v>0</v>
      </c>
      <c r="L8" s="960">
        <v>23349000</v>
      </c>
      <c r="M8" s="960">
        <v>1155350</v>
      </c>
      <c r="N8" s="960">
        <v>0</v>
      </c>
      <c r="O8" s="960">
        <v>0</v>
      </c>
      <c r="P8" s="960">
        <v>0</v>
      </c>
      <c r="Q8" s="960"/>
      <c r="R8" s="960"/>
      <c r="S8" s="960"/>
      <c r="T8" s="960">
        <v>0</v>
      </c>
      <c r="U8" s="959"/>
      <c r="V8" s="959">
        <f>94270</f>
        <v>94270</v>
      </c>
      <c r="W8" s="960">
        <v>0</v>
      </c>
      <c r="X8" s="961">
        <v>0</v>
      </c>
      <c r="Y8" s="960">
        <v>0</v>
      </c>
      <c r="Z8" s="962">
        <f aca="true" t="shared" si="0" ref="Z8:Z55">SUM(G8:Y8)</f>
        <v>101653010</v>
      </c>
    </row>
    <row r="9" spans="1:26" s="344" customFormat="1" ht="23.25" customHeight="1">
      <c r="A9" s="331"/>
      <c r="B9" s="332"/>
      <c r="C9" s="332" t="s">
        <v>889</v>
      </c>
      <c r="D9" s="963" t="s">
        <v>366</v>
      </c>
      <c r="E9" s="957" t="s">
        <v>890</v>
      </c>
      <c r="F9" s="958"/>
      <c r="G9" s="959">
        <v>0</v>
      </c>
      <c r="H9" s="959">
        <v>0</v>
      </c>
      <c r="I9" s="960">
        <v>100000</v>
      </c>
      <c r="J9" s="960">
        <v>0</v>
      </c>
      <c r="K9" s="960">
        <v>0</v>
      </c>
      <c r="L9" s="960">
        <v>0</v>
      </c>
      <c r="M9" s="960">
        <v>0</v>
      </c>
      <c r="N9" s="960">
        <v>0</v>
      </c>
      <c r="O9" s="960">
        <v>0</v>
      </c>
      <c r="P9" s="960">
        <v>0</v>
      </c>
      <c r="Q9" s="961"/>
      <c r="R9" s="961"/>
      <c r="S9" s="960"/>
      <c r="T9" s="960">
        <v>0</v>
      </c>
      <c r="U9" s="959"/>
      <c r="V9" s="959">
        <v>0</v>
      </c>
      <c r="W9" s="960">
        <v>0</v>
      </c>
      <c r="X9" s="961">
        <v>0</v>
      </c>
      <c r="Y9" s="960">
        <v>0</v>
      </c>
      <c r="Z9" s="962">
        <f t="shared" si="0"/>
        <v>100000</v>
      </c>
    </row>
    <row r="10" spans="1:26" s="344" customFormat="1" ht="24">
      <c r="A10" s="331"/>
      <c r="B10" s="332" t="s">
        <v>20</v>
      </c>
      <c r="C10" s="332" t="s">
        <v>23</v>
      </c>
      <c r="D10" s="963" t="s">
        <v>367</v>
      </c>
      <c r="E10" s="964" t="s">
        <v>24</v>
      </c>
      <c r="F10" s="965"/>
      <c r="G10" s="966">
        <v>0</v>
      </c>
      <c r="H10" s="966">
        <v>0</v>
      </c>
      <c r="I10" s="961">
        <f>34604863+8618030+88787+200000+40000</f>
        <v>43551680</v>
      </c>
      <c r="J10" s="961">
        <v>0</v>
      </c>
      <c r="K10" s="961">
        <v>0</v>
      </c>
      <c r="L10" s="961">
        <v>35126000</v>
      </c>
      <c r="M10" s="961">
        <v>0</v>
      </c>
      <c r="N10" s="961">
        <v>0</v>
      </c>
      <c r="O10" s="961">
        <v>0</v>
      </c>
      <c r="P10" s="961">
        <v>0</v>
      </c>
      <c r="Q10" s="961"/>
      <c r="R10" s="961"/>
      <c r="S10" s="961"/>
      <c r="T10" s="961">
        <v>0</v>
      </c>
      <c r="U10" s="966"/>
      <c r="V10" s="966">
        <f>686685231-23410448</f>
        <v>663274783</v>
      </c>
      <c r="W10" s="961">
        <v>8350000</v>
      </c>
      <c r="X10" s="961">
        <v>449520</v>
      </c>
      <c r="Y10" s="961">
        <v>0</v>
      </c>
      <c r="Z10" s="962">
        <f t="shared" si="0"/>
        <v>750751983</v>
      </c>
    </row>
    <row r="11" spans="1:26" s="344" customFormat="1" ht="24">
      <c r="A11" s="331"/>
      <c r="B11" s="332" t="s">
        <v>22</v>
      </c>
      <c r="C11" s="332" t="s">
        <v>28</v>
      </c>
      <c r="D11" s="963" t="s">
        <v>368</v>
      </c>
      <c r="E11" s="964" t="s">
        <v>344</v>
      </c>
      <c r="F11" s="965"/>
      <c r="G11" s="966">
        <v>303150</v>
      </c>
      <c r="H11" s="966">
        <v>156750</v>
      </c>
      <c r="I11" s="961">
        <v>363850</v>
      </c>
      <c r="J11" s="961">
        <v>0</v>
      </c>
      <c r="K11" s="961">
        <v>0</v>
      </c>
      <c r="L11" s="961">
        <v>0</v>
      </c>
      <c r="M11" s="961">
        <v>0</v>
      </c>
      <c r="N11" s="961">
        <v>0</v>
      </c>
      <c r="O11" s="961">
        <v>0</v>
      </c>
      <c r="P11" s="961">
        <v>0</v>
      </c>
      <c r="Q11" s="961"/>
      <c r="R11" s="961"/>
      <c r="S11" s="961"/>
      <c r="T11" s="961">
        <v>0</v>
      </c>
      <c r="U11" s="966"/>
      <c r="V11" s="966">
        <v>0</v>
      </c>
      <c r="W11" s="961">
        <v>0</v>
      </c>
      <c r="X11" s="961">
        <v>0</v>
      </c>
      <c r="Y11" s="961">
        <v>0</v>
      </c>
      <c r="Z11" s="962">
        <f t="shared" si="0"/>
        <v>823750</v>
      </c>
    </row>
    <row r="12" spans="1:26" s="344" customFormat="1" ht="24">
      <c r="A12" s="331"/>
      <c r="B12" s="332"/>
      <c r="C12" s="332" t="s">
        <v>980</v>
      </c>
      <c r="D12" s="607" t="s">
        <v>369</v>
      </c>
      <c r="E12" s="964" t="s">
        <v>979</v>
      </c>
      <c r="F12" s="965"/>
      <c r="G12" s="966">
        <v>0</v>
      </c>
      <c r="H12" s="966">
        <v>0</v>
      </c>
      <c r="I12" s="966">
        <v>0</v>
      </c>
      <c r="J12" s="966">
        <v>0</v>
      </c>
      <c r="K12" s="966">
        <v>46343378</v>
      </c>
      <c r="L12" s="966">
        <v>0</v>
      </c>
      <c r="M12" s="966">
        <v>0</v>
      </c>
      <c r="N12" s="966">
        <v>0</v>
      </c>
      <c r="O12" s="966">
        <v>0</v>
      </c>
      <c r="P12" s="966">
        <v>0</v>
      </c>
      <c r="Q12" s="966"/>
      <c r="R12" s="966"/>
      <c r="S12" s="966"/>
      <c r="T12" s="966">
        <v>0</v>
      </c>
      <c r="U12" s="966"/>
      <c r="V12" s="966">
        <v>0</v>
      </c>
      <c r="W12" s="961">
        <v>0</v>
      </c>
      <c r="X12" s="961">
        <v>0</v>
      </c>
      <c r="Y12" s="961">
        <v>0</v>
      </c>
      <c r="Z12" s="962">
        <f t="shared" si="0"/>
        <v>46343378</v>
      </c>
    </row>
    <row r="13" spans="1:26" s="344" customFormat="1" ht="23.25" customHeight="1">
      <c r="A13" s="331"/>
      <c r="B13" s="332"/>
      <c r="C13" s="332" t="s">
        <v>606</v>
      </c>
      <c r="D13" s="963" t="s">
        <v>370</v>
      </c>
      <c r="E13" s="964" t="s">
        <v>607</v>
      </c>
      <c r="F13" s="965"/>
      <c r="G13" s="966">
        <v>0</v>
      </c>
      <c r="H13" s="966">
        <v>0</v>
      </c>
      <c r="I13" s="966">
        <f>413+128723</f>
        <v>129136</v>
      </c>
      <c r="J13" s="966">
        <v>0</v>
      </c>
      <c r="K13" s="966">
        <v>0</v>
      </c>
      <c r="L13" s="966">
        <v>0</v>
      </c>
      <c r="M13" s="966">
        <v>0</v>
      </c>
      <c r="N13" s="966">
        <v>0</v>
      </c>
      <c r="O13" s="966">
        <v>0</v>
      </c>
      <c r="P13" s="966">
        <v>0</v>
      </c>
      <c r="Q13" s="966"/>
      <c r="R13" s="966"/>
      <c r="S13" s="966"/>
      <c r="T13" s="966">
        <v>0</v>
      </c>
      <c r="U13" s="966"/>
      <c r="V13" s="966">
        <v>0</v>
      </c>
      <c r="W13" s="961">
        <v>0</v>
      </c>
      <c r="X13" s="961">
        <v>0</v>
      </c>
      <c r="Y13" s="961">
        <v>17347428</v>
      </c>
      <c r="Z13" s="962">
        <f t="shared" si="0"/>
        <v>17476564</v>
      </c>
    </row>
    <row r="14" spans="1:26" s="344" customFormat="1" ht="24">
      <c r="A14" s="331">
        <v>20215</v>
      </c>
      <c r="B14" s="332" t="s">
        <v>23</v>
      </c>
      <c r="C14" s="332" t="s">
        <v>31</v>
      </c>
      <c r="D14" s="963" t="s">
        <v>371</v>
      </c>
      <c r="E14" s="964" t="s">
        <v>32</v>
      </c>
      <c r="F14" s="965"/>
      <c r="G14" s="966">
        <v>2861900</v>
      </c>
      <c r="H14" s="966">
        <v>558071</v>
      </c>
      <c r="I14" s="961">
        <v>228600</v>
      </c>
      <c r="J14" s="961">
        <v>0</v>
      </c>
      <c r="K14" s="961">
        <v>0</v>
      </c>
      <c r="L14" s="961">
        <f>16442529-34818+10858846</f>
        <v>27266557</v>
      </c>
      <c r="M14" s="961">
        <v>0</v>
      </c>
      <c r="N14" s="961">
        <v>0</v>
      </c>
      <c r="O14" s="961">
        <v>0</v>
      </c>
      <c r="P14" s="961">
        <v>0</v>
      </c>
      <c r="Q14" s="961"/>
      <c r="R14" s="961"/>
      <c r="S14" s="961"/>
      <c r="T14" s="961">
        <v>0</v>
      </c>
      <c r="U14" s="966"/>
      <c r="V14" s="966">
        <v>0</v>
      </c>
      <c r="W14" s="961">
        <v>0</v>
      </c>
      <c r="X14" s="961">
        <v>0</v>
      </c>
      <c r="Y14" s="961">
        <v>0</v>
      </c>
      <c r="Z14" s="962">
        <f t="shared" si="0"/>
        <v>30915128</v>
      </c>
    </row>
    <row r="15" spans="1:26" s="344" customFormat="1" ht="24">
      <c r="A15" s="331"/>
      <c r="B15" s="332"/>
      <c r="C15" s="332" t="s">
        <v>745</v>
      </c>
      <c r="D15" s="963" t="s">
        <v>372</v>
      </c>
      <c r="E15" s="964" t="s">
        <v>739</v>
      </c>
      <c r="F15" s="965"/>
      <c r="G15" s="966">
        <f>9367995+11080125+1059890</f>
        <v>21508010</v>
      </c>
      <c r="H15" s="966">
        <f>913380+1080288+92742</f>
        <v>2086410</v>
      </c>
      <c r="I15" s="966">
        <f>351636+4347090</f>
        <v>4698726</v>
      </c>
      <c r="J15" s="966">
        <v>0</v>
      </c>
      <c r="K15" s="966">
        <v>0</v>
      </c>
      <c r="L15" s="966">
        <v>0</v>
      </c>
      <c r="M15" s="966">
        <v>0</v>
      </c>
      <c r="N15" s="966">
        <v>0</v>
      </c>
      <c r="O15" s="966">
        <v>0</v>
      </c>
      <c r="P15" s="966">
        <v>0</v>
      </c>
      <c r="Q15" s="966"/>
      <c r="R15" s="966"/>
      <c r="S15" s="966"/>
      <c r="T15" s="966">
        <v>0</v>
      </c>
      <c r="U15" s="966"/>
      <c r="V15" s="966">
        <f>289870+138684</f>
        <v>428554</v>
      </c>
      <c r="W15" s="961">
        <v>0</v>
      </c>
      <c r="X15" s="966">
        <v>0</v>
      </c>
      <c r="Y15" s="961">
        <v>0</v>
      </c>
      <c r="Z15" s="962">
        <f t="shared" si="0"/>
        <v>28721700</v>
      </c>
    </row>
    <row r="16" spans="1:26" s="344" customFormat="1" ht="24">
      <c r="A16" s="331"/>
      <c r="B16" s="332"/>
      <c r="C16" s="332" t="s">
        <v>746</v>
      </c>
      <c r="D16" s="963" t="s">
        <v>373</v>
      </c>
      <c r="E16" s="964" t="s">
        <v>740</v>
      </c>
      <c r="F16" s="965"/>
      <c r="G16" s="966">
        <f>11117970+36347085+3179670</f>
        <v>50644725</v>
      </c>
      <c r="H16" s="966">
        <f>1084002+3543768+278226</f>
        <v>4905996</v>
      </c>
      <c r="I16" s="966">
        <f>278994+2730247</f>
        <v>3009241</v>
      </c>
      <c r="J16" s="966">
        <v>0</v>
      </c>
      <c r="K16" s="966">
        <v>0</v>
      </c>
      <c r="L16" s="966">
        <v>0</v>
      </c>
      <c r="M16" s="966">
        <v>0</v>
      </c>
      <c r="N16" s="966">
        <v>0</v>
      </c>
      <c r="O16" s="966">
        <v>0</v>
      </c>
      <c r="P16" s="966">
        <v>0</v>
      </c>
      <c r="Q16" s="966"/>
      <c r="R16" s="966"/>
      <c r="S16" s="966"/>
      <c r="T16" s="966">
        <v>0</v>
      </c>
      <c r="U16" s="966"/>
      <c r="V16" s="966">
        <v>0</v>
      </c>
      <c r="W16" s="961">
        <v>0</v>
      </c>
      <c r="X16" s="966">
        <v>0</v>
      </c>
      <c r="Y16" s="961">
        <v>0</v>
      </c>
      <c r="Z16" s="962">
        <f t="shared" si="0"/>
        <v>58559962</v>
      </c>
    </row>
    <row r="17" spans="1:26" s="344" customFormat="1" ht="22.5" customHeight="1">
      <c r="A17" s="331"/>
      <c r="B17" s="332"/>
      <c r="C17" s="332" t="s">
        <v>609</v>
      </c>
      <c r="D17" s="963" t="s">
        <v>374</v>
      </c>
      <c r="E17" s="964" t="s">
        <v>608</v>
      </c>
      <c r="F17" s="965"/>
      <c r="G17" s="966">
        <v>0</v>
      </c>
      <c r="H17" s="966">
        <v>0</v>
      </c>
      <c r="I17" s="966">
        <v>0</v>
      </c>
      <c r="J17" s="966">
        <v>0</v>
      </c>
      <c r="K17" s="966">
        <v>0</v>
      </c>
      <c r="L17" s="966">
        <v>0</v>
      </c>
      <c r="M17" s="966">
        <v>0</v>
      </c>
      <c r="N17" s="966">
        <v>0</v>
      </c>
      <c r="O17" s="966">
        <v>0</v>
      </c>
      <c r="P17" s="966">
        <v>0</v>
      </c>
      <c r="Q17" s="966"/>
      <c r="R17" s="966"/>
      <c r="S17" s="966"/>
      <c r="T17" s="966">
        <v>0</v>
      </c>
      <c r="U17" s="966"/>
      <c r="V17" s="966">
        <v>12223750</v>
      </c>
      <c r="W17" s="961">
        <v>0</v>
      </c>
      <c r="X17" s="966">
        <v>0</v>
      </c>
      <c r="Y17" s="961">
        <v>0</v>
      </c>
      <c r="Z17" s="962">
        <f t="shared" si="0"/>
        <v>12223750</v>
      </c>
    </row>
    <row r="18" spans="2:26" ht="24">
      <c r="B18" s="332" t="s">
        <v>26</v>
      </c>
      <c r="C18" s="332" t="s">
        <v>21</v>
      </c>
      <c r="D18" s="963" t="s">
        <v>375</v>
      </c>
      <c r="E18" s="964" t="s">
        <v>505</v>
      </c>
      <c r="F18" s="965"/>
      <c r="G18" s="966">
        <v>0</v>
      </c>
      <c r="H18" s="966">
        <v>0</v>
      </c>
      <c r="I18" s="961">
        <f>15352369+1</f>
        <v>15352370</v>
      </c>
      <c r="J18" s="961">
        <v>0</v>
      </c>
      <c r="K18" s="961">
        <v>0</v>
      </c>
      <c r="L18" s="961">
        <v>0</v>
      </c>
      <c r="M18" s="961">
        <v>0</v>
      </c>
      <c r="N18" s="961">
        <v>0</v>
      </c>
      <c r="O18" s="961">
        <v>0</v>
      </c>
      <c r="P18" s="961">
        <v>0</v>
      </c>
      <c r="Q18" s="966"/>
      <c r="R18" s="966"/>
      <c r="S18" s="961"/>
      <c r="T18" s="961">
        <v>0</v>
      </c>
      <c r="U18" s="961"/>
      <c r="V18" s="961">
        <v>0</v>
      </c>
      <c r="W18" s="961">
        <v>0</v>
      </c>
      <c r="X18" s="961">
        <v>0</v>
      </c>
      <c r="Y18" s="961">
        <v>0</v>
      </c>
      <c r="Z18" s="962">
        <f t="shared" si="0"/>
        <v>15352370</v>
      </c>
    </row>
    <row r="19" spans="2:26" ht="24">
      <c r="B19" s="332" t="s">
        <v>28</v>
      </c>
      <c r="C19" s="332" t="s">
        <v>33</v>
      </c>
      <c r="D19" s="963" t="s">
        <v>376</v>
      </c>
      <c r="E19" s="964" t="s">
        <v>34</v>
      </c>
      <c r="F19" s="965"/>
      <c r="G19" s="966">
        <v>0</v>
      </c>
      <c r="H19" s="966">
        <v>0</v>
      </c>
      <c r="I19" s="961">
        <f>1000000+1208400+40000</f>
        <v>2248400</v>
      </c>
      <c r="J19" s="961">
        <v>0</v>
      </c>
      <c r="K19" s="961">
        <v>0</v>
      </c>
      <c r="L19" s="961">
        <v>0</v>
      </c>
      <c r="M19" s="961">
        <v>0</v>
      </c>
      <c r="N19" s="961">
        <v>0</v>
      </c>
      <c r="O19" s="961">
        <v>0</v>
      </c>
      <c r="P19" s="961">
        <v>0</v>
      </c>
      <c r="Q19" s="966"/>
      <c r="R19" s="966"/>
      <c r="S19" s="961"/>
      <c r="T19" s="961">
        <v>0</v>
      </c>
      <c r="U19" s="961"/>
      <c r="V19" s="961">
        <v>106961800</v>
      </c>
      <c r="W19" s="961">
        <v>0</v>
      </c>
      <c r="X19" s="961">
        <v>0</v>
      </c>
      <c r="Y19" s="961">
        <v>0</v>
      </c>
      <c r="Z19" s="962">
        <f t="shared" si="0"/>
        <v>109210200</v>
      </c>
    </row>
    <row r="20" spans="3:26" ht="24">
      <c r="C20" s="332" t="s">
        <v>849</v>
      </c>
      <c r="D20" s="963" t="s">
        <v>377</v>
      </c>
      <c r="E20" s="964" t="s">
        <v>824</v>
      </c>
      <c r="F20" s="967"/>
      <c r="G20" s="966">
        <v>0</v>
      </c>
      <c r="H20" s="966">
        <v>0</v>
      </c>
      <c r="I20" s="961">
        <f>40000</f>
        <v>40000</v>
      </c>
      <c r="J20" s="961">
        <v>0</v>
      </c>
      <c r="K20" s="961">
        <v>0</v>
      </c>
      <c r="L20" s="961">
        <v>0</v>
      </c>
      <c r="M20" s="961">
        <v>0</v>
      </c>
      <c r="N20" s="961">
        <v>0</v>
      </c>
      <c r="O20" s="961">
        <v>0</v>
      </c>
      <c r="P20" s="961">
        <v>0</v>
      </c>
      <c r="Q20" s="966"/>
      <c r="R20" s="966"/>
      <c r="S20" s="961"/>
      <c r="T20" s="961">
        <v>0</v>
      </c>
      <c r="U20" s="961"/>
      <c r="V20" s="961">
        <v>196302400</v>
      </c>
      <c r="W20" s="961">
        <v>0</v>
      </c>
      <c r="X20" s="961">
        <v>0</v>
      </c>
      <c r="Y20" s="961">
        <v>0</v>
      </c>
      <c r="Z20" s="962">
        <f t="shared" si="0"/>
        <v>196342400</v>
      </c>
    </row>
    <row r="21" spans="1:26" ht="24">
      <c r="A21" s="331">
        <v>751791</v>
      </c>
      <c r="B21" s="332" t="s">
        <v>29</v>
      </c>
      <c r="C21" s="332" t="s">
        <v>17</v>
      </c>
      <c r="D21" s="963" t="s">
        <v>378</v>
      </c>
      <c r="E21" s="964" t="s">
        <v>18</v>
      </c>
      <c r="F21" s="967"/>
      <c r="G21" s="961">
        <v>0</v>
      </c>
      <c r="H21" s="966">
        <v>0</v>
      </c>
      <c r="I21" s="961">
        <v>2827348</v>
      </c>
      <c r="J21" s="961">
        <v>0</v>
      </c>
      <c r="K21" s="961">
        <v>0</v>
      </c>
      <c r="L21" s="961">
        <v>0</v>
      </c>
      <c r="M21" s="961">
        <v>0</v>
      </c>
      <c r="N21" s="961">
        <v>0</v>
      </c>
      <c r="O21" s="961">
        <v>0</v>
      </c>
      <c r="P21" s="961">
        <v>0</v>
      </c>
      <c r="Q21" s="961"/>
      <c r="R21" s="961"/>
      <c r="S21" s="961"/>
      <c r="T21" s="961">
        <v>0</v>
      </c>
      <c r="U21" s="961"/>
      <c r="V21" s="961">
        <v>0</v>
      </c>
      <c r="W21" s="961">
        <v>0</v>
      </c>
      <c r="X21" s="961">
        <v>0</v>
      </c>
      <c r="Y21" s="961">
        <v>0</v>
      </c>
      <c r="Z21" s="962">
        <f t="shared" si="0"/>
        <v>2827348</v>
      </c>
    </row>
    <row r="22" spans="1:26" ht="24">
      <c r="A22" s="331">
        <v>751834</v>
      </c>
      <c r="B22" s="332" t="s">
        <v>30</v>
      </c>
      <c r="C22" s="332" t="s">
        <v>19</v>
      </c>
      <c r="D22" s="963" t="s">
        <v>379</v>
      </c>
      <c r="E22" s="964" t="s">
        <v>342</v>
      </c>
      <c r="F22" s="965"/>
      <c r="G22" s="966">
        <v>0</v>
      </c>
      <c r="H22" s="966">
        <v>0</v>
      </c>
      <c r="I22" s="961">
        <f>10052423+1</f>
        <v>10052424</v>
      </c>
      <c r="J22" s="961">
        <v>0</v>
      </c>
      <c r="K22" s="961">
        <v>0</v>
      </c>
      <c r="L22" s="961">
        <v>0</v>
      </c>
      <c r="M22" s="961">
        <v>0</v>
      </c>
      <c r="N22" s="961">
        <v>0</v>
      </c>
      <c r="O22" s="961">
        <v>0</v>
      </c>
      <c r="P22" s="961">
        <v>0</v>
      </c>
      <c r="Q22" s="961"/>
      <c r="R22" s="961"/>
      <c r="S22" s="961"/>
      <c r="T22" s="961">
        <v>0</v>
      </c>
      <c r="U22" s="961"/>
      <c r="V22" s="961">
        <v>0</v>
      </c>
      <c r="W22" s="961">
        <v>0</v>
      </c>
      <c r="X22" s="961">
        <v>0</v>
      </c>
      <c r="Y22" s="961">
        <v>0</v>
      </c>
      <c r="Z22" s="962">
        <f t="shared" si="0"/>
        <v>10052424</v>
      </c>
    </row>
    <row r="23" spans="3:26" ht="24">
      <c r="C23" s="332" t="s">
        <v>20</v>
      </c>
      <c r="D23" s="963" t="s">
        <v>380</v>
      </c>
      <c r="E23" s="964" t="s">
        <v>825</v>
      </c>
      <c r="F23" s="965"/>
      <c r="G23" s="966">
        <v>22000</v>
      </c>
      <c r="H23" s="966">
        <v>8956</v>
      </c>
      <c r="I23" s="961">
        <f>5410023+22660742</f>
        <v>28070765</v>
      </c>
      <c r="J23" s="961">
        <v>0</v>
      </c>
      <c r="K23" s="961">
        <v>0</v>
      </c>
      <c r="L23" s="961">
        <v>0</v>
      </c>
      <c r="M23" s="961">
        <v>0</v>
      </c>
      <c r="N23" s="961">
        <v>0</v>
      </c>
      <c r="O23" s="961">
        <v>0</v>
      </c>
      <c r="P23" s="961">
        <v>0</v>
      </c>
      <c r="Q23" s="961"/>
      <c r="R23" s="961"/>
      <c r="S23" s="961"/>
      <c r="T23" s="961">
        <v>0</v>
      </c>
      <c r="U23" s="966"/>
      <c r="V23" s="966">
        <v>0</v>
      </c>
      <c r="W23" s="961">
        <v>0</v>
      </c>
      <c r="X23" s="961">
        <f>5000000+5000000</f>
        <v>10000000</v>
      </c>
      <c r="Y23" s="961">
        <v>0</v>
      </c>
      <c r="Z23" s="962">
        <f t="shared" si="0"/>
        <v>38101721</v>
      </c>
    </row>
    <row r="24" spans="3:26" ht="24">
      <c r="C24" s="332" t="s">
        <v>850</v>
      </c>
      <c r="D24" s="963" t="s">
        <v>381</v>
      </c>
      <c r="E24" s="964" t="s">
        <v>826</v>
      </c>
      <c r="F24" s="965"/>
      <c r="G24" s="966">
        <v>0</v>
      </c>
      <c r="H24" s="966">
        <v>0</v>
      </c>
      <c r="I24" s="961">
        <f>40000</f>
        <v>40000</v>
      </c>
      <c r="J24" s="961">
        <v>0</v>
      </c>
      <c r="K24" s="961">
        <v>0</v>
      </c>
      <c r="L24" s="961">
        <v>0</v>
      </c>
      <c r="M24" s="961">
        <v>0</v>
      </c>
      <c r="N24" s="961">
        <v>0</v>
      </c>
      <c r="O24" s="961">
        <v>0</v>
      </c>
      <c r="P24" s="961">
        <v>0</v>
      </c>
      <c r="Q24" s="961"/>
      <c r="R24" s="961"/>
      <c r="S24" s="961"/>
      <c r="T24" s="961">
        <v>0</v>
      </c>
      <c r="U24" s="966"/>
      <c r="V24" s="966">
        <v>0</v>
      </c>
      <c r="W24" s="961">
        <f>47550000+829010</f>
        <v>48379010</v>
      </c>
      <c r="X24" s="961">
        <v>0</v>
      </c>
      <c r="Y24" s="961">
        <v>0</v>
      </c>
      <c r="Z24" s="962">
        <f t="shared" si="0"/>
        <v>48419010</v>
      </c>
    </row>
    <row r="25" spans="3:26" ht="24">
      <c r="C25" s="332" t="s">
        <v>981</v>
      </c>
      <c r="D25" s="607" t="s">
        <v>382</v>
      </c>
      <c r="E25" s="964" t="s">
        <v>982</v>
      </c>
      <c r="F25" s="965"/>
      <c r="G25" s="966">
        <v>812250</v>
      </c>
      <c r="H25" s="966">
        <v>158389</v>
      </c>
      <c r="I25" s="961">
        <v>296854</v>
      </c>
      <c r="J25" s="961">
        <v>0</v>
      </c>
      <c r="K25" s="961">
        <v>0</v>
      </c>
      <c r="L25" s="961">
        <v>0</v>
      </c>
      <c r="M25" s="961">
        <v>0</v>
      </c>
      <c r="N25" s="961">
        <v>0</v>
      </c>
      <c r="O25" s="961">
        <v>0</v>
      </c>
      <c r="P25" s="961">
        <v>0</v>
      </c>
      <c r="Q25" s="961"/>
      <c r="R25" s="961"/>
      <c r="S25" s="961"/>
      <c r="T25" s="961">
        <v>0</v>
      </c>
      <c r="U25" s="966">
        <v>0</v>
      </c>
      <c r="V25" s="966">
        <v>779383</v>
      </c>
      <c r="W25" s="961">
        <v>0</v>
      </c>
      <c r="X25" s="961">
        <v>0</v>
      </c>
      <c r="Y25" s="961">
        <v>0</v>
      </c>
      <c r="Z25" s="962">
        <f t="shared" si="0"/>
        <v>2046876</v>
      </c>
    </row>
    <row r="26" spans="3:26" ht="24">
      <c r="C26" s="332" t="s">
        <v>851</v>
      </c>
      <c r="D26" s="963" t="s">
        <v>383</v>
      </c>
      <c r="E26" s="964" t="s">
        <v>827</v>
      </c>
      <c r="F26" s="965"/>
      <c r="G26" s="966">
        <v>0</v>
      </c>
      <c r="H26" s="966">
        <v>0</v>
      </c>
      <c r="I26" s="961">
        <f>0+516434+40000</f>
        <v>556434</v>
      </c>
      <c r="J26" s="961">
        <v>0</v>
      </c>
      <c r="K26" s="961">
        <v>0</v>
      </c>
      <c r="L26" s="961">
        <v>0</v>
      </c>
      <c r="M26" s="961">
        <v>0</v>
      </c>
      <c r="N26" s="961">
        <v>0</v>
      </c>
      <c r="O26" s="961">
        <v>0</v>
      </c>
      <c r="P26" s="961">
        <v>0</v>
      </c>
      <c r="Q26" s="961"/>
      <c r="R26" s="961"/>
      <c r="S26" s="961"/>
      <c r="T26" s="961">
        <v>0</v>
      </c>
      <c r="U26" s="966"/>
      <c r="V26" s="966">
        <f>6911048+1000000</f>
        <v>7911048</v>
      </c>
      <c r="W26" s="961">
        <v>104181382</v>
      </c>
      <c r="X26" s="961">
        <v>0</v>
      </c>
      <c r="Y26" s="961">
        <v>0</v>
      </c>
      <c r="Z26" s="962">
        <f t="shared" si="0"/>
        <v>112648864</v>
      </c>
    </row>
    <row r="27" spans="3:26" ht="24" customHeight="1">
      <c r="C27" s="332" t="s">
        <v>741</v>
      </c>
      <c r="D27" s="963" t="s">
        <v>384</v>
      </c>
      <c r="E27" s="964" t="s">
        <v>742</v>
      </c>
      <c r="F27" s="965"/>
      <c r="G27" s="966">
        <v>0</v>
      </c>
      <c r="H27" s="961">
        <v>0</v>
      </c>
      <c r="I27" s="961">
        <v>0</v>
      </c>
      <c r="J27" s="961">
        <v>0</v>
      </c>
      <c r="K27" s="961">
        <v>0</v>
      </c>
      <c r="L27" s="961">
        <v>0</v>
      </c>
      <c r="M27" s="961">
        <v>0</v>
      </c>
      <c r="N27" s="961">
        <v>0</v>
      </c>
      <c r="O27" s="961">
        <v>0</v>
      </c>
      <c r="P27" s="961">
        <v>0</v>
      </c>
      <c r="Q27" s="961"/>
      <c r="R27" s="961"/>
      <c r="S27" s="961"/>
      <c r="T27" s="961">
        <v>0</v>
      </c>
      <c r="U27" s="966"/>
      <c r="V27" s="966">
        <v>0</v>
      </c>
      <c r="W27" s="961">
        <v>6462419</v>
      </c>
      <c r="X27" s="961">
        <v>0</v>
      </c>
      <c r="Y27" s="961">
        <v>0</v>
      </c>
      <c r="Z27" s="962">
        <f t="shared" si="0"/>
        <v>6462419</v>
      </c>
    </row>
    <row r="28" spans="1:26" ht="24" customHeight="1">
      <c r="A28" s="331">
        <v>751966</v>
      </c>
      <c r="B28" s="332" t="s">
        <v>31</v>
      </c>
      <c r="C28" s="332" t="s">
        <v>29</v>
      </c>
      <c r="D28" s="963" t="s">
        <v>385</v>
      </c>
      <c r="E28" s="964" t="s">
        <v>345</v>
      </c>
      <c r="F28" s="965"/>
      <c r="G28" s="966">
        <v>0</v>
      </c>
      <c r="H28" s="961">
        <v>0</v>
      </c>
      <c r="I28" s="961">
        <f>23398480+2794000</f>
        <v>26192480</v>
      </c>
      <c r="J28" s="961">
        <v>0</v>
      </c>
      <c r="K28" s="961">
        <v>0</v>
      </c>
      <c r="L28" s="961">
        <v>0</v>
      </c>
      <c r="M28" s="961">
        <v>0</v>
      </c>
      <c r="N28" s="961">
        <v>0</v>
      </c>
      <c r="O28" s="961">
        <v>0</v>
      </c>
      <c r="P28" s="961">
        <v>0</v>
      </c>
      <c r="Q28" s="961"/>
      <c r="R28" s="961"/>
      <c r="S28" s="961"/>
      <c r="T28" s="961">
        <v>0</v>
      </c>
      <c r="U28" s="966"/>
      <c r="V28" s="966">
        <v>0</v>
      </c>
      <c r="W28" s="961">
        <v>0</v>
      </c>
      <c r="X28" s="961">
        <v>0</v>
      </c>
      <c r="Y28" s="961">
        <v>0</v>
      </c>
      <c r="Z28" s="962">
        <f t="shared" si="0"/>
        <v>26192480</v>
      </c>
    </row>
    <row r="29" spans="1:26" ht="24" customHeight="1">
      <c r="A29" s="331">
        <v>751999</v>
      </c>
      <c r="B29" s="332" t="s">
        <v>33</v>
      </c>
      <c r="C29" s="332" t="s">
        <v>25</v>
      </c>
      <c r="D29" s="963" t="s">
        <v>386</v>
      </c>
      <c r="E29" s="964" t="s">
        <v>506</v>
      </c>
      <c r="F29" s="965"/>
      <c r="G29" s="966">
        <v>0</v>
      </c>
      <c r="H29" s="966">
        <v>0</v>
      </c>
      <c r="I29" s="961">
        <v>1700000</v>
      </c>
      <c r="J29" s="961">
        <v>0</v>
      </c>
      <c r="K29" s="961">
        <v>0</v>
      </c>
      <c r="L29" s="961">
        <v>28275000</v>
      </c>
      <c r="M29" s="961">
        <v>0</v>
      </c>
      <c r="N29" s="961">
        <v>0</v>
      </c>
      <c r="O29" s="961">
        <v>0</v>
      </c>
      <c r="P29" s="961">
        <v>0</v>
      </c>
      <c r="Q29" s="961"/>
      <c r="R29" s="961"/>
      <c r="S29" s="961"/>
      <c r="T29" s="961">
        <v>0</v>
      </c>
      <c r="U29" s="966"/>
      <c r="V29" s="966">
        <v>0</v>
      </c>
      <c r="W29" s="961">
        <v>0</v>
      </c>
      <c r="X29" s="961">
        <v>0</v>
      </c>
      <c r="Y29" s="961">
        <v>0</v>
      </c>
      <c r="Z29" s="962">
        <f t="shared" si="0"/>
        <v>29975000</v>
      </c>
    </row>
    <row r="30" spans="2:27" ht="24">
      <c r="B30" s="332" t="s">
        <v>35</v>
      </c>
      <c r="C30" s="332" t="s">
        <v>30</v>
      </c>
      <c r="D30" s="963" t="s">
        <v>455</v>
      </c>
      <c r="E30" s="964" t="s">
        <v>507</v>
      </c>
      <c r="F30" s="965"/>
      <c r="G30" s="966">
        <v>25000</v>
      </c>
      <c r="H30" s="966">
        <v>4388</v>
      </c>
      <c r="I30" s="961">
        <f>13998342+180000+220000</f>
        <v>14398342</v>
      </c>
      <c r="J30" s="961">
        <v>0</v>
      </c>
      <c r="K30" s="961">
        <v>0</v>
      </c>
      <c r="L30" s="961">
        <v>12677000</v>
      </c>
      <c r="M30" s="961">
        <v>0</v>
      </c>
      <c r="N30" s="961">
        <v>0</v>
      </c>
      <c r="O30" s="961">
        <v>0</v>
      </c>
      <c r="P30" s="961">
        <v>0</v>
      </c>
      <c r="Q30" s="961"/>
      <c r="R30" s="961"/>
      <c r="S30" s="961"/>
      <c r="T30" s="961">
        <v>0</v>
      </c>
      <c r="U30" s="966"/>
      <c r="V30" s="966">
        <v>6823000</v>
      </c>
      <c r="W30" s="961">
        <v>0</v>
      </c>
      <c r="X30" s="961">
        <v>0</v>
      </c>
      <c r="Y30" s="961">
        <v>0</v>
      </c>
      <c r="Z30" s="962">
        <f t="shared" si="0"/>
        <v>33927730</v>
      </c>
      <c r="AA30" s="345"/>
    </row>
    <row r="31" spans="2:27" ht="24" customHeight="1">
      <c r="B31" s="332" t="s">
        <v>36</v>
      </c>
      <c r="C31" s="332" t="s">
        <v>36</v>
      </c>
      <c r="D31" s="968" t="s">
        <v>987</v>
      </c>
      <c r="E31" s="964" t="s">
        <v>347</v>
      </c>
      <c r="F31" s="969"/>
      <c r="G31" s="961">
        <v>0</v>
      </c>
      <c r="H31" s="961">
        <v>0</v>
      </c>
      <c r="I31" s="961">
        <v>360000</v>
      </c>
      <c r="J31" s="961">
        <v>0</v>
      </c>
      <c r="K31" s="961">
        <v>0</v>
      </c>
      <c r="L31" s="961">
        <v>0</v>
      </c>
      <c r="M31" s="961">
        <v>0</v>
      </c>
      <c r="N31" s="961">
        <v>0</v>
      </c>
      <c r="O31" s="961">
        <v>0</v>
      </c>
      <c r="P31" s="961">
        <v>0</v>
      </c>
      <c r="Q31" s="961"/>
      <c r="R31" s="961"/>
      <c r="S31" s="961"/>
      <c r="T31" s="961">
        <v>0</v>
      </c>
      <c r="U31" s="961"/>
      <c r="V31" s="961">
        <v>0</v>
      </c>
      <c r="W31" s="961">
        <v>0</v>
      </c>
      <c r="X31" s="961">
        <v>0</v>
      </c>
      <c r="Y31" s="961">
        <v>0</v>
      </c>
      <c r="Z31" s="962">
        <f t="shared" si="0"/>
        <v>360000</v>
      </c>
      <c r="AA31" s="345"/>
    </row>
    <row r="32" spans="2:28" ht="24" customHeight="1">
      <c r="B32" s="332" t="s">
        <v>37</v>
      </c>
      <c r="C32" s="332" t="s">
        <v>37</v>
      </c>
      <c r="D32" s="968"/>
      <c r="E32" s="964" t="s">
        <v>348</v>
      </c>
      <c r="F32" s="969"/>
      <c r="G32" s="961">
        <f>2542580-2141000</f>
        <v>401580</v>
      </c>
      <c r="H32" s="961">
        <f>496881-417495</f>
        <v>79386</v>
      </c>
      <c r="I32" s="961">
        <f>7109080+29995230-12000000-4844</f>
        <v>25099466</v>
      </c>
      <c r="J32" s="961">
        <v>0</v>
      </c>
      <c r="K32" s="961">
        <v>0</v>
      </c>
      <c r="L32" s="961">
        <v>0</v>
      </c>
      <c r="M32" s="961">
        <f>46053+4844</f>
        <v>50897</v>
      </c>
      <c r="N32" s="961">
        <v>0</v>
      </c>
      <c r="O32" s="961">
        <v>0</v>
      </c>
      <c r="P32" s="961">
        <v>0</v>
      </c>
      <c r="Q32" s="961"/>
      <c r="R32" s="961"/>
      <c r="S32" s="961"/>
      <c r="T32" s="961">
        <v>0</v>
      </c>
      <c r="U32" s="961"/>
      <c r="V32" s="961">
        <v>0</v>
      </c>
      <c r="W32" s="961">
        <v>0</v>
      </c>
      <c r="X32" s="961">
        <v>0</v>
      </c>
      <c r="Y32" s="961">
        <v>0</v>
      </c>
      <c r="Z32" s="962">
        <f t="shared" si="0"/>
        <v>25631329</v>
      </c>
      <c r="AB32" s="331" t="s">
        <v>702</v>
      </c>
    </row>
    <row r="33" spans="1:28" ht="24" customHeight="1">
      <c r="A33" s="331">
        <v>851286</v>
      </c>
      <c r="B33" s="332" t="s">
        <v>38</v>
      </c>
      <c r="C33" s="332" t="s">
        <v>38</v>
      </c>
      <c r="D33" s="968"/>
      <c r="E33" s="964" t="s">
        <v>349</v>
      </c>
      <c r="F33" s="969"/>
      <c r="G33" s="961">
        <v>0</v>
      </c>
      <c r="H33" s="961">
        <v>0</v>
      </c>
      <c r="I33" s="961">
        <f>120000+30000</f>
        <v>150000</v>
      </c>
      <c r="J33" s="961">
        <v>0</v>
      </c>
      <c r="K33" s="961">
        <v>0</v>
      </c>
      <c r="L33" s="961">
        <v>0</v>
      </c>
      <c r="M33" s="961">
        <v>0</v>
      </c>
      <c r="N33" s="961">
        <v>0</v>
      </c>
      <c r="O33" s="961">
        <v>0</v>
      </c>
      <c r="P33" s="961">
        <v>0</v>
      </c>
      <c r="Q33" s="961"/>
      <c r="R33" s="961"/>
      <c r="S33" s="961"/>
      <c r="T33" s="961">
        <v>0</v>
      </c>
      <c r="U33" s="961"/>
      <c r="V33" s="961">
        <v>0</v>
      </c>
      <c r="W33" s="961">
        <v>0</v>
      </c>
      <c r="X33" s="961">
        <v>0</v>
      </c>
      <c r="Y33" s="961">
        <v>0</v>
      </c>
      <c r="Z33" s="962">
        <f t="shared" si="0"/>
        <v>150000</v>
      </c>
      <c r="AB33" s="345">
        <f>SUM(Z31:Z34)</f>
        <v>53837615</v>
      </c>
    </row>
    <row r="34" spans="1:26" s="344" customFormat="1" ht="27" customHeight="1">
      <c r="A34" s="331">
        <v>851297</v>
      </c>
      <c r="B34" s="332" t="s">
        <v>39</v>
      </c>
      <c r="C34" s="332" t="s">
        <v>39</v>
      </c>
      <c r="D34" s="968"/>
      <c r="E34" s="964" t="s">
        <v>409</v>
      </c>
      <c r="F34" s="969"/>
      <c r="G34" s="961">
        <f>18065184+2193899+565720</f>
        <v>20824803</v>
      </c>
      <c r="H34" s="961">
        <f>3522630+383932+99001</f>
        <v>4005563</v>
      </c>
      <c r="I34" s="961">
        <f>2611920+254000</f>
        <v>2865920</v>
      </c>
      <c r="J34" s="961">
        <v>0</v>
      </c>
      <c r="K34" s="961">
        <v>0</v>
      </c>
      <c r="L34" s="961">
        <v>0</v>
      </c>
      <c r="M34" s="961">
        <v>0</v>
      </c>
      <c r="N34" s="961">
        <v>0</v>
      </c>
      <c r="O34" s="961">
        <v>0</v>
      </c>
      <c r="P34" s="961">
        <v>0</v>
      </c>
      <c r="Q34" s="961"/>
      <c r="R34" s="961"/>
      <c r="S34" s="961"/>
      <c r="T34" s="961">
        <v>0</v>
      </c>
      <c r="U34" s="961"/>
      <c r="V34" s="961">
        <v>0</v>
      </c>
      <c r="W34" s="961">
        <v>0</v>
      </c>
      <c r="X34" s="961">
        <v>0</v>
      </c>
      <c r="Y34" s="961">
        <v>0</v>
      </c>
      <c r="Z34" s="962">
        <f t="shared" si="0"/>
        <v>27696286</v>
      </c>
    </row>
    <row r="35" spans="1:26" s="344" customFormat="1" ht="24" customHeight="1">
      <c r="A35" s="331">
        <v>853322</v>
      </c>
      <c r="B35" s="332" t="s">
        <v>40</v>
      </c>
      <c r="C35" s="332" t="s">
        <v>48</v>
      </c>
      <c r="D35" s="963" t="s">
        <v>457</v>
      </c>
      <c r="E35" s="964" t="s">
        <v>49</v>
      </c>
      <c r="F35" s="970"/>
      <c r="G35" s="961">
        <v>0</v>
      </c>
      <c r="H35" s="961">
        <v>0</v>
      </c>
      <c r="I35" s="961">
        <v>0</v>
      </c>
      <c r="J35" s="961">
        <v>0</v>
      </c>
      <c r="K35" s="961">
        <v>0</v>
      </c>
      <c r="L35" s="961">
        <v>18713000</v>
      </c>
      <c r="M35" s="961">
        <v>0</v>
      </c>
      <c r="N35" s="961">
        <v>0</v>
      </c>
      <c r="O35" s="961">
        <v>0</v>
      </c>
      <c r="P35" s="961">
        <v>0</v>
      </c>
      <c r="Q35" s="961"/>
      <c r="R35" s="961"/>
      <c r="S35" s="961"/>
      <c r="T35" s="961">
        <v>0</v>
      </c>
      <c r="U35" s="961"/>
      <c r="V35" s="961"/>
      <c r="W35" s="961">
        <v>0</v>
      </c>
      <c r="X35" s="961">
        <v>0</v>
      </c>
      <c r="Y35" s="961">
        <v>0</v>
      </c>
      <c r="Z35" s="962">
        <f t="shared" si="0"/>
        <v>18713000</v>
      </c>
    </row>
    <row r="36" spans="1:26" s="344" customFormat="1" ht="24" customHeight="1">
      <c r="A36" s="331"/>
      <c r="B36" s="332"/>
      <c r="C36" s="332" t="s">
        <v>22</v>
      </c>
      <c r="D36" s="963" t="s">
        <v>429</v>
      </c>
      <c r="E36" s="964" t="s">
        <v>828</v>
      </c>
      <c r="F36" s="970"/>
      <c r="G36" s="961">
        <v>0</v>
      </c>
      <c r="H36" s="961">
        <v>0</v>
      </c>
      <c r="I36" s="961">
        <v>0</v>
      </c>
      <c r="J36" s="961">
        <v>0</v>
      </c>
      <c r="K36" s="961">
        <v>0</v>
      </c>
      <c r="L36" s="961">
        <v>0</v>
      </c>
      <c r="M36" s="961">
        <v>15000</v>
      </c>
      <c r="N36" s="961">
        <v>0</v>
      </c>
      <c r="O36" s="961">
        <v>0</v>
      </c>
      <c r="P36" s="961">
        <v>0</v>
      </c>
      <c r="Q36" s="961"/>
      <c r="R36" s="961"/>
      <c r="S36" s="961"/>
      <c r="T36" s="961">
        <v>0</v>
      </c>
      <c r="U36" s="961"/>
      <c r="V36" s="961">
        <v>0</v>
      </c>
      <c r="W36" s="961">
        <v>0</v>
      </c>
      <c r="X36" s="961">
        <v>0</v>
      </c>
      <c r="Y36" s="961">
        <v>0</v>
      </c>
      <c r="Z36" s="962">
        <f t="shared" si="0"/>
        <v>15000</v>
      </c>
    </row>
    <row r="37" spans="1:26" s="344" customFormat="1" ht="24">
      <c r="A37" s="331"/>
      <c r="B37" s="332" t="s">
        <v>41</v>
      </c>
      <c r="C37" s="332" t="s">
        <v>504</v>
      </c>
      <c r="D37" s="963" t="s">
        <v>458</v>
      </c>
      <c r="E37" s="971" t="s">
        <v>576</v>
      </c>
      <c r="F37" s="970"/>
      <c r="G37" s="961">
        <v>80000</v>
      </c>
      <c r="H37" s="961">
        <v>41361</v>
      </c>
      <c r="I37" s="961">
        <v>1701950</v>
      </c>
      <c r="J37" s="961">
        <v>0</v>
      </c>
      <c r="K37" s="961">
        <v>0</v>
      </c>
      <c r="L37" s="961">
        <v>0</v>
      </c>
      <c r="M37" s="961">
        <v>0</v>
      </c>
      <c r="N37" s="961">
        <v>0</v>
      </c>
      <c r="O37" s="961">
        <v>0</v>
      </c>
      <c r="P37" s="961">
        <v>0</v>
      </c>
      <c r="Q37" s="961"/>
      <c r="R37" s="961"/>
      <c r="S37" s="961"/>
      <c r="T37" s="961">
        <v>0</v>
      </c>
      <c r="U37" s="961"/>
      <c r="V37" s="961">
        <v>700000</v>
      </c>
      <c r="W37" s="961"/>
      <c r="X37" s="961">
        <v>0</v>
      </c>
      <c r="Y37" s="961">
        <v>0</v>
      </c>
      <c r="Z37" s="962">
        <f t="shared" si="0"/>
        <v>2523311</v>
      </c>
    </row>
    <row r="38" spans="2:28" ht="20.25" customHeight="1">
      <c r="B38" s="332" t="s">
        <v>43</v>
      </c>
      <c r="C38" s="332" t="s">
        <v>852</v>
      </c>
      <c r="D38" s="972" t="s">
        <v>387</v>
      </c>
      <c r="E38" s="964" t="s">
        <v>51</v>
      </c>
      <c r="F38" s="969"/>
      <c r="G38" s="961">
        <v>0</v>
      </c>
      <c r="H38" s="961">
        <v>0</v>
      </c>
      <c r="I38" s="961">
        <v>49530</v>
      </c>
      <c r="J38" s="961">
        <v>0</v>
      </c>
      <c r="K38" s="973">
        <v>0</v>
      </c>
      <c r="L38" s="973">
        <v>0</v>
      </c>
      <c r="M38" s="961">
        <v>0</v>
      </c>
      <c r="N38" s="961">
        <v>0</v>
      </c>
      <c r="O38" s="961">
        <v>0</v>
      </c>
      <c r="P38" s="961">
        <v>0</v>
      </c>
      <c r="Q38" s="961"/>
      <c r="R38" s="961"/>
      <c r="S38" s="961"/>
      <c r="T38" s="961">
        <v>0</v>
      </c>
      <c r="U38" s="961"/>
      <c r="V38" s="961">
        <v>0</v>
      </c>
      <c r="W38" s="961">
        <v>0</v>
      </c>
      <c r="X38" s="961">
        <v>0</v>
      </c>
      <c r="Y38" s="961">
        <v>0</v>
      </c>
      <c r="Z38" s="962">
        <f t="shared" si="0"/>
        <v>49530</v>
      </c>
      <c r="AB38" s="345">
        <f>SUM(Z38:Z38)</f>
        <v>49530</v>
      </c>
    </row>
    <row r="39" spans="3:28" ht="27" customHeight="1">
      <c r="C39" s="332" t="s">
        <v>853</v>
      </c>
      <c r="D39" s="972" t="s">
        <v>388</v>
      </c>
      <c r="E39" s="964" t="s">
        <v>829</v>
      </c>
      <c r="F39" s="969"/>
      <c r="G39" s="961">
        <v>8000000</v>
      </c>
      <c r="H39" s="961">
        <v>1578000</v>
      </c>
      <c r="I39" s="961">
        <f>10194715+55</f>
        <v>10194770</v>
      </c>
      <c r="J39" s="961">
        <v>0</v>
      </c>
      <c r="K39" s="973">
        <v>0</v>
      </c>
      <c r="L39" s="973">
        <v>0</v>
      </c>
      <c r="M39" s="961">
        <v>0</v>
      </c>
      <c r="N39" s="961">
        <v>0</v>
      </c>
      <c r="O39" s="961">
        <v>0</v>
      </c>
      <c r="P39" s="961">
        <v>0</v>
      </c>
      <c r="Q39" s="961"/>
      <c r="R39" s="961"/>
      <c r="S39" s="961"/>
      <c r="T39" s="961">
        <v>0</v>
      </c>
      <c r="U39" s="961"/>
      <c r="V39" s="961">
        <f>55-55+1578000</f>
        <v>1578000</v>
      </c>
      <c r="W39" s="961">
        <v>0</v>
      </c>
      <c r="X39" s="961">
        <v>0</v>
      </c>
      <c r="Y39" s="961">
        <v>0</v>
      </c>
      <c r="Z39" s="962">
        <f t="shared" si="0"/>
        <v>21350770</v>
      </c>
      <c r="AB39" s="345"/>
    </row>
    <row r="40" spans="3:28" ht="26.25" customHeight="1">
      <c r="C40" s="332" t="s">
        <v>35</v>
      </c>
      <c r="D40" s="972" t="s">
        <v>389</v>
      </c>
      <c r="E40" s="964" t="s">
        <v>830</v>
      </c>
      <c r="F40" s="969"/>
      <c r="G40" s="961">
        <v>0</v>
      </c>
      <c r="H40" s="961">
        <v>0</v>
      </c>
      <c r="I40" s="961">
        <v>0</v>
      </c>
      <c r="J40" s="961">
        <v>0</v>
      </c>
      <c r="K40" s="973">
        <v>0</v>
      </c>
      <c r="L40" s="973">
        <v>0</v>
      </c>
      <c r="M40" s="961">
        <v>0</v>
      </c>
      <c r="N40" s="961">
        <v>0</v>
      </c>
      <c r="O40" s="961">
        <v>0</v>
      </c>
      <c r="P40" s="961">
        <v>0</v>
      </c>
      <c r="Q40" s="961"/>
      <c r="R40" s="961"/>
      <c r="S40" s="961"/>
      <c r="T40" s="961">
        <v>0</v>
      </c>
      <c r="U40" s="961"/>
      <c r="V40" s="961">
        <v>0</v>
      </c>
      <c r="W40" s="961">
        <f>19957013+1600000+29999998</f>
        <v>51557011</v>
      </c>
      <c r="X40" s="961">
        <v>0</v>
      </c>
      <c r="Y40" s="961">
        <v>0</v>
      </c>
      <c r="Z40" s="962">
        <f t="shared" si="0"/>
        <v>51557011</v>
      </c>
      <c r="AB40" s="345"/>
    </row>
    <row r="41" spans="3:28" ht="24.75" customHeight="1">
      <c r="C41" s="332" t="s">
        <v>854</v>
      </c>
      <c r="D41" s="972" t="s">
        <v>459</v>
      </c>
      <c r="E41" s="964" t="s">
        <v>831</v>
      </c>
      <c r="F41" s="969"/>
      <c r="G41" s="961">
        <v>5977600</v>
      </c>
      <c r="H41" s="961">
        <v>1165632</v>
      </c>
      <c r="I41" s="961">
        <v>4264649</v>
      </c>
      <c r="J41" s="961">
        <v>0</v>
      </c>
      <c r="K41" s="973">
        <v>0</v>
      </c>
      <c r="L41" s="973">
        <v>1564044</v>
      </c>
      <c r="M41" s="961">
        <v>0</v>
      </c>
      <c r="N41" s="961">
        <v>0</v>
      </c>
      <c r="O41" s="961">
        <v>0</v>
      </c>
      <c r="P41" s="961">
        <v>0</v>
      </c>
      <c r="Q41" s="961"/>
      <c r="R41" s="961"/>
      <c r="S41" s="961"/>
      <c r="T41" s="961">
        <v>0</v>
      </c>
      <c r="U41" s="961"/>
      <c r="V41" s="961">
        <v>0</v>
      </c>
      <c r="W41" s="961">
        <v>0</v>
      </c>
      <c r="X41" s="961">
        <v>0</v>
      </c>
      <c r="Y41" s="961">
        <v>0</v>
      </c>
      <c r="Z41" s="962">
        <f t="shared" si="0"/>
        <v>12971925</v>
      </c>
      <c r="AB41" s="345"/>
    </row>
    <row r="42" spans="3:26" ht="24">
      <c r="C42" s="332" t="s">
        <v>614</v>
      </c>
      <c r="D42" s="972" t="s">
        <v>390</v>
      </c>
      <c r="E42" s="964" t="s">
        <v>615</v>
      </c>
      <c r="F42" s="969"/>
      <c r="G42" s="961">
        <v>2357500</v>
      </c>
      <c r="H42" s="961">
        <v>459713</v>
      </c>
      <c r="I42" s="961">
        <f>55206576+300000</f>
        <v>55506576</v>
      </c>
      <c r="J42" s="961">
        <v>0</v>
      </c>
      <c r="K42" s="961">
        <v>0</v>
      </c>
      <c r="L42" s="961">
        <v>0</v>
      </c>
      <c r="M42" s="961">
        <v>0</v>
      </c>
      <c r="N42" s="961">
        <v>0</v>
      </c>
      <c r="O42" s="961">
        <v>0</v>
      </c>
      <c r="P42" s="961">
        <v>0</v>
      </c>
      <c r="Q42" s="961"/>
      <c r="R42" s="961"/>
      <c r="S42" s="961"/>
      <c r="T42" s="961">
        <v>0</v>
      </c>
      <c r="U42" s="961"/>
      <c r="V42" s="961">
        <f>620000+14850</f>
        <v>634850</v>
      </c>
      <c r="W42" s="961">
        <v>0</v>
      </c>
      <c r="X42" s="961">
        <v>0</v>
      </c>
      <c r="Y42" s="961">
        <v>0</v>
      </c>
      <c r="Z42" s="962">
        <f t="shared" si="0"/>
        <v>58958639</v>
      </c>
    </row>
    <row r="43" spans="3:26" ht="24">
      <c r="C43" s="332" t="s">
        <v>573</v>
      </c>
      <c r="D43" s="972" t="s">
        <v>408</v>
      </c>
      <c r="E43" s="964" t="s">
        <v>574</v>
      </c>
      <c r="F43" s="969"/>
      <c r="G43" s="961">
        <v>0</v>
      </c>
      <c r="H43" s="961">
        <v>0</v>
      </c>
      <c r="I43" s="961">
        <v>117194</v>
      </c>
      <c r="J43" s="961">
        <v>0</v>
      </c>
      <c r="K43" s="973">
        <v>0</v>
      </c>
      <c r="L43" s="973">
        <v>0</v>
      </c>
      <c r="M43" s="961">
        <v>0</v>
      </c>
      <c r="N43" s="961">
        <v>0</v>
      </c>
      <c r="O43" s="961">
        <v>0</v>
      </c>
      <c r="P43" s="961">
        <v>0</v>
      </c>
      <c r="Q43" s="961"/>
      <c r="R43" s="961"/>
      <c r="S43" s="961"/>
      <c r="T43" s="961">
        <v>0</v>
      </c>
      <c r="U43" s="961"/>
      <c r="V43" s="961">
        <v>0</v>
      </c>
      <c r="W43" s="961">
        <v>0</v>
      </c>
      <c r="X43" s="961">
        <v>0</v>
      </c>
      <c r="Y43" s="961">
        <v>0</v>
      </c>
      <c r="Z43" s="962">
        <f t="shared" si="0"/>
        <v>117194</v>
      </c>
    </row>
    <row r="44" spans="2:26" ht="24" customHeight="1">
      <c r="B44" s="332" t="s">
        <v>44</v>
      </c>
      <c r="C44" s="332" t="s">
        <v>611</v>
      </c>
      <c r="D44" s="972" t="s">
        <v>460</v>
      </c>
      <c r="E44" s="964" t="s">
        <v>612</v>
      </c>
      <c r="F44" s="969"/>
      <c r="G44" s="961">
        <v>0</v>
      </c>
      <c r="H44" s="961">
        <v>0</v>
      </c>
      <c r="I44" s="961">
        <v>11500000</v>
      </c>
      <c r="J44" s="961">
        <v>0</v>
      </c>
      <c r="K44" s="961">
        <v>0</v>
      </c>
      <c r="L44" s="961">
        <v>22522000</v>
      </c>
      <c r="M44" s="961">
        <v>0</v>
      </c>
      <c r="N44" s="961">
        <v>0</v>
      </c>
      <c r="O44" s="961">
        <v>0</v>
      </c>
      <c r="P44" s="961">
        <v>0</v>
      </c>
      <c r="Q44" s="961"/>
      <c r="R44" s="961"/>
      <c r="S44" s="961"/>
      <c r="T44" s="961">
        <v>0</v>
      </c>
      <c r="U44" s="961"/>
      <c r="V44" s="961">
        <v>0</v>
      </c>
      <c r="W44" s="961">
        <v>0</v>
      </c>
      <c r="X44" s="961">
        <v>0</v>
      </c>
      <c r="Y44" s="961">
        <v>0</v>
      </c>
      <c r="Z44" s="962">
        <f t="shared" si="0"/>
        <v>34022000</v>
      </c>
    </row>
    <row r="45" spans="3:26" ht="24" customHeight="1">
      <c r="C45" s="332" t="s">
        <v>855</v>
      </c>
      <c r="D45" s="972" t="s">
        <v>461</v>
      </c>
      <c r="E45" s="964" t="s">
        <v>832</v>
      </c>
      <c r="F45" s="969"/>
      <c r="G45" s="961">
        <v>0</v>
      </c>
      <c r="H45" s="961">
        <v>0</v>
      </c>
      <c r="I45" s="961">
        <v>0</v>
      </c>
      <c r="J45" s="961">
        <v>0</v>
      </c>
      <c r="K45" s="961">
        <v>0</v>
      </c>
      <c r="L45" s="961">
        <v>4417000</v>
      </c>
      <c r="M45" s="961">
        <v>0</v>
      </c>
      <c r="N45" s="961">
        <v>0</v>
      </c>
      <c r="O45" s="961">
        <v>0</v>
      </c>
      <c r="P45" s="961">
        <v>0</v>
      </c>
      <c r="Q45" s="961">
        <v>0</v>
      </c>
      <c r="R45" s="961">
        <v>0</v>
      </c>
      <c r="S45" s="961"/>
      <c r="T45" s="961">
        <v>0</v>
      </c>
      <c r="U45" s="961"/>
      <c r="V45" s="961">
        <v>0</v>
      </c>
      <c r="W45" s="961">
        <v>0</v>
      </c>
      <c r="X45" s="961">
        <v>0</v>
      </c>
      <c r="Y45" s="961">
        <v>0</v>
      </c>
      <c r="Z45" s="962">
        <f t="shared" si="0"/>
        <v>4417000</v>
      </c>
    </row>
    <row r="46" spans="3:26" ht="24">
      <c r="C46" s="332" t="s">
        <v>616</v>
      </c>
      <c r="D46" s="972" t="s">
        <v>841</v>
      </c>
      <c r="E46" s="964" t="s">
        <v>617</v>
      </c>
      <c r="F46" s="969"/>
      <c r="G46" s="961">
        <v>0</v>
      </c>
      <c r="H46" s="961">
        <v>0</v>
      </c>
      <c r="I46" s="961">
        <v>1778400</v>
      </c>
      <c r="J46" s="961">
        <v>0</v>
      </c>
      <c r="K46" s="961">
        <v>0</v>
      </c>
      <c r="L46" s="961">
        <v>0</v>
      </c>
      <c r="M46" s="961">
        <v>0</v>
      </c>
      <c r="N46" s="961">
        <v>0</v>
      </c>
      <c r="O46" s="961">
        <v>0</v>
      </c>
      <c r="P46" s="961">
        <v>0</v>
      </c>
      <c r="Q46" s="961"/>
      <c r="R46" s="961"/>
      <c r="S46" s="961"/>
      <c r="T46" s="961">
        <v>0</v>
      </c>
      <c r="U46" s="961"/>
      <c r="V46" s="961">
        <v>0</v>
      </c>
      <c r="W46" s="961">
        <v>0</v>
      </c>
      <c r="X46" s="961">
        <v>0</v>
      </c>
      <c r="Y46" s="961">
        <v>0</v>
      </c>
      <c r="Z46" s="962">
        <f t="shared" si="0"/>
        <v>1778400</v>
      </c>
    </row>
    <row r="47" spans="3:28" ht="24" customHeight="1">
      <c r="C47" s="332" t="s">
        <v>44</v>
      </c>
      <c r="D47" s="972" t="s">
        <v>842</v>
      </c>
      <c r="E47" s="964" t="s">
        <v>743</v>
      </c>
      <c r="F47" s="969"/>
      <c r="G47" s="961">
        <f>34334865-338000</f>
        <v>33996865</v>
      </c>
      <c r="H47" s="961">
        <f>6704834-65910</f>
        <v>6638924</v>
      </c>
      <c r="I47" s="961">
        <v>17188297</v>
      </c>
      <c r="J47" s="961">
        <v>0</v>
      </c>
      <c r="K47" s="961">
        <v>0</v>
      </c>
      <c r="L47" s="961">
        <v>0</v>
      </c>
      <c r="M47" s="961">
        <v>0</v>
      </c>
      <c r="N47" s="961">
        <v>0</v>
      </c>
      <c r="O47" s="961">
        <v>0</v>
      </c>
      <c r="P47" s="961">
        <v>0</v>
      </c>
      <c r="Q47" s="961"/>
      <c r="R47" s="961"/>
      <c r="S47" s="961"/>
      <c r="T47" s="961">
        <v>0</v>
      </c>
      <c r="U47" s="961"/>
      <c r="V47" s="961">
        <v>11411381</v>
      </c>
      <c r="W47" s="961">
        <v>0</v>
      </c>
      <c r="X47" s="961">
        <v>0</v>
      </c>
      <c r="Y47" s="961">
        <v>0</v>
      </c>
      <c r="Z47" s="962">
        <f t="shared" si="0"/>
        <v>69235467</v>
      </c>
      <c r="AB47" s="345">
        <f>SUM(Z44:Z50)</f>
        <v>123911867</v>
      </c>
    </row>
    <row r="48" spans="3:28" ht="24" customHeight="1">
      <c r="C48" s="332" t="s">
        <v>834</v>
      </c>
      <c r="D48" s="972" t="s">
        <v>843</v>
      </c>
      <c r="E48" s="964" t="s">
        <v>833</v>
      </c>
      <c r="F48" s="969"/>
      <c r="G48" s="961">
        <v>0</v>
      </c>
      <c r="H48" s="961">
        <v>0</v>
      </c>
      <c r="I48" s="961">
        <v>0</v>
      </c>
      <c r="J48" s="961">
        <v>0</v>
      </c>
      <c r="K48" s="961">
        <v>0</v>
      </c>
      <c r="L48" s="961">
        <v>3047000</v>
      </c>
      <c r="M48" s="961">
        <v>0</v>
      </c>
      <c r="N48" s="961">
        <v>0</v>
      </c>
      <c r="O48" s="961">
        <v>0</v>
      </c>
      <c r="P48" s="961">
        <v>0</v>
      </c>
      <c r="Q48" s="961"/>
      <c r="R48" s="961"/>
      <c r="S48" s="961"/>
      <c r="T48" s="961">
        <v>0</v>
      </c>
      <c r="U48" s="961"/>
      <c r="V48" s="961">
        <v>0</v>
      </c>
      <c r="W48" s="961">
        <v>0</v>
      </c>
      <c r="X48" s="961">
        <v>0</v>
      </c>
      <c r="Y48" s="961">
        <v>0</v>
      </c>
      <c r="Z48" s="962">
        <f t="shared" si="0"/>
        <v>3047000</v>
      </c>
      <c r="AB48" s="345"/>
    </row>
    <row r="49" spans="3:28" ht="24" customHeight="1">
      <c r="C49" s="332" t="s">
        <v>835</v>
      </c>
      <c r="D49" s="972" t="s">
        <v>844</v>
      </c>
      <c r="E49" s="964" t="s">
        <v>836</v>
      </c>
      <c r="F49" s="969"/>
      <c r="G49" s="961">
        <v>0</v>
      </c>
      <c r="H49" s="961">
        <v>0</v>
      </c>
      <c r="I49" s="961">
        <v>0</v>
      </c>
      <c r="J49" s="961">
        <v>0</v>
      </c>
      <c r="K49" s="961">
        <v>0</v>
      </c>
      <c r="L49" s="961">
        <v>4852000</v>
      </c>
      <c r="M49" s="961">
        <v>0</v>
      </c>
      <c r="N49" s="961">
        <v>0</v>
      </c>
      <c r="O49" s="961">
        <v>0</v>
      </c>
      <c r="P49" s="961">
        <v>0</v>
      </c>
      <c r="Q49" s="961"/>
      <c r="R49" s="961"/>
      <c r="S49" s="961"/>
      <c r="T49" s="961">
        <v>0</v>
      </c>
      <c r="U49" s="961"/>
      <c r="V49" s="961">
        <v>0</v>
      </c>
      <c r="W49" s="961">
        <v>0</v>
      </c>
      <c r="X49" s="961">
        <v>0</v>
      </c>
      <c r="Y49" s="961">
        <v>0</v>
      </c>
      <c r="Z49" s="962">
        <f t="shared" si="0"/>
        <v>4852000</v>
      </c>
      <c r="AB49" s="345"/>
    </row>
    <row r="50" spans="2:26" ht="24" customHeight="1">
      <c r="B50" s="332" t="s">
        <v>46</v>
      </c>
      <c r="C50" s="332" t="s">
        <v>42</v>
      </c>
      <c r="D50" s="972" t="s">
        <v>845</v>
      </c>
      <c r="E50" s="964" t="s">
        <v>428</v>
      </c>
      <c r="F50" s="969"/>
      <c r="G50" s="961">
        <v>0</v>
      </c>
      <c r="H50" s="961">
        <v>0</v>
      </c>
      <c r="I50" s="961">
        <v>2600000</v>
      </c>
      <c r="J50" s="961">
        <v>0</v>
      </c>
      <c r="K50" s="961">
        <v>0</v>
      </c>
      <c r="L50" s="961">
        <v>3960000</v>
      </c>
      <c r="M50" s="961">
        <v>0</v>
      </c>
      <c r="N50" s="961">
        <v>0</v>
      </c>
      <c r="O50" s="961">
        <v>0</v>
      </c>
      <c r="P50" s="961">
        <v>0</v>
      </c>
      <c r="Q50" s="961"/>
      <c r="R50" s="961"/>
      <c r="S50" s="961"/>
      <c r="T50" s="961">
        <v>0</v>
      </c>
      <c r="U50" s="961"/>
      <c r="V50" s="961">
        <v>0</v>
      </c>
      <c r="W50" s="961">
        <v>0</v>
      </c>
      <c r="X50" s="961">
        <v>0</v>
      </c>
      <c r="Y50" s="961">
        <v>0</v>
      </c>
      <c r="Z50" s="962">
        <f t="shared" si="0"/>
        <v>6560000</v>
      </c>
    </row>
    <row r="51" spans="3:26" ht="24" customHeight="1">
      <c r="C51" s="332" t="s">
        <v>837</v>
      </c>
      <c r="D51" s="972" t="s">
        <v>846</v>
      </c>
      <c r="E51" s="964" t="s">
        <v>838</v>
      </c>
      <c r="F51" s="969"/>
      <c r="G51" s="961">
        <v>0</v>
      </c>
      <c r="H51" s="961">
        <v>0</v>
      </c>
      <c r="I51" s="961">
        <v>0</v>
      </c>
      <c r="J51" s="961">
        <v>0</v>
      </c>
      <c r="K51" s="961">
        <v>0</v>
      </c>
      <c r="L51" s="961">
        <v>2738000</v>
      </c>
      <c r="M51" s="961">
        <v>0</v>
      </c>
      <c r="N51" s="961">
        <v>0</v>
      </c>
      <c r="O51" s="961">
        <v>0</v>
      </c>
      <c r="P51" s="961">
        <v>0</v>
      </c>
      <c r="Q51" s="961"/>
      <c r="R51" s="961"/>
      <c r="S51" s="961"/>
      <c r="T51" s="961">
        <v>0</v>
      </c>
      <c r="U51" s="961"/>
      <c r="V51" s="961">
        <v>0</v>
      </c>
      <c r="W51" s="961">
        <v>0</v>
      </c>
      <c r="X51" s="974">
        <v>0</v>
      </c>
      <c r="Y51" s="961">
        <v>0</v>
      </c>
      <c r="Z51" s="962">
        <f t="shared" si="0"/>
        <v>2738000</v>
      </c>
    </row>
    <row r="52" spans="2:26" ht="24">
      <c r="B52" s="332" t="s">
        <v>48</v>
      </c>
      <c r="C52" s="332" t="s">
        <v>45</v>
      </c>
      <c r="D52" s="972" t="s">
        <v>847</v>
      </c>
      <c r="E52" s="964" t="s">
        <v>613</v>
      </c>
      <c r="F52" s="969"/>
      <c r="G52" s="961">
        <v>0</v>
      </c>
      <c r="H52" s="961">
        <v>0</v>
      </c>
      <c r="I52" s="961">
        <f>8004000</f>
        <v>8004000</v>
      </c>
      <c r="J52" s="961">
        <v>3804900</v>
      </c>
      <c r="K52" s="961">
        <v>0</v>
      </c>
      <c r="L52" s="961">
        <v>0</v>
      </c>
      <c r="M52" s="961">
        <v>0</v>
      </c>
      <c r="N52" s="961">
        <v>0</v>
      </c>
      <c r="O52" s="961">
        <v>0</v>
      </c>
      <c r="P52" s="961">
        <v>0</v>
      </c>
      <c r="Q52" s="961"/>
      <c r="R52" s="961"/>
      <c r="S52" s="961"/>
      <c r="T52" s="961">
        <v>0</v>
      </c>
      <c r="U52" s="961"/>
      <c r="V52" s="961">
        <v>0</v>
      </c>
      <c r="W52" s="961">
        <v>0</v>
      </c>
      <c r="X52" s="974">
        <v>0</v>
      </c>
      <c r="Y52" s="961">
        <v>0</v>
      </c>
      <c r="Z52" s="962">
        <f t="shared" si="0"/>
        <v>11808900</v>
      </c>
    </row>
    <row r="53" spans="3:26" ht="24">
      <c r="C53" s="332" t="s">
        <v>839</v>
      </c>
      <c r="D53" s="972" t="s">
        <v>848</v>
      </c>
      <c r="E53" s="964" t="s">
        <v>840</v>
      </c>
      <c r="F53" s="975"/>
      <c r="G53" s="976">
        <f>14179532-2666710+24000000</f>
        <v>35512822</v>
      </c>
      <c r="H53" s="974">
        <f>3124662-520008+4680000</f>
        <v>7284654</v>
      </c>
      <c r="I53" s="974">
        <f>58739847-28680000</f>
        <v>30059847</v>
      </c>
      <c r="J53" s="974">
        <v>0</v>
      </c>
      <c r="K53" s="974">
        <v>0</v>
      </c>
      <c r="L53" s="974">
        <v>0</v>
      </c>
      <c r="M53" s="974">
        <v>0</v>
      </c>
      <c r="N53" s="974">
        <v>0</v>
      </c>
      <c r="O53" s="974">
        <v>0</v>
      </c>
      <c r="P53" s="974">
        <v>0</v>
      </c>
      <c r="Q53" s="961"/>
      <c r="R53" s="961"/>
      <c r="S53" s="974"/>
      <c r="T53" s="974">
        <v>0</v>
      </c>
      <c r="U53" s="974"/>
      <c r="V53" s="974">
        <v>4797591</v>
      </c>
      <c r="W53" s="974">
        <v>522139</v>
      </c>
      <c r="X53" s="976">
        <v>0</v>
      </c>
      <c r="Y53" s="974">
        <v>0</v>
      </c>
      <c r="Z53" s="962">
        <f t="shared" si="0"/>
        <v>78177053</v>
      </c>
    </row>
    <row r="54" spans="4:26" ht="24">
      <c r="D54" s="972" t="s">
        <v>891</v>
      </c>
      <c r="E54" s="964" t="s">
        <v>346</v>
      </c>
      <c r="F54" s="975"/>
      <c r="G54" s="976">
        <v>0</v>
      </c>
      <c r="H54" s="974">
        <v>0</v>
      </c>
      <c r="I54" s="974">
        <v>0</v>
      </c>
      <c r="J54" s="974">
        <v>0</v>
      </c>
      <c r="K54" s="974">
        <v>0</v>
      </c>
      <c r="L54" s="974">
        <v>0</v>
      </c>
      <c r="M54" s="974">
        <v>0</v>
      </c>
      <c r="N54" s="974">
        <f>1000000-180000-220000-512000</f>
        <v>88000</v>
      </c>
      <c r="O54" s="974">
        <f>350000+926229</f>
        <v>1276229</v>
      </c>
      <c r="P54" s="974">
        <f>1000000-1000000</f>
        <v>0</v>
      </c>
      <c r="Q54" s="974">
        <f>59808757-7679730-553029-602617-1492000-8045171-7935168-4176519-28922-20906574-217072-8171955</f>
        <v>0</v>
      </c>
      <c r="R54" s="974">
        <f>9782649-6323709-100000-3358940</f>
        <v>0</v>
      </c>
      <c r="S54" s="974">
        <v>0</v>
      </c>
      <c r="T54" s="974">
        <f>200000-200000</f>
        <v>0</v>
      </c>
      <c r="U54" s="974">
        <v>2036448</v>
      </c>
      <c r="V54" s="974">
        <v>0</v>
      </c>
      <c r="W54" s="974">
        <v>0</v>
      </c>
      <c r="X54" s="976">
        <v>0</v>
      </c>
      <c r="Y54" s="974">
        <v>0</v>
      </c>
      <c r="Z54" s="962">
        <f t="shared" si="0"/>
        <v>3400677</v>
      </c>
    </row>
    <row r="55" spans="3:26" ht="24">
      <c r="C55" s="332" t="s">
        <v>744</v>
      </c>
      <c r="D55" s="972" t="s">
        <v>899</v>
      </c>
      <c r="E55" s="977" t="s">
        <v>575</v>
      </c>
      <c r="F55" s="975"/>
      <c r="G55" s="976">
        <v>0</v>
      </c>
      <c r="H55" s="976">
        <v>0</v>
      </c>
      <c r="I55" s="976">
        <f>8285000-165615</f>
        <v>8119385</v>
      </c>
      <c r="J55" s="976">
        <v>0</v>
      </c>
      <c r="K55" s="976">
        <v>0</v>
      </c>
      <c r="L55" s="976">
        <v>0</v>
      </c>
      <c r="M55" s="976">
        <v>0</v>
      </c>
      <c r="N55" s="976">
        <v>0</v>
      </c>
      <c r="O55" s="976">
        <v>0</v>
      </c>
      <c r="P55" s="976">
        <v>0</v>
      </c>
      <c r="Q55" s="974"/>
      <c r="R55" s="974"/>
      <c r="S55" s="976"/>
      <c r="T55" s="976">
        <v>0</v>
      </c>
      <c r="U55" s="976"/>
      <c r="V55" s="976">
        <v>0</v>
      </c>
      <c r="W55" s="976">
        <v>0</v>
      </c>
      <c r="X55" s="976">
        <v>0</v>
      </c>
      <c r="Y55" s="976">
        <v>0</v>
      </c>
      <c r="Z55" s="962">
        <f t="shared" si="0"/>
        <v>8119385</v>
      </c>
    </row>
    <row r="56" spans="1:29" s="347" customFormat="1" ht="24" customHeight="1" thickBot="1">
      <c r="A56" s="347">
        <v>999997</v>
      </c>
      <c r="B56" s="346"/>
      <c r="D56" s="978" t="s">
        <v>900</v>
      </c>
      <c r="E56" s="979" t="s">
        <v>330</v>
      </c>
      <c r="F56" s="980">
        <f>SUM(F8:F52)</f>
        <v>0</v>
      </c>
      <c r="G56" s="981">
        <f aca="true" t="shared" si="1" ref="G56:Z56">SUM(G8:G55)</f>
        <v>212801451</v>
      </c>
      <c r="H56" s="981">
        <f t="shared" si="1"/>
        <v>36967793</v>
      </c>
      <c r="I56" s="981">
        <f t="shared" si="1"/>
        <v>373162178</v>
      </c>
      <c r="J56" s="981">
        <f t="shared" si="1"/>
        <v>3804900</v>
      </c>
      <c r="K56" s="981">
        <f t="shared" si="1"/>
        <v>46343378</v>
      </c>
      <c r="L56" s="981">
        <f t="shared" si="1"/>
        <v>188506601</v>
      </c>
      <c r="M56" s="981">
        <f t="shared" si="1"/>
        <v>1221247</v>
      </c>
      <c r="N56" s="981">
        <f t="shared" si="1"/>
        <v>88000</v>
      </c>
      <c r="O56" s="981">
        <f t="shared" si="1"/>
        <v>1276229</v>
      </c>
      <c r="P56" s="981">
        <f t="shared" si="1"/>
        <v>0</v>
      </c>
      <c r="Q56" s="981">
        <f t="shared" si="1"/>
        <v>0</v>
      </c>
      <c r="R56" s="981">
        <f t="shared" si="1"/>
        <v>0</v>
      </c>
      <c r="S56" s="981">
        <f t="shared" si="1"/>
        <v>0</v>
      </c>
      <c r="T56" s="981">
        <f t="shared" si="1"/>
        <v>0</v>
      </c>
      <c r="U56" s="981">
        <f t="shared" si="1"/>
        <v>2036448</v>
      </c>
      <c r="V56" s="981">
        <f t="shared" si="1"/>
        <v>1013920810</v>
      </c>
      <c r="W56" s="981">
        <f t="shared" si="1"/>
        <v>219451961</v>
      </c>
      <c r="X56" s="981">
        <f t="shared" si="1"/>
        <v>10449520</v>
      </c>
      <c r="Y56" s="981">
        <f t="shared" si="1"/>
        <v>17347428</v>
      </c>
      <c r="Z56" s="982">
        <f t="shared" si="1"/>
        <v>2127377944</v>
      </c>
      <c r="AA56" s="348">
        <f>SUM(G56:Y56)</f>
        <v>2127377944</v>
      </c>
      <c r="AB56" s="349"/>
      <c r="AC56" s="349"/>
    </row>
    <row r="57" spans="5:18" ht="12.75">
      <c r="E57" s="350"/>
      <c r="Q57" s="348"/>
      <c r="R57" s="348"/>
    </row>
    <row r="59" spans="4:6" ht="15">
      <c r="D59" s="620">
        <v>17</v>
      </c>
      <c r="E59" s="621" t="s">
        <v>1027</v>
      </c>
      <c r="F59" s="24"/>
    </row>
    <row r="60" spans="4:5" ht="12.75">
      <c r="D60" s="983" t="s">
        <v>382</v>
      </c>
      <c r="E60" s="621" t="s">
        <v>1029</v>
      </c>
    </row>
    <row r="61" ht="12">
      <c r="F61" s="352"/>
    </row>
  </sheetData>
  <sheetProtection/>
  <mergeCells count="10">
    <mergeCell ref="C1:C2"/>
    <mergeCell ref="D31:D34"/>
    <mergeCell ref="T1:Z1"/>
    <mergeCell ref="E2:Z2"/>
    <mergeCell ref="D4:D7"/>
    <mergeCell ref="E4:E6"/>
    <mergeCell ref="F4:F6"/>
    <mergeCell ref="K5:T5"/>
    <mergeCell ref="G4:Y4"/>
    <mergeCell ref="Z4:Z6"/>
  </mergeCells>
  <printOptions horizontalCentered="1"/>
  <pageMargins left="0.07874015748031496" right="0.07874015748031496" top="0.7874015748031497" bottom="0.7874015748031497" header="0.11811023622047245" footer="0.1968503937007874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42"/>
  <sheetViews>
    <sheetView zoomScalePageLayoutView="0" workbookViewId="0" topLeftCell="C1">
      <selection activeCell="K14" sqref="K14"/>
    </sheetView>
  </sheetViews>
  <sheetFormatPr defaultColWidth="8.875" defaultRowHeight="12.75"/>
  <cols>
    <col min="1" max="1" width="1.37890625" style="331" hidden="1" customWidth="1"/>
    <col min="2" max="2" width="8.00390625" style="332" hidden="1" customWidth="1"/>
    <col min="3" max="3" width="8.00390625" style="332" customWidth="1"/>
    <col min="4" max="4" width="7.625" style="333" customWidth="1"/>
    <col min="5" max="5" width="38.00390625" style="331" customWidth="1"/>
    <col min="6" max="11" width="13.125" style="331" customWidth="1"/>
    <col min="12" max="12" width="16.75390625" style="351" customWidth="1"/>
    <col min="13" max="13" width="14.375" style="331" customWidth="1"/>
    <col min="14" max="14" width="9.875" style="331" bestFit="1" customWidth="1"/>
    <col min="15" max="16384" width="8.875" style="331" customWidth="1"/>
  </cols>
  <sheetData>
    <row r="1" spans="3:12" ht="15">
      <c r="C1" s="673"/>
      <c r="J1" s="675"/>
      <c r="K1" s="675"/>
      <c r="L1" s="675"/>
    </row>
    <row r="2" spans="3:15" ht="18">
      <c r="C2" s="673"/>
      <c r="H2" s="401"/>
      <c r="I2" s="401"/>
      <c r="J2" s="401"/>
      <c r="K2" s="402"/>
      <c r="L2" s="401" t="s">
        <v>1111</v>
      </c>
      <c r="M2" s="402"/>
      <c r="N2" s="402"/>
      <c r="O2" s="402"/>
    </row>
    <row r="3" spans="3:15" ht="15">
      <c r="C3" s="673"/>
      <c r="H3" s="401"/>
      <c r="I3" s="401"/>
      <c r="J3" s="401"/>
      <c r="K3" s="402"/>
      <c r="L3" s="401"/>
      <c r="M3" s="402"/>
      <c r="N3" s="402"/>
      <c r="O3" s="402"/>
    </row>
    <row r="4" spans="1:12" s="487" customFormat="1" ht="39" customHeight="1">
      <c r="A4" s="335"/>
      <c r="B4" s="336"/>
      <c r="C4" s="673"/>
      <c r="D4" s="676" t="s">
        <v>815</v>
      </c>
      <c r="E4" s="676"/>
      <c r="F4" s="676"/>
      <c r="G4" s="676"/>
      <c r="H4" s="676"/>
      <c r="I4" s="676"/>
      <c r="J4" s="676"/>
      <c r="K4" s="676"/>
      <c r="L4" s="676"/>
    </row>
    <row r="5" ht="12">
      <c r="L5" s="488"/>
    </row>
    <row r="6" ht="12.75" thickBot="1">
      <c r="L6" s="337"/>
    </row>
    <row r="7" spans="2:12" s="338" customFormat="1" ht="12.75" customHeight="1">
      <c r="B7" s="339"/>
      <c r="C7" s="339"/>
      <c r="D7" s="928" t="s">
        <v>405</v>
      </c>
      <c r="E7" s="929" t="s">
        <v>326</v>
      </c>
      <c r="F7" s="931" t="s">
        <v>334</v>
      </c>
      <c r="G7" s="932"/>
      <c r="H7" s="932"/>
      <c r="I7" s="932"/>
      <c r="J7" s="932"/>
      <c r="K7" s="932"/>
      <c r="L7" s="934" t="s">
        <v>335</v>
      </c>
    </row>
    <row r="8" spans="2:12" s="340" customFormat="1" ht="12" customHeight="1">
      <c r="B8" s="341"/>
      <c r="C8" s="341"/>
      <c r="D8" s="935"/>
      <c r="E8" s="936"/>
      <c r="F8" s="938" t="s">
        <v>1</v>
      </c>
      <c r="G8" s="938" t="s">
        <v>3</v>
      </c>
      <c r="H8" s="938" t="s">
        <v>5</v>
      </c>
      <c r="I8" s="942" t="s">
        <v>8</v>
      </c>
      <c r="J8" s="942" t="s">
        <v>89</v>
      </c>
      <c r="K8" s="942" t="s">
        <v>91</v>
      </c>
      <c r="L8" s="943"/>
    </row>
    <row r="9" spans="2:12" s="340" customFormat="1" ht="63.75" customHeight="1">
      <c r="B9" s="341"/>
      <c r="C9" s="341"/>
      <c r="D9" s="935"/>
      <c r="E9" s="804"/>
      <c r="F9" s="945" t="s">
        <v>308</v>
      </c>
      <c r="G9" s="945" t="s">
        <v>610</v>
      </c>
      <c r="H9" s="945" t="s">
        <v>328</v>
      </c>
      <c r="I9" s="946" t="s">
        <v>9</v>
      </c>
      <c r="J9" s="946" t="s">
        <v>306</v>
      </c>
      <c r="K9" s="946" t="s">
        <v>338</v>
      </c>
      <c r="L9" s="947"/>
    </row>
    <row r="10" spans="2:12" s="407" customFormat="1" ht="12.75" thickBot="1">
      <c r="B10" s="408"/>
      <c r="C10" s="408"/>
      <c r="D10" s="935"/>
      <c r="E10" s="984" t="s">
        <v>399</v>
      </c>
      <c r="F10" s="985" t="s">
        <v>400</v>
      </c>
      <c r="G10" s="985" t="s">
        <v>401</v>
      </c>
      <c r="H10" s="986" t="s">
        <v>402</v>
      </c>
      <c r="I10" s="986"/>
      <c r="J10" s="986" t="s">
        <v>360</v>
      </c>
      <c r="K10" s="986" t="s">
        <v>361</v>
      </c>
      <c r="L10" s="987" t="s">
        <v>364</v>
      </c>
    </row>
    <row r="11" spans="1:12" s="344" customFormat="1" ht="36" customHeight="1">
      <c r="A11" s="331"/>
      <c r="B11" s="332"/>
      <c r="C11" s="332"/>
      <c r="D11" s="988" t="s">
        <v>337</v>
      </c>
      <c r="E11" s="989"/>
      <c r="F11" s="989"/>
      <c r="G11" s="989"/>
      <c r="H11" s="989"/>
      <c r="I11" s="989"/>
      <c r="J11" s="989"/>
      <c r="K11" s="989"/>
      <c r="L11" s="990"/>
    </row>
    <row r="12" spans="2:12" s="412" customFormat="1" ht="34.5" customHeight="1">
      <c r="B12" s="413" t="s">
        <v>20</v>
      </c>
      <c r="C12" s="413"/>
      <c r="D12" s="991" t="s">
        <v>365</v>
      </c>
      <c r="E12" s="992" t="s">
        <v>778</v>
      </c>
      <c r="F12" s="993">
        <f>102608557+200000</f>
        <v>102808557</v>
      </c>
      <c r="G12" s="993">
        <f>20644903+39000</f>
        <v>20683903</v>
      </c>
      <c r="H12" s="993">
        <f>22317134+1537859+2108200-829010-6147</f>
        <v>25128036</v>
      </c>
      <c r="I12" s="993">
        <v>0</v>
      </c>
      <c r="J12" s="993">
        <v>1016000</v>
      </c>
      <c r="K12" s="993">
        <v>0</v>
      </c>
      <c r="L12" s="994">
        <f aca="true" t="shared" si="0" ref="L12:L18">SUM(F12:K12)</f>
        <v>149636496</v>
      </c>
    </row>
    <row r="13" spans="2:12" s="412" customFormat="1" ht="30.75" customHeight="1">
      <c r="B13" s="413" t="s">
        <v>21</v>
      </c>
      <c r="C13" s="413"/>
      <c r="D13" s="991" t="s">
        <v>366</v>
      </c>
      <c r="E13" s="992" t="s">
        <v>777</v>
      </c>
      <c r="F13" s="993">
        <v>0</v>
      </c>
      <c r="G13" s="993">
        <v>0</v>
      </c>
      <c r="H13" s="993">
        <v>0</v>
      </c>
      <c r="I13" s="993">
        <v>7430000</v>
      </c>
      <c r="J13" s="993">
        <v>0</v>
      </c>
      <c r="K13" s="993">
        <v>0</v>
      </c>
      <c r="L13" s="994">
        <f t="shared" si="0"/>
        <v>7430000</v>
      </c>
    </row>
    <row r="14" spans="2:12" s="412" customFormat="1" ht="30.75" customHeight="1">
      <c r="B14" s="413"/>
      <c r="C14" s="413"/>
      <c r="D14" s="995" t="s">
        <v>367</v>
      </c>
      <c r="E14" s="996" t="s">
        <v>988</v>
      </c>
      <c r="F14" s="997">
        <f>1420400+47334+2742</f>
        <v>1470476</v>
      </c>
      <c r="G14" s="997">
        <f>293204-8955</f>
        <v>284249</v>
      </c>
      <c r="H14" s="997">
        <f>247115+6213+6147</f>
        <v>259475</v>
      </c>
      <c r="I14" s="997">
        <v>0</v>
      </c>
      <c r="J14" s="997">
        <v>0</v>
      </c>
      <c r="K14" s="997">
        <v>0</v>
      </c>
      <c r="L14" s="994">
        <f t="shared" si="0"/>
        <v>2014200</v>
      </c>
    </row>
    <row r="15" spans="2:12" s="412" customFormat="1" ht="57">
      <c r="B15" s="413"/>
      <c r="C15" s="413"/>
      <c r="D15" s="995" t="s">
        <v>368</v>
      </c>
      <c r="E15" s="996" t="s">
        <v>1108</v>
      </c>
      <c r="F15" s="997">
        <v>1582900</v>
      </c>
      <c r="G15" s="997">
        <v>303260</v>
      </c>
      <c r="H15" s="997">
        <v>269840</v>
      </c>
      <c r="I15" s="997">
        <v>0</v>
      </c>
      <c r="J15" s="997">
        <v>0</v>
      </c>
      <c r="K15" s="997">
        <v>0</v>
      </c>
      <c r="L15" s="994">
        <f t="shared" si="0"/>
        <v>2156000</v>
      </c>
    </row>
    <row r="16" spans="2:12" s="412" customFormat="1" ht="71.25">
      <c r="B16" s="413"/>
      <c r="C16" s="413"/>
      <c r="D16" s="991" t="s">
        <v>369</v>
      </c>
      <c r="E16" s="992" t="s">
        <v>816</v>
      </c>
      <c r="F16" s="993">
        <v>3360000</v>
      </c>
      <c r="G16" s="993">
        <v>655200</v>
      </c>
      <c r="H16" s="993">
        <v>0</v>
      </c>
      <c r="I16" s="993">
        <v>0</v>
      </c>
      <c r="J16" s="993">
        <v>0</v>
      </c>
      <c r="K16" s="993">
        <v>0</v>
      </c>
      <c r="L16" s="994">
        <f t="shared" si="0"/>
        <v>4015200</v>
      </c>
    </row>
    <row r="17" spans="1:15" s="414" customFormat="1" ht="24" customHeight="1">
      <c r="A17" s="414">
        <v>999997</v>
      </c>
      <c r="B17" s="415"/>
      <c r="D17" s="991" t="s">
        <v>370</v>
      </c>
      <c r="E17" s="992" t="s">
        <v>989</v>
      </c>
      <c r="F17" s="993">
        <v>338000</v>
      </c>
      <c r="G17" s="993">
        <v>65910</v>
      </c>
      <c r="H17" s="993">
        <v>0</v>
      </c>
      <c r="I17" s="993">
        <v>0</v>
      </c>
      <c r="J17" s="993">
        <v>0</v>
      </c>
      <c r="K17" s="993">
        <v>0</v>
      </c>
      <c r="L17" s="994">
        <f t="shared" si="0"/>
        <v>403910</v>
      </c>
      <c r="M17" s="416">
        <f>SUM(F17:K17)</f>
        <v>403910</v>
      </c>
      <c r="N17" s="417"/>
      <c r="O17" s="417"/>
    </row>
    <row r="18" spans="1:12" s="411" customFormat="1" ht="36.75" customHeight="1" thickBot="1">
      <c r="A18" s="409"/>
      <c r="B18" s="410"/>
      <c r="C18" s="410"/>
      <c r="D18" s="998" t="s">
        <v>371</v>
      </c>
      <c r="E18" s="999" t="s">
        <v>1109</v>
      </c>
      <c r="F18" s="1000">
        <v>2666710</v>
      </c>
      <c r="G18" s="1000">
        <v>520008</v>
      </c>
      <c r="H18" s="1000">
        <v>0</v>
      </c>
      <c r="I18" s="1000">
        <v>0</v>
      </c>
      <c r="J18" s="1000">
        <v>0</v>
      </c>
      <c r="K18" s="1000">
        <v>0</v>
      </c>
      <c r="L18" s="1001">
        <f t="shared" si="0"/>
        <v>3186718</v>
      </c>
    </row>
    <row r="19" spans="2:12" s="412" customFormat="1" ht="23.25" customHeight="1" thickBot="1">
      <c r="B19" s="413" t="s">
        <v>20</v>
      </c>
      <c r="C19" s="413"/>
      <c r="D19" s="1002" t="s">
        <v>372</v>
      </c>
      <c r="E19" s="1003" t="s">
        <v>330</v>
      </c>
      <c r="F19" s="1004">
        <f>SUM(F9:F18)</f>
        <v>112226643</v>
      </c>
      <c r="G19" s="1004">
        <f aca="true" t="shared" si="1" ref="G19:L19">SUM(G9:G18)</f>
        <v>22512530</v>
      </c>
      <c r="H19" s="1004">
        <f t="shared" si="1"/>
        <v>25657351</v>
      </c>
      <c r="I19" s="1004">
        <f t="shared" si="1"/>
        <v>7430000</v>
      </c>
      <c r="J19" s="1004">
        <f t="shared" si="1"/>
        <v>1016000</v>
      </c>
      <c r="K19" s="1004">
        <f t="shared" si="1"/>
        <v>0</v>
      </c>
      <c r="L19" s="1005">
        <f t="shared" si="1"/>
        <v>168842524</v>
      </c>
    </row>
    <row r="20" spans="2:12" s="412" customFormat="1" ht="23.25" customHeight="1">
      <c r="B20" s="413" t="s">
        <v>21</v>
      </c>
      <c r="C20" s="413"/>
      <c r="D20" s="988" t="s">
        <v>716</v>
      </c>
      <c r="E20" s="989"/>
      <c r="F20" s="989"/>
      <c r="G20" s="989"/>
      <c r="H20" s="989"/>
      <c r="I20" s="989"/>
      <c r="J20" s="989"/>
      <c r="K20" s="989"/>
      <c r="L20" s="990"/>
    </row>
    <row r="21" spans="2:12" s="412" customFormat="1" ht="23.25" customHeight="1">
      <c r="B21" s="413"/>
      <c r="C21" s="413"/>
      <c r="D21" s="991" t="s">
        <v>365</v>
      </c>
      <c r="E21" s="992" t="s">
        <v>747</v>
      </c>
      <c r="F21" s="1006">
        <v>0</v>
      </c>
      <c r="G21" s="1006">
        <v>0</v>
      </c>
      <c r="H21" s="1006">
        <f>34363647-36576</f>
        <v>34327071</v>
      </c>
      <c r="I21" s="993">
        <v>0</v>
      </c>
      <c r="J21" s="1006">
        <f>36576</f>
        <v>36576</v>
      </c>
      <c r="K21" s="993">
        <v>0</v>
      </c>
      <c r="L21" s="994">
        <f aca="true" t="shared" si="2" ref="L21:L31">SUM(F21:K21)</f>
        <v>34363647</v>
      </c>
    </row>
    <row r="22" spans="2:12" s="412" customFormat="1" ht="23.25" customHeight="1">
      <c r="B22" s="413"/>
      <c r="C22" s="413"/>
      <c r="D22" s="991" t="s">
        <v>366</v>
      </c>
      <c r="E22" s="992" t="s">
        <v>818</v>
      </c>
      <c r="F22" s="1006">
        <f>93384492-240000+220000</f>
        <v>93364492</v>
      </c>
      <c r="G22" s="1006">
        <f>21312024-46800+42900</f>
        <v>21308124</v>
      </c>
      <c r="H22" s="1006">
        <f>12087124-1073150+656145-600000-889000-273095</f>
        <v>9908024</v>
      </c>
      <c r="I22" s="993">
        <v>0</v>
      </c>
      <c r="J22" s="1006">
        <v>552450</v>
      </c>
      <c r="K22" s="993">
        <f>273095</f>
        <v>273095</v>
      </c>
      <c r="L22" s="994">
        <f t="shared" si="2"/>
        <v>125406185</v>
      </c>
    </row>
    <row r="23" spans="1:12" s="412" customFormat="1" ht="23.25" customHeight="1">
      <c r="A23" s="412">
        <v>20215</v>
      </c>
      <c r="B23" s="413" t="s">
        <v>23</v>
      </c>
      <c r="C23" s="413"/>
      <c r="D23" s="991" t="s">
        <v>367</v>
      </c>
      <c r="E23" s="992" t="s">
        <v>509</v>
      </c>
      <c r="F23" s="1006">
        <v>4891000</v>
      </c>
      <c r="G23" s="1006">
        <v>953745</v>
      </c>
      <c r="H23" s="1006">
        <f>400366+889000</f>
        <v>1289366</v>
      </c>
      <c r="I23" s="993">
        <v>0</v>
      </c>
      <c r="J23" s="1006">
        <v>0</v>
      </c>
      <c r="K23" s="993">
        <v>0</v>
      </c>
      <c r="L23" s="994">
        <f t="shared" si="2"/>
        <v>7134111</v>
      </c>
    </row>
    <row r="24" spans="2:12" s="412" customFormat="1" ht="23.25" customHeight="1">
      <c r="B24" s="413"/>
      <c r="C24" s="413"/>
      <c r="D24" s="991" t="s">
        <v>368</v>
      </c>
      <c r="E24" s="992" t="s">
        <v>548</v>
      </c>
      <c r="F24" s="1006">
        <v>19682997</v>
      </c>
      <c r="G24" s="1006">
        <v>3846449</v>
      </c>
      <c r="H24" s="1006">
        <v>4977802</v>
      </c>
      <c r="I24" s="993">
        <v>0</v>
      </c>
      <c r="J24" s="1006">
        <v>152400</v>
      </c>
      <c r="K24" s="993">
        <v>0</v>
      </c>
      <c r="L24" s="994">
        <f t="shared" si="2"/>
        <v>28659648</v>
      </c>
    </row>
    <row r="25" spans="2:12" s="412" customFormat="1" ht="15">
      <c r="B25" s="413"/>
      <c r="C25" s="413"/>
      <c r="D25" s="991" t="s">
        <v>369</v>
      </c>
      <c r="E25" s="992" t="s">
        <v>666</v>
      </c>
      <c r="F25" s="1006">
        <v>15007293</v>
      </c>
      <c r="G25" s="1006">
        <v>2937022</v>
      </c>
      <c r="H25" s="1006">
        <v>2794382</v>
      </c>
      <c r="I25" s="993">
        <v>0</v>
      </c>
      <c r="J25" s="1006">
        <v>241300</v>
      </c>
      <c r="K25" s="993">
        <v>0</v>
      </c>
      <c r="L25" s="994">
        <f t="shared" si="2"/>
        <v>20979997</v>
      </c>
    </row>
    <row r="26" spans="2:12" s="412" customFormat="1" ht="15">
      <c r="B26" s="413"/>
      <c r="C26" s="413"/>
      <c r="D26" s="991" t="s">
        <v>370</v>
      </c>
      <c r="E26" s="992" t="s">
        <v>667</v>
      </c>
      <c r="F26" s="1006">
        <f>9229786+56100</f>
        <v>9285886</v>
      </c>
      <c r="G26" s="1006">
        <f>1799808+10940</f>
        <v>1810748</v>
      </c>
      <c r="H26" s="1006">
        <v>1133928</v>
      </c>
      <c r="I26" s="993">
        <v>0</v>
      </c>
      <c r="J26" s="1006">
        <v>0</v>
      </c>
      <c r="K26" s="993">
        <v>0</v>
      </c>
      <c r="L26" s="994">
        <f t="shared" si="2"/>
        <v>12230562</v>
      </c>
    </row>
    <row r="27" spans="2:12" s="412" customFormat="1" ht="15">
      <c r="B27" s="413"/>
      <c r="C27" s="413"/>
      <c r="D27" s="991" t="s">
        <v>371</v>
      </c>
      <c r="E27" s="992" t="s">
        <v>748</v>
      </c>
      <c r="F27" s="1006">
        <v>0</v>
      </c>
      <c r="G27" s="1006">
        <v>0</v>
      </c>
      <c r="H27" s="1006">
        <v>3260222</v>
      </c>
      <c r="I27" s="993">
        <v>0</v>
      </c>
      <c r="J27" s="1006">
        <v>0</v>
      </c>
      <c r="K27" s="993">
        <v>0</v>
      </c>
      <c r="L27" s="994">
        <f t="shared" si="2"/>
        <v>3260222</v>
      </c>
    </row>
    <row r="28" spans="2:12" s="412" customFormat="1" ht="71.25">
      <c r="B28" s="413"/>
      <c r="C28" s="413"/>
      <c r="D28" s="991" t="s">
        <v>372</v>
      </c>
      <c r="E28" s="992" t="s">
        <v>821</v>
      </c>
      <c r="F28" s="1006">
        <v>5760000</v>
      </c>
      <c r="G28" s="1006">
        <v>1123200</v>
      </c>
      <c r="H28" s="1006">
        <v>0</v>
      </c>
      <c r="I28" s="993">
        <v>0</v>
      </c>
      <c r="J28" s="1006">
        <v>0</v>
      </c>
      <c r="K28" s="993">
        <v>0</v>
      </c>
      <c r="L28" s="994">
        <f t="shared" si="2"/>
        <v>6883200</v>
      </c>
    </row>
    <row r="29" spans="1:15" s="414" customFormat="1" ht="24" customHeight="1">
      <c r="A29" s="414">
        <v>999997</v>
      </c>
      <c r="B29" s="415"/>
      <c r="D29" s="991" t="s">
        <v>373</v>
      </c>
      <c r="E29" s="992" t="s">
        <v>820</v>
      </c>
      <c r="F29" s="1006">
        <v>12880157</v>
      </c>
      <c r="G29" s="1006">
        <v>10151079</v>
      </c>
      <c r="H29" s="1006">
        <f>4399746+10500000</f>
        <v>14899746</v>
      </c>
      <c r="I29" s="993">
        <v>0</v>
      </c>
      <c r="J29" s="1006">
        <v>0</v>
      </c>
      <c r="K29" s="993">
        <v>0</v>
      </c>
      <c r="L29" s="994">
        <f t="shared" si="2"/>
        <v>37930982</v>
      </c>
      <c r="M29" s="416">
        <f>SUM(F29:K29)</f>
        <v>37930982</v>
      </c>
      <c r="N29" s="417"/>
      <c r="O29" s="417"/>
    </row>
    <row r="30" spans="1:12" s="344" customFormat="1" ht="39" customHeight="1">
      <c r="A30" s="331"/>
      <c r="B30" s="332"/>
      <c r="C30" s="332"/>
      <c r="D30" s="998" t="s">
        <v>374</v>
      </c>
      <c r="E30" s="992" t="s">
        <v>819</v>
      </c>
      <c r="F30" s="1000">
        <v>2303000</v>
      </c>
      <c r="G30" s="1000">
        <v>449085</v>
      </c>
      <c r="H30" s="1000">
        <v>2707021</v>
      </c>
      <c r="I30" s="1000">
        <v>0</v>
      </c>
      <c r="J30" s="1000">
        <v>0</v>
      </c>
      <c r="K30" s="1000">
        <v>0</v>
      </c>
      <c r="L30" s="1001">
        <f t="shared" si="2"/>
        <v>5459106</v>
      </c>
    </row>
    <row r="31" spans="2:12" s="412" customFormat="1" ht="31.5" customHeight="1" thickBot="1">
      <c r="B31" s="413" t="s">
        <v>20</v>
      </c>
      <c r="C31" s="413"/>
      <c r="D31" s="991" t="s">
        <v>375</v>
      </c>
      <c r="E31" s="992" t="s">
        <v>1110</v>
      </c>
      <c r="F31" s="1006">
        <v>1229250</v>
      </c>
      <c r="G31" s="1006">
        <v>215116</v>
      </c>
      <c r="H31" s="1006">
        <v>0</v>
      </c>
      <c r="I31" s="993">
        <v>0</v>
      </c>
      <c r="J31" s="1006">
        <v>0</v>
      </c>
      <c r="K31" s="993">
        <v>0</v>
      </c>
      <c r="L31" s="994">
        <f t="shared" si="2"/>
        <v>1444366</v>
      </c>
    </row>
    <row r="32" spans="2:12" s="412" customFormat="1" ht="23.25" customHeight="1" thickBot="1">
      <c r="B32" s="413" t="s">
        <v>21</v>
      </c>
      <c r="C32" s="413"/>
      <c r="D32" s="1002" t="s">
        <v>376</v>
      </c>
      <c r="E32" s="1003" t="s">
        <v>330</v>
      </c>
      <c r="F32" s="1004">
        <f>SUM(F20:F31)</f>
        <v>164404075</v>
      </c>
      <c r="G32" s="1004">
        <f aca="true" t="shared" si="3" ref="G32:L32">SUM(G20:G31)</f>
        <v>42794568</v>
      </c>
      <c r="H32" s="1004">
        <f t="shared" si="3"/>
        <v>75297562</v>
      </c>
      <c r="I32" s="1004">
        <f t="shared" si="3"/>
        <v>0</v>
      </c>
      <c r="J32" s="1004">
        <f t="shared" si="3"/>
        <v>982726</v>
      </c>
      <c r="K32" s="1004">
        <f t="shared" si="3"/>
        <v>273095</v>
      </c>
      <c r="L32" s="1005">
        <f t="shared" si="3"/>
        <v>283752026</v>
      </c>
    </row>
    <row r="33" spans="2:12" s="412" customFormat="1" ht="33" customHeight="1">
      <c r="B33" s="413"/>
      <c r="C33" s="413"/>
      <c r="D33" s="988" t="s">
        <v>779</v>
      </c>
      <c r="E33" s="989"/>
      <c r="F33" s="989"/>
      <c r="G33" s="989"/>
      <c r="H33" s="989"/>
      <c r="I33" s="989"/>
      <c r="J33" s="989"/>
      <c r="K33" s="989"/>
      <c r="L33" s="990"/>
    </row>
    <row r="34" spans="2:12" s="412" customFormat="1" ht="33" customHeight="1">
      <c r="B34" s="413"/>
      <c r="C34" s="413"/>
      <c r="D34" s="991" t="s">
        <v>365</v>
      </c>
      <c r="E34" s="992" t="s">
        <v>508</v>
      </c>
      <c r="F34" s="993">
        <v>0</v>
      </c>
      <c r="G34" s="993">
        <v>0</v>
      </c>
      <c r="H34" s="993">
        <v>1100000</v>
      </c>
      <c r="I34" s="993">
        <v>0</v>
      </c>
      <c r="J34" s="993">
        <v>0</v>
      </c>
      <c r="K34" s="993">
        <v>0</v>
      </c>
      <c r="L34" s="994">
        <f>SUM(F34:K34)</f>
        <v>1100000</v>
      </c>
    </row>
    <row r="35" spans="1:15" s="414" customFormat="1" ht="24" customHeight="1">
      <c r="A35" s="414">
        <v>999997</v>
      </c>
      <c r="B35" s="415"/>
      <c r="D35" s="991" t="s">
        <v>366</v>
      </c>
      <c r="E35" s="992" t="s">
        <v>350</v>
      </c>
      <c r="F35" s="993">
        <v>2629600</v>
      </c>
      <c r="G35" s="993">
        <v>512772</v>
      </c>
      <c r="H35" s="993">
        <v>289700</v>
      </c>
      <c r="I35" s="993">
        <v>0</v>
      </c>
      <c r="J35" s="993">
        <v>0</v>
      </c>
      <c r="K35" s="993">
        <v>0</v>
      </c>
      <c r="L35" s="994">
        <f>SUM(F35:K35)</f>
        <v>3432072</v>
      </c>
      <c r="M35" s="416">
        <f>SUM(F35:K35)</f>
        <v>3432072</v>
      </c>
      <c r="N35" s="417"/>
      <c r="O35" s="417"/>
    </row>
    <row r="36" spans="4:12" ht="28.5">
      <c r="D36" s="991" t="s">
        <v>367</v>
      </c>
      <c r="E36" s="992" t="s">
        <v>749</v>
      </c>
      <c r="F36" s="993">
        <f>7774800+1500000+223500</f>
        <v>9498300</v>
      </c>
      <c r="G36" s="993">
        <f>1539290+775525+39112</f>
        <v>2353927</v>
      </c>
      <c r="H36" s="993">
        <f>13067490-1270000+622539+7367584+614391+300000+81000</f>
        <v>20783004</v>
      </c>
      <c r="I36" s="993">
        <v>0</v>
      </c>
      <c r="J36" s="993">
        <v>635000</v>
      </c>
      <c r="K36" s="993">
        <v>0</v>
      </c>
      <c r="L36" s="994">
        <f>SUM(F36:K36)</f>
        <v>33270231</v>
      </c>
    </row>
    <row r="37" spans="4:12" ht="43.5" thickBot="1">
      <c r="D37" s="995" t="s">
        <v>368</v>
      </c>
      <c r="E37" s="996" t="s">
        <v>817</v>
      </c>
      <c r="F37" s="997">
        <v>6761296</v>
      </c>
      <c r="G37" s="997">
        <v>1646453</v>
      </c>
      <c r="H37" s="997">
        <v>14095151</v>
      </c>
      <c r="I37" s="997">
        <v>0</v>
      </c>
      <c r="J37" s="997">
        <v>2497100</v>
      </c>
      <c r="K37" s="997">
        <v>0</v>
      </c>
      <c r="L37" s="1007">
        <f>SUM(F37:K37)</f>
        <v>25000000</v>
      </c>
    </row>
    <row r="38" spans="4:12" ht="15" thickBot="1">
      <c r="D38" s="1002" t="s">
        <v>369</v>
      </c>
      <c r="E38" s="1003" t="s">
        <v>330</v>
      </c>
      <c r="F38" s="1004">
        <f>SUM(F33:F37)</f>
        <v>18889196</v>
      </c>
      <c r="G38" s="1004">
        <f aca="true" t="shared" si="4" ref="G38:L38">SUM(G33:G37)</f>
        <v>4513152</v>
      </c>
      <c r="H38" s="1004">
        <f t="shared" si="4"/>
        <v>36267855</v>
      </c>
      <c r="I38" s="1004">
        <f t="shared" si="4"/>
        <v>0</v>
      </c>
      <c r="J38" s="1004">
        <f t="shared" si="4"/>
        <v>3132100</v>
      </c>
      <c r="K38" s="1004">
        <f t="shared" si="4"/>
        <v>0</v>
      </c>
      <c r="L38" s="1005">
        <f t="shared" si="4"/>
        <v>62802303</v>
      </c>
    </row>
    <row r="41" spans="4:5" ht="12.75">
      <c r="D41" s="620">
        <v>19</v>
      </c>
      <c r="E41" s="621" t="s">
        <v>1027</v>
      </c>
    </row>
    <row r="42" spans="4:5" ht="12.75">
      <c r="D42" s="983" t="s">
        <v>384</v>
      </c>
      <c r="E42" s="621" t="s">
        <v>1029</v>
      </c>
    </row>
  </sheetData>
  <sheetProtection/>
  <mergeCells count="10">
    <mergeCell ref="D20:L20"/>
    <mergeCell ref="D33:L33"/>
    <mergeCell ref="D4:L4"/>
    <mergeCell ref="C1:C4"/>
    <mergeCell ref="J1:L1"/>
    <mergeCell ref="D7:D10"/>
    <mergeCell ref="E7:E9"/>
    <mergeCell ref="F7:K7"/>
    <mergeCell ref="L7:L9"/>
    <mergeCell ref="D11:L11"/>
  </mergeCells>
  <printOptions/>
  <pageMargins left="0.11811023622047245" right="0.11811023622047245" top="1.141732283464567" bottom="0.7480314960629921" header="0.31496062992125984" footer="0.31496062992125984"/>
  <pageSetup horizontalDpi="600" verticalDpi="600" orientation="portrait" paperSize="9" scale="6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97"/>
  <sheetViews>
    <sheetView workbookViewId="0" topLeftCell="A1">
      <selection activeCell="B97" sqref="B97"/>
    </sheetView>
  </sheetViews>
  <sheetFormatPr defaultColWidth="9.00390625" defaultRowHeight="12.75"/>
  <cols>
    <col min="1" max="1" width="7.75390625" style="108" customWidth="1"/>
    <col min="2" max="2" width="31.75390625" style="108" customWidth="1"/>
    <col min="3" max="3" width="14.375" style="108" customWidth="1"/>
    <col min="4" max="5" width="14.375" style="108" bestFit="1" customWidth="1"/>
    <col min="6" max="6" width="16.25390625" style="108" bestFit="1" customWidth="1"/>
    <col min="7" max="8" width="14.625" style="108" bestFit="1" customWidth="1"/>
    <col min="9" max="9" width="16.25390625" style="108" bestFit="1" customWidth="1"/>
    <col min="10" max="11" width="12.875" style="108" customWidth="1"/>
    <col min="12" max="12" width="15.00390625" style="108" customWidth="1"/>
    <col min="13" max="13" width="17.00390625" style="108" bestFit="1" customWidth="1"/>
    <col min="14" max="15" width="9.125" style="108" customWidth="1"/>
    <col min="16" max="16" width="12.875" style="108" bestFit="1" customWidth="1"/>
    <col min="17" max="16384" width="9.125" style="108" customWidth="1"/>
  </cols>
  <sheetData>
    <row r="1" spans="1:21" ht="15.75">
      <c r="A1" s="165"/>
      <c r="B1" s="166"/>
      <c r="C1" s="167"/>
      <c r="D1" s="167"/>
      <c r="E1" s="167"/>
      <c r="F1" s="167"/>
      <c r="G1" s="677" t="s">
        <v>1112</v>
      </c>
      <c r="H1" s="677"/>
      <c r="I1" s="678"/>
      <c r="J1" s="678"/>
      <c r="K1" s="678"/>
      <c r="L1" s="678"/>
      <c r="M1" s="678"/>
      <c r="N1" s="166"/>
      <c r="O1" s="166"/>
      <c r="P1" s="166"/>
      <c r="Q1" s="166"/>
      <c r="R1" s="168"/>
      <c r="S1" s="168"/>
      <c r="T1" s="168"/>
      <c r="U1" s="166"/>
    </row>
    <row r="2" spans="1:21" ht="12.75">
      <c r="A2" s="165"/>
      <c r="B2" s="166"/>
      <c r="C2" s="167"/>
      <c r="D2" s="167"/>
      <c r="E2" s="167"/>
      <c r="F2" s="167"/>
      <c r="G2" s="169"/>
      <c r="H2" s="169"/>
      <c r="I2" s="170"/>
      <c r="J2" s="170"/>
      <c r="K2" s="170"/>
      <c r="L2" s="170"/>
      <c r="M2" s="170"/>
      <c r="N2" s="166"/>
      <c r="O2" s="166"/>
      <c r="P2" s="166"/>
      <c r="Q2" s="166"/>
      <c r="R2" s="168"/>
      <c r="S2" s="168"/>
      <c r="T2" s="168"/>
      <c r="U2" s="166"/>
    </row>
    <row r="3" spans="1:27" ht="15.75" customHeight="1">
      <c r="A3" s="1008" t="s">
        <v>886</v>
      </c>
      <c r="B3" s="1008"/>
      <c r="C3" s="1008"/>
      <c r="D3" s="1008"/>
      <c r="E3" s="1008"/>
      <c r="F3" s="1008"/>
      <c r="G3" s="1008"/>
      <c r="H3" s="1008"/>
      <c r="I3" s="1008"/>
      <c r="J3" s="1008"/>
      <c r="K3" s="1008"/>
      <c r="L3" s="1008"/>
      <c r="M3" s="1008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  <c r="AA3" s="1009"/>
    </row>
    <row r="4" spans="1:27" ht="13.5" customHeight="1" thickBot="1">
      <c r="A4" s="1010"/>
      <c r="B4" s="1010"/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1"/>
      <c r="Z4" s="1011"/>
      <c r="AA4" s="1011"/>
    </row>
    <row r="5" spans="1:27" ht="16.5" thickBot="1">
      <c r="A5" s="1012" t="s">
        <v>405</v>
      </c>
      <c r="B5" s="1013" t="s">
        <v>326</v>
      </c>
      <c r="C5" s="1014" t="s">
        <v>450</v>
      </c>
      <c r="D5" s="1014"/>
      <c r="E5" s="1014"/>
      <c r="F5" s="1014"/>
      <c r="G5" s="1014"/>
      <c r="H5" s="1014"/>
      <c r="I5" s="1014"/>
      <c r="J5" s="1014"/>
      <c r="K5" s="1014"/>
      <c r="L5" s="1014"/>
      <c r="M5" s="1015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7"/>
    </row>
    <row r="6" spans="1:13" ht="12.75" customHeight="1">
      <c r="A6" s="1018"/>
      <c r="B6" s="1019"/>
      <c r="C6" s="1020" t="s">
        <v>451</v>
      </c>
      <c r="D6" s="1021" t="s">
        <v>452</v>
      </c>
      <c r="E6" s="1022"/>
      <c r="F6" s="1023"/>
      <c r="G6" s="1021" t="s">
        <v>453</v>
      </c>
      <c r="H6" s="1022"/>
      <c r="I6" s="1023"/>
      <c r="J6" s="1021" t="s">
        <v>454</v>
      </c>
      <c r="K6" s="1022"/>
      <c r="L6" s="1023"/>
      <c r="M6" s="1024" t="s">
        <v>335</v>
      </c>
    </row>
    <row r="7" spans="1:13" ht="7.5" customHeight="1">
      <c r="A7" s="1018"/>
      <c r="B7" s="1019"/>
      <c r="C7" s="1025"/>
      <c r="D7" s="1026"/>
      <c r="E7" s="1027"/>
      <c r="F7" s="1028"/>
      <c r="G7" s="1026"/>
      <c r="H7" s="1027"/>
      <c r="I7" s="1028"/>
      <c r="J7" s="1026"/>
      <c r="K7" s="1027"/>
      <c r="L7" s="1028"/>
      <c r="M7" s="1029"/>
    </row>
    <row r="8" spans="1:13" ht="18.75" customHeight="1" thickBot="1">
      <c r="A8" s="1030"/>
      <c r="B8" s="1031"/>
      <c r="C8" s="1032"/>
      <c r="D8" s="1033" t="s">
        <v>52</v>
      </c>
      <c r="E8" s="1034" t="s">
        <v>53</v>
      </c>
      <c r="F8" s="1035" t="s">
        <v>54</v>
      </c>
      <c r="G8" s="1036" t="s">
        <v>52</v>
      </c>
      <c r="H8" s="1034" t="s">
        <v>53</v>
      </c>
      <c r="I8" s="1035" t="s">
        <v>54</v>
      </c>
      <c r="J8" s="1036" t="s">
        <v>52</v>
      </c>
      <c r="K8" s="1034" t="s">
        <v>53</v>
      </c>
      <c r="L8" s="1035" t="s">
        <v>54</v>
      </c>
      <c r="M8" s="1037"/>
    </row>
    <row r="9" spans="1:13" ht="29.25" customHeight="1" thickBot="1">
      <c r="A9" s="1038" t="s">
        <v>365</v>
      </c>
      <c r="B9" s="1039" t="s">
        <v>27</v>
      </c>
      <c r="C9" s="1040" t="s">
        <v>682</v>
      </c>
      <c r="D9" s="1041">
        <f>55669529+45000+23349000+20900+4081-2108200-413+754380+248400+23576063</f>
        <v>101558740</v>
      </c>
      <c r="E9" s="1042">
        <v>94270</v>
      </c>
      <c r="F9" s="1043">
        <f aca="true" t="shared" si="0" ref="F9:F56">SUM(D9:E9)</f>
        <v>101653010</v>
      </c>
      <c r="G9" s="1044"/>
      <c r="H9" s="1045"/>
      <c r="I9" s="1043">
        <f aca="true" t="shared" si="1" ref="I9:I56">SUM(G9:H9)</f>
        <v>0</v>
      </c>
      <c r="J9" s="1046"/>
      <c r="K9" s="1047"/>
      <c r="L9" s="1043">
        <f aca="true" t="shared" si="2" ref="L9:L56">SUM(J9:K9)</f>
        <v>0</v>
      </c>
      <c r="M9" s="1048">
        <f aca="true" t="shared" si="3" ref="M9:M56">SUM(F9+I9+L9)</f>
        <v>101653010</v>
      </c>
    </row>
    <row r="10" spans="1:13" ht="29.25" customHeight="1">
      <c r="A10" s="1049" t="s">
        <v>366</v>
      </c>
      <c r="B10" s="957" t="s">
        <v>890</v>
      </c>
      <c r="C10" s="1040" t="s">
        <v>671</v>
      </c>
      <c r="D10" s="1041">
        <v>100000</v>
      </c>
      <c r="E10" s="1045"/>
      <c r="F10" s="1043">
        <f t="shared" si="0"/>
        <v>100000</v>
      </c>
      <c r="G10" s="1044"/>
      <c r="H10" s="1045"/>
      <c r="I10" s="1043">
        <f t="shared" si="1"/>
        <v>0</v>
      </c>
      <c r="J10" s="1046"/>
      <c r="K10" s="1047"/>
      <c r="L10" s="1043">
        <f t="shared" si="2"/>
        <v>0</v>
      </c>
      <c r="M10" s="1048">
        <f t="shared" si="3"/>
        <v>100000</v>
      </c>
    </row>
    <row r="11" spans="1:13" ht="29.25" customHeight="1">
      <c r="A11" s="1049" t="s">
        <v>367</v>
      </c>
      <c r="B11" s="1050" t="s">
        <v>24</v>
      </c>
      <c r="C11" s="1051" t="s">
        <v>669</v>
      </c>
      <c r="D11" s="1041">
        <f>62555863-700000+8618030+88787+200000</f>
        <v>70762680</v>
      </c>
      <c r="E11" s="1042">
        <v>13299520</v>
      </c>
      <c r="F11" s="1043">
        <f t="shared" si="0"/>
        <v>84062200</v>
      </c>
      <c r="G11" s="1052">
        <f>7875000+40000</f>
        <v>7915000</v>
      </c>
      <c r="H11" s="1042">
        <f>682185231-23410448</f>
        <v>658774783</v>
      </c>
      <c r="I11" s="1043">
        <f t="shared" si="1"/>
        <v>666689783</v>
      </c>
      <c r="J11" s="1046"/>
      <c r="K11" s="1047"/>
      <c r="L11" s="1043">
        <f t="shared" si="2"/>
        <v>0</v>
      </c>
      <c r="M11" s="1048">
        <f t="shared" si="3"/>
        <v>750751983</v>
      </c>
    </row>
    <row r="12" spans="1:13" ht="29.25" customHeight="1">
      <c r="A12" s="1049" t="s">
        <v>368</v>
      </c>
      <c r="B12" s="1050" t="s">
        <v>344</v>
      </c>
      <c r="C12" s="1053"/>
      <c r="D12" s="1054"/>
      <c r="E12" s="1045"/>
      <c r="F12" s="1043">
        <f t="shared" si="0"/>
        <v>0</v>
      </c>
      <c r="G12" s="1052">
        <v>823750</v>
      </c>
      <c r="H12" s="1045"/>
      <c r="I12" s="1043">
        <f t="shared" si="1"/>
        <v>823750</v>
      </c>
      <c r="J12" s="1046"/>
      <c r="K12" s="1047"/>
      <c r="L12" s="1043">
        <f t="shared" si="2"/>
        <v>0</v>
      </c>
      <c r="M12" s="1048">
        <f t="shared" si="3"/>
        <v>823750</v>
      </c>
    </row>
    <row r="13" spans="1:13" ht="29.25" customHeight="1">
      <c r="A13" s="609" t="s">
        <v>369</v>
      </c>
      <c r="B13" s="1050" t="s">
        <v>979</v>
      </c>
      <c r="C13" s="1043" t="s">
        <v>752</v>
      </c>
      <c r="D13" s="1041">
        <v>46343378</v>
      </c>
      <c r="E13" s="1045"/>
      <c r="F13" s="1043">
        <f t="shared" si="0"/>
        <v>46343378</v>
      </c>
      <c r="G13" s="1052"/>
      <c r="H13" s="1045"/>
      <c r="I13" s="1043"/>
      <c r="J13" s="1046"/>
      <c r="K13" s="1047"/>
      <c r="L13" s="1043"/>
      <c r="M13" s="1048">
        <f t="shared" si="3"/>
        <v>46343378</v>
      </c>
    </row>
    <row r="14" spans="1:13" ht="21.75" customHeight="1">
      <c r="A14" s="1049" t="s">
        <v>370</v>
      </c>
      <c r="B14" s="1055" t="s">
        <v>607</v>
      </c>
      <c r="C14" s="1043" t="s">
        <v>752</v>
      </c>
      <c r="D14" s="1056">
        <f>17347428+413+128723</f>
        <v>17476564</v>
      </c>
      <c r="E14" s="1057"/>
      <c r="F14" s="1043">
        <f t="shared" si="0"/>
        <v>17476564</v>
      </c>
      <c r="G14" s="1058"/>
      <c r="H14" s="1057"/>
      <c r="I14" s="1043">
        <f t="shared" si="1"/>
        <v>0</v>
      </c>
      <c r="J14" s="1059"/>
      <c r="K14" s="1060"/>
      <c r="L14" s="1043">
        <f t="shared" si="2"/>
        <v>0</v>
      </c>
      <c r="M14" s="1048">
        <f t="shared" si="3"/>
        <v>17476564</v>
      </c>
    </row>
    <row r="15" spans="1:13" ht="29.25" customHeight="1">
      <c r="A15" s="1049" t="s">
        <v>371</v>
      </c>
      <c r="B15" s="1050" t="s">
        <v>32</v>
      </c>
      <c r="C15" s="1043" t="s">
        <v>670</v>
      </c>
      <c r="D15" s="1054"/>
      <c r="E15" s="1045"/>
      <c r="F15" s="1043">
        <f t="shared" si="0"/>
        <v>0</v>
      </c>
      <c r="G15" s="1044"/>
      <c r="H15" s="1045"/>
      <c r="I15" s="1043">
        <f t="shared" si="1"/>
        <v>0</v>
      </c>
      <c r="J15" s="1046">
        <f>20091100-34818+10858846</f>
        <v>30915128</v>
      </c>
      <c r="K15" s="1047"/>
      <c r="L15" s="1043">
        <f t="shared" si="2"/>
        <v>30915128</v>
      </c>
      <c r="M15" s="1048">
        <f t="shared" si="3"/>
        <v>30915128</v>
      </c>
    </row>
    <row r="16" spans="1:13" ht="29.25" customHeight="1">
      <c r="A16" s="1049" t="s">
        <v>372</v>
      </c>
      <c r="B16" s="1050" t="s">
        <v>739</v>
      </c>
      <c r="C16" s="1051" t="s">
        <v>750</v>
      </c>
      <c r="D16" s="1041">
        <f>10633011+11080125+1080288+4347090+1059890+92742</f>
        <v>28293146</v>
      </c>
      <c r="E16" s="1042">
        <f>289870+138684</f>
        <v>428554</v>
      </c>
      <c r="F16" s="1043">
        <f t="shared" si="0"/>
        <v>28721700</v>
      </c>
      <c r="G16" s="1044"/>
      <c r="H16" s="1045"/>
      <c r="I16" s="1043">
        <f t="shared" si="1"/>
        <v>0</v>
      </c>
      <c r="J16" s="1046"/>
      <c r="K16" s="1047"/>
      <c r="L16" s="1043">
        <f t="shared" si="2"/>
        <v>0</v>
      </c>
      <c r="M16" s="1048">
        <f t="shared" si="3"/>
        <v>28721700</v>
      </c>
    </row>
    <row r="17" spans="1:13" ht="29.25" customHeight="1">
      <c r="A17" s="1049" t="s">
        <v>373</v>
      </c>
      <c r="B17" s="1050" t="s">
        <v>740</v>
      </c>
      <c r="C17" s="1051" t="s">
        <v>750</v>
      </c>
      <c r="D17" s="1041">
        <f>12480966+36347085+3543768+2730247+3179670+278226</f>
        <v>58559962</v>
      </c>
      <c r="E17" s="1045"/>
      <c r="F17" s="1043">
        <f t="shared" si="0"/>
        <v>58559962</v>
      </c>
      <c r="G17" s="1044"/>
      <c r="H17" s="1045"/>
      <c r="I17" s="1043">
        <f t="shared" si="1"/>
        <v>0</v>
      </c>
      <c r="J17" s="1046"/>
      <c r="K17" s="1047"/>
      <c r="L17" s="1043">
        <f t="shared" si="2"/>
        <v>0</v>
      </c>
      <c r="M17" s="1048">
        <f t="shared" si="3"/>
        <v>58559962</v>
      </c>
    </row>
    <row r="18" spans="1:13" ht="21.75" customHeight="1">
      <c r="A18" s="1049" t="s">
        <v>374</v>
      </c>
      <c r="B18" s="1055" t="s">
        <v>608</v>
      </c>
      <c r="C18" s="1051" t="s">
        <v>671</v>
      </c>
      <c r="D18" s="1061"/>
      <c r="E18" s="1062">
        <v>12223750</v>
      </c>
      <c r="F18" s="1043">
        <f t="shared" si="0"/>
        <v>12223750</v>
      </c>
      <c r="G18" s="1058"/>
      <c r="H18" s="1062"/>
      <c r="I18" s="1043">
        <f t="shared" si="1"/>
        <v>0</v>
      </c>
      <c r="J18" s="1059"/>
      <c r="K18" s="1060"/>
      <c r="L18" s="1043">
        <f t="shared" si="2"/>
        <v>0</v>
      </c>
      <c r="M18" s="1048">
        <f t="shared" si="3"/>
        <v>12223750</v>
      </c>
    </row>
    <row r="19" spans="1:13" ht="29.25" customHeight="1">
      <c r="A19" s="1063" t="s">
        <v>375</v>
      </c>
      <c r="B19" s="1050" t="s">
        <v>307</v>
      </c>
      <c r="C19" s="1051" t="s">
        <v>671</v>
      </c>
      <c r="D19" s="1041">
        <f>15352369+1</f>
        <v>15352370</v>
      </c>
      <c r="E19" s="1042"/>
      <c r="F19" s="1043">
        <f t="shared" si="0"/>
        <v>15352370</v>
      </c>
      <c r="G19" s="1044"/>
      <c r="H19" s="1045"/>
      <c r="I19" s="1043">
        <f t="shared" si="1"/>
        <v>0</v>
      </c>
      <c r="J19" s="1046"/>
      <c r="K19" s="1047"/>
      <c r="L19" s="1043">
        <f t="shared" si="2"/>
        <v>0</v>
      </c>
      <c r="M19" s="1048">
        <f t="shared" si="3"/>
        <v>15352370</v>
      </c>
    </row>
    <row r="20" spans="1:13" ht="29.25" customHeight="1">
      <c r="A20" s="1049" t="s">
        <v>376</v>
      </c>
      <c r="B20" s="1050" t="s">
        <v>34</v>
      </c>
      <c r="C20" s="1051" t="s">
        <v>672</v>
      </c>
      <c r="D20" s="1041">
        <f>1000000+1208400+40000</f>
        <v>2248400</v>
      </c>
      <c r="E20" s="1042">
        <v>106961800</v>
      </c>
      <c r="F20" s="1043">
        <f t="shared" si="0"/>
        <v>109210200</v>
      </c>
      <c r="G20" s="1044"/>
      <c r="H20" s="1045"/>
      <c r="I20" s="1043">
        <f t="shared" si="1"/>
        <v>0</v>
      </c>
      <c r="J20" s="1046"/>
      <c r="K20" s="1047"/>
      <c r="L20" s="1043">
        <f t="shared" si="2"/>
        <v>0</v>
      </c>
      <c r="M20" s="1048">
        <f t="shared" si="3"/>
        <v>109210200</v>
      </c>
    </row>
    <row r="21" spans="1:13" ht="29.25" customHeight="1">
      <c r="A21" s="1049" t="s">
        <v>377</v>
      </c>
      <c r="B21" s="1050" t="s">
        <v>824</v>
      </c>
      <c r="C21" s="1051"/>
      <c r="D21" s="1041"/>
      <c r="E21" s="1042"/>
      <c r="F21" s="1043">
        <f t="shared" si="0"/>
        <v>0</v>
      </c>
      <c r="G21" s="1052">
        <f>40000</f>
        <v>40000</v>
      </c>
      <c r="H21" s="1042">
        <v>196302400</v>
      </c>
      <c r="I21" s="1043">
        <f t="shared" si="1"/>
        <v>196342400</v>
      </c>
      <c r="J21" s="1046"/>
      <c r="K21" s="1047"/>
      <c r="L21" s="1043">
        <f t="shared" si="2"/>
        <v>0</v>
      </c>
      <c r="M21" s="1048">
        <f t="shared" si="3"/>
        <v>196342400</v>
      </c>
    </row>
    <row r="22" spans="1:13" ht="30.75" customHeight="1">
      <c r="A22" s="1049" t="s">
        <v>378</v>
      </c>
      <c r="B22" s="1050" t="s">
        <v>18</v>
      </c>
      <c r="C22" s="1051" t="s">
        <v>673</v>
      </c>
      <c r="D22" s="1056">
        <v>2827348</v>
      </c>
      <c r="E22" s="1057"/>
      <c r="F22" s="1043">
        <f t="shared" si="0"/>
        <v>2827348</v>
      </c>
      <c r="G22" s="1058"/>
      <c r="H22" s="1057"/>
      <c r="I22" s="1043">
        <f t="shared" si="1"/>
        <v>0</v>
      </c>
      <c r="J22" s="1059"/>
      <c r="K22" s="1060"/>
      <c r="L22" s="1043">
        <f t="shared" si="2"/>
        <v>0</v>
      </c>
      <c r="M22" s="1048">
        <f t="shared" si="3"/>
        <v>2827348</v>
      </c>
    </row>
    <row r="23" spans="1:13" ht="31.5" customHeight="1">
      <c r="A23" s="1049" t="s">
        <v>379</v>
      </c>
      <c r="B23" s="1050" t="s">
        <v>342</v>
      </c>
      <c r="C23" s="1051" t="s">
        <v>674</v>
      </c>
      <c r="D23" s="1056">
        <f>10052423+1</f>
        <v>10052424</v>
      </c>
      <c r="E23" s="1057"/>
      <c r="F23" s="1043">
        <f t="shared" si="0"/>
        <v>10052424</v>
      </c>
      <c r="G23" s="1058"/>
      <c r="H23" s="1057"/>
      <c r="I23" s="1043">
        <f t="shared" si="1"/>
        <v>0</v>
      </c>
      <c r="J23" s="1059"/>
      <c r="K23" s="1060"/>
      <c r="L23" s="1043">
        <f t="shared" si="2"/>
        <v>0</v>
      </c>
      <c r="M23" s="1048">
        <f t="shared" si="3"/>
        <v>10052424</v>
      </c>
    </row>
    <row r="24" spans="1:13" ht="31.5" customHeight="1">
      <c r="A24" s="1049" t="s">
        <v>380</v>
      </c>
      <c r="B24" s="1050" t="s">
        <v>825</v>
      </c>
      <c r="C24" s="1051" t="s">
        <v>887</v>
      </c>
      <c r="D24" s="1056">
        <f>5440979+22660742</f>
        <v>28101721</v>
      </c>
      <c r="E24" s="1062">
        <f>5000000+5000000</f>
        <v>10000000</v>
      </c>
      <c r="F24" s="1043">
        <f t="shared" si="0"/>
        <v>38101721</v>
      </c>
      <c r="G24" s="1058"/>
      <c r="H24" s="1057"/>
      <c r="I24" s="1043">
        <f t="shared" si="1"/>
        <v>0</v>
      </c>
      <c r="J24" s="1059"/>
      <c r="K24" s="1060"/>
      <c r="L24" s="1043">
        <f t="shared" si="2"/>
        <v>0</v>
      </c>
      <c r="M24" s="1048">
        <f t="shared" si="3"/>
        <v>38101721</v>
      </c>
    </row>
    <row r="25" spans="1:13" ht="31.5" customHeight="1">
      <c r="A25" s="1049" t="s">
        <v>381</v>
      </c>
      <c r="B25" s="1050" t="s">
        <v>826</v>
      </c>
      <c r="C25" s="1051" t="s">
        <v>672</v>
      </c>
      <c r="D25" s="1056">
        <f>40000</f>
        <v>40000</v>
      </c>
      <c r="E25" s="1062">
        <f>47550000+829010</f>
        <v>48379010</v>
      </c>
      <c r="F25" s="1043">
        <f t="shared" si="0"/>
        <v>48419010</v>
      </c>
      <c r="G25" s="1058"/>
      <c r="H25" s="1057"/>
      <c r="I25" s="1043">
        <f t="shared" si="1"/>
        <v>0</v>
      </c>
      <c r="J25" s="1059"/>
      <c r="K25" s="1060"/>
      <c r="L25" s="1043">
        <f t="shared" si="2"/>
        <v>0</v>
      </c>
      <c r="M25" s="1048">
        <f t="shared" si="3"/>
        <v>48419010</v>
      </c>
    </row>
    <row r="26" spans="1:13" ht="31.5" customHeight="1">
      <c r="A26" s="609" t="s">
        <v>382</v>
      </c>
      <c r="B26" s="1050" t="s">
        <v>982</v>
      </c>
      <c r="C26" s="1051"/>
      <c r="D26" s="1056"/>
      <c r="E26" s="1062"/>
      <c r="F26" s="1043">
        <f t="shared" si="0"/>
        <v>0</v>
      </c>
      <c r="G26" s="1064">
        <f>812250+158389+296854</f>
        <v>1267493</v>
      </c>
      <c r="H26" s="1062">
        <f>779383</f>
        <v>779383</v>
      </c>
      <c r="I26" s="1043">
        <f t="shared" si="1"/>
        <v>2046876</v>
      </c>
      <c r="J26" s="1059"/>
      <c r="K26" s="1060"/>
      <c r="L26" s="1043">
        <f t="shared" si="2"/>
        <v>0</v>
      </c>
      <c r="M26" s="1048">
        <f t="shared" si="3"/>
        <v>2046876</v>
      </c>
    </row>
    <row r="27" spans="1:13" ht="31.5" customHeight="1">
      <c r="A27" s="1049" t="s">
        <v>383</v>
      </c>
      <c r="B27" s="1050" t="s">
        <v>827</v>
      </c>
      <c r="C27" s="1065" t="s">
        <v>888</v>
      </c>
      <c r="D27" s="1056">
        <f>40000</f>
        <v>40000</v>
      </c>
      <c r="E27" s="1062">
        <f>104006598+1000000</f>
        <v>105006598</v>
      </c>
      <c r="F27" s="1043">
        <f t="shared" si="0"/>
        <v>105046598</v>
      </c>
      <c r="G27" s="1064">
        <f>516434</f>
        <v>516434</v>
      </c>
      <c r="H27" s="1062">
        <v>7085832</v>
      </c>
      <c r="I27" s="1043">
        <f t="shared" si="1"/>
        <v>7602266</v>
      </c>
      <c r="J27" s="1059"/>
      <c r="K27" s="1060"/>
      <c r="L27" s="1043">
        <f t="shared" si="2"/>
        <v>0</v>
      </c>
      <c r="M27" s="1048">
        <f t="shared" si="3"/>
        <v>112648864</v>
      </c>
    </row>
    <row r="28" spans="1:13" ht="21.75" customHeight="1">
      <c r="A28" s="1049" t="s">
        <v>384</v>
      </c>
      <c r="B28" s="1055" t="s">
        <v>742</v>
      </c>
      <c r="C28" s="1065" t="s">
        <v>751</v>
      </c>
      <c r="D28" s="1056"/>
      <c r="E28" s="1062">
        <v>6462419</v>
      </c>
      <c r="F28" s="1043">
        <f t="shared" si="0"/>
        <v>6462419</v>
      </c>
      <c r="G28" s="1058"/>
      <c r="H28" s="1057"/>
      <c r="I28" s="1043">
        <f t="shared" si="1"/>
        <v>0</v>
      </c>
      <c r="J28" s="1059"/>
      <c r="K28" s="1060"/>
      <c r="L28" s="1043">
        <f t="shared" si="2"/>
        <v>0</v>
      </c>
      <c r="M28" s="1048">
        <f t="shared" si="3"/>
        <v>6462419</v>
      </c>
    </row>
    <row r="29" spans="1:13" ht="21.75" customHeight="1">
      <c r="A29" s="1049" t="s">
        <v>385</v>
      </c>
      <c r="B29" s="1055" t="s">
        <v>345</v>
      </c>
      <c r="C29" s="1065" t="s">
        <v>671</v>
      </c>
      <c r="D29" s="1056">
        <f>23398480+2794000</f>
        <v>26192480</v>
      </c>
      <c r="E29" s="1057"/>
      <c r="F29" s="1043">
        <f t="shared" si="0"/>
        <v>26192480</v>
      </c>
      <c r="G29" s="1058"/>
      <c r="H29" s="1057"/>
      <c r="I29" s="1043">
        <f t="shared" si="1"/>
        <v>0</v>
      </c>
      <c r="J29" s="1059"/>
      <c r="K29" s="1060"/>
      <c r="L29" s="1043">
        <f t="shared" si="2"/>
        <v>0</v>
      </c>
      <c r="M29" s="1048">
        <f t="shared" si="3"/>
        <v>26192480</v>
      </c>
    </row>
    <row r="30" spans="1:13" ht="21.75" customHeight="1">
      <c r="A30" s="1049" t="s">
        <v>386</v>
      </c>
      <c r="B30" s="1055" t="s">
        <v>343</v>
      </c>
      <c r="C30" s="1065" t="s">
        <v>671</v>
      </c>
      <c r="D30" s="1056">
        <v>29975000</v>
      </c>
      <c r="E30" s="1062"/>
      <c r="F30" s="1043">
        <f t="shared" si="0"/>
        <v>29975000</v>
      </c>
      <c r="G30" s="1058"/>
      <c r="H30" s="1057"/>
      <c r="I30" s="1043">
        <f t="shared" si="1"/>
        <v>0</v>
      </c>
      <c r="J30" s="1059"/>
      <c r="K30" s="1060"/>
      <c r="L30" s="1043">
        <f t="shared" si="2"/>
        <v>0</v>
      </c>
      <c r="M30" s="1048">
        <f t="shared" si="3"/>
        <v>29975000</v>
      </c>
    </row>
    <row r="31" spans="1:13" ht="22.5" customHeight="1">
      <c r="A31" s="1049" t="s">
        <v>455</v>
      </c>
      <c r="B31" s="1055" t="s">
        <v>50</v>
      </c>
      <c r="C31" s="1065" t="s">
        <v>675</v>
      </c>
      <c r="D31" s="1056">
        <f>25086204-500000+650000+180000+220000</f>
        <v>25636204</v>
      </c>
      <c r="E31" s="1062">
        <v>6823000</v>
      </c>
      <c r="F31" s="1043">
        <f t="shared" si="0"/>
        <v>32459204</v>
      </c>
      <c r="G31" s="1064">
        <v>1468526</v>
      </c>
      <c r="H31" s="1057"/>
      <c r="I31" s="1043">
        <f t="shared" si="1"/>
        <v>1468526</v>
      </c>
      <c r="J31" s="1059"/>
      <c r="K31" s="1060"/>
      <c r="L31" s="1043">
        <f t="shared" si="2"/>
        <v>0</v>
      </c>
      <c r="M31" s="1048">
        <f t="shared" si="3"/>
        <v>33927730</v>
      </c>
    </row>
    <row r="32" spans="1:13" ht="23.25" customHeight="1">
      <c r="A32" s="1049" t="s">
        <v>456</v>
      </c>
      <c r="B32" s="1055" t="s">
        <v>347</v>
      </c>
      <c r="C32" s="1065" t="s">
        <v>676</v>
      </c>
      <c r="D32" s="1056">
        <v>360000</v>
      </c>
      <c r="E32" s="1057"/>
      <c r="F32" s="1043">
        <f t="shared" si="0"/>
        <v>360000</v>
      </c>
      <c r="G32" s="1058"/>
      <c r="H32" s="1057"/>
      <c r="I32" s="1043">
        <f t="shared" si="1"/>
        <v>0</v>
      </c>
      <c r="J32" s="1059"/>
      <c r="K32" s="1060"/>
      <c r="L32" s="1043">
        <f t="shared" si="2"/>
        <v>0</v>
      </c>
      <c r="M32" s="1048">
        <f t="shared" si="3"/>
        <v>360000</v>
      </c>
    </row>
    <row r="33" spans="1:13" ht="22.5" customHeight="1">
      <c r="A33" s="1049" t="s">
        <v>457</v>
      </c>
      <c r="B33" s="1055" t="s">
        <v>348</v>
      </c>
      <c r="C33" s="1065" t="s">
        <v>676</v>
      </c>
      <c r="D33" s="1056">
        <f>10148541+27436735-12000000+46053+4844-4844</f>
        <v>25631329</v>
      </c>
      <c r="E33" s="1062"/>
      <c r="F33" s="1043">
        <f t="shared" si="0"/>
        <v>25631329</v>
      </c>
      <c r="G33" s="1058"/>
      <c r="H33" s="1057"/>
      <c r="I33" s="1043">
        <f t="shared" si="1"/>
        <v>0</v>
      </c>
      <c r="J33" s="1059"/>
      <c r="K33" s="1060"/>
      <c r="L33" s="1043">
        <f t="shared" si="2"/>
        <v>0</v>
      </c>
      <c r="M33" s="1048">
        <f t="shared" si="3"/>
        <v>25631329</v>
      </c>
    </row>
    <row r="34" spans="1:13" ht="22.5" customHeight="1">
      <c r="A34" s="1049" t="s">
        <v>429</v>
      </c>
      <c r="B34" s="1055" t="s">
        <v>349</v>
      </c>
      <c r="C34" s="1065" t="s">
        <v>676</v>
      </c>
      <c r="D34" s="1056">
        <f>120000+30000</f>
        <v>150000</v>
      </c>
      <c r="E34" s="1057"/>
      <c r="F34" s="1043">
        <f t="shared" si="0"/>
        <v>150000</v>
      </c>
      <c r="G34" s="1058"/>
      <c r="H34" s="1057"/>
      <c r="I34" s="1043">
        <f t="shared" si="1"/>
        <v>0</v>
      </c>
      <c r="J34" s="1059"/>
      <c r="K34" s="1060"/>
      <c r="L34" s="1043">
        <f t="shared" si="2"/>
        <v>0</v>
      </c>
      <c r="M34" s="1048">
        <f t="shared" si="3"/>
        <v>150000</v>
      </c>
    </row>
    <row r="35" spans="1:13" ht="29.25" customHeight="1">
      <c r="A35" s="1049" t="s">
        <v>458</v>
      </c>
      <c r="B35" s="1050" t="s">
        <v>684</v>
      </c>
      <c r="C35" s="1051" t="s">
        <v>676</v>
      </c>
      <c r="D35" s="1056">
        <f>24199734+254000+2193899+383932+565720+99001</f>
        <v>27696286</v>
      </c>
      <c r="E35" s="1062"/>
      <c r="F35" s="1043">
        <f t="shared" si="0"/>
        <v>27696286</v>
      </c>
      <c r="G35" s="1058"/>
      <c r="H35" s="1057"/>
      <c r="I35" s="1043">
        <f t="shared" si="1"/>
        <v>0</v>
      </c>
      <c r="J35" s="1059"/>
      <c r="K35" s="1060"/>
      <c r="L35" s="1043">
        <f t="shared" si="2"/>
        <v>0</v>
      </c>
      <c r="M35" s="1048">
        <f t="shared" si="3"/>
        <v>27696286</v>
      </c>
    </row>
    <row r="36" spans="1:13" ht="29.25" customHeight="1">
      <c r="A36" s="1049" t="s">
        <v>387</v>
      </c>
      <c r="B36" s="1066" t="s">
        <v>49</v>
      </c>
      <c r="C36" s="1043" t="s">
        <v>677</v>
      </c>
      <c r="D36" s="1056">
        <v>18713000</v>
      </c>
      <c r="E36" s="1057"/>
      <c r="F36" s="1043">
        <f t="shared" si="0"/>
        <v>18713000</v>
      </c>
      <c r="G36" s="418"/>
      <c r="H36" s="1062"/>
      <c r="I36" s="1043">
        <f t="shared" si="1"/>
        <v>0</v>
      </c>
      <c r="J36" s="1059"/>
      <c r="K36" s="1060"/>
      <c r="L36" s="1043">
        <f t="shared" si="2"/>
        <v>0</v>
      </c>
      <c r="M36" s="1048">
        <f t="shared" si="3"/>
        <v>18713000</v>
      </c>
    </row>
    <row r="37" spans="1:13" ht="29.25" customHeight="1">
      <c r="A37" s="1049" t="s">
        <v>388</v>
      </c>
      <c r="B37" s="1066" t="s">
        <v>892</v>
      </c>
      <c r="C37" s="1043"/>
      <c r="D37" s="1056"/>
      <c r="E37" s="1057"/>
      <c r="F37" s="1043">
        <f t="shared" si="0"/>
        <v>0</v>
      </c>
      <c r="G37" s="530">
        <v>15000</v>
      </c>
      <c r="H37" s="1062"/>
      <c r="I37" s="1043">
        <f t="shared" si="1"/>
        <v>15000</v>
      </c>
      <c r="J37" s="1059"/>
      <c r="K37" s="1060"/>
      <c r="L37" s="1043">
        <f t="shared" si="2"/>
        <v>0</v>
      </c>
      <c r="M37" s="1048">
        <f t="shared" si="3"/>
        <v>15000</v>
      </c>
    </row>
    <row r="38" spans="1:13" ht="30.75" customHeight="1">
      <c r="A38" s="1049" t="s">
        <v>389</v>
      </c>
      <c r="B38" s="1067" t="s">
        <v>577</v>
      </c>
      <c r="C38" s="1043"/>
      <c r="D38" s="1061"/>
      <c r="E38" s="1057"/>
      <c r="F38" s="1043">
        <f t="shared" si="0"/>
        <v>0</v>
      </c>
      <c r="G38" s="1068">
        <v>1823311</v>
      </c>
      <c r="H38" s="1062">
        <v>700000</v>
      </c>
      <c r="I38" s="1043">
        <f t="shared" si="1"/>
        <v>2523311</v>
      </c>
      <c r="J38" s="1059"/>
      <c r="K38" s="1060"/>
      <c r="L38" s="1043">
        <f t="shared" si="2"/>
        <v>0</v>
      </c>
      <c r="M38" s="1048">
        <f t="shared" si="3"/>
        <v>2523311</v>
      </c>
    </row>
    <row r="39" spans="1:13" ht="21.75" customHeight="1">
      <c r="A39" s="1049" t="s">
        <v>459</v>
      </c>
      <c r="B39" s="1055" t="s">
        <v>51</v>
      </c>
      <c r="C39" s="1065"/>
      <c r="D39" s="1056"/>
      <c r="E39" s="1057"/>
      <c r="F39" s="1043">
        <f t="shared" si="0"/>
        <v>0</v>
      </c>
      <c r="G39" s="1064">
        <v>49530</v>
      </c>
      <c r="H39" s="1057"/>
      <c r="I39" s="1043">
        <f t="shared" si="1"/>
        <v>49530</v>
      </c>
      <c r="J39" s="1059"/>
      <c r="K39" s="1060"/>
      <c r="L39" s="1043">
        <f t="shared" si="2"/>
        <v>0</v>
      </c>
      <c r="M39" s="1048">
        <f t="shared" si="3"/>
        <v>49530</v>
      </c>
    </row>
    <row r="40" spans="1:13" ht="23.25" customHeight="1">
      <c r="A40" s="1049" t="s">
        <v>390</v>
      </c>
      <c r="B40" s="1050" t="s">
        <v>893</v>
      </c>
      <c r="C40" s="171"/>
      <c r="D40" s="1069"/>
      <c r="E40" s="1070"/>
      <c r="F40" s="1043">
        <f t="shared" si="0"/>
        <v>0</v>
      </c>
      <c r="G40" s="1071">
        <f>19772715+55</f>
        <v>19772770</v>
      </c>
      <c r="H40" s="1072">
        <f>55-55+1578000</f>
        <v>1578000</v>
      </c>
      <c r="I40" s="1043">
        <f t="shared" si="1"/>
        <v>21350770</v>
      </c>
      <c r="J40" s="1059"/>
      <c r="K40" s="1060"/>
      <c r="L40" s="1043">
        <f t="shared" si="2"/>
        <v>0</v>
      </c>
      <c r="M40" s="1048">
        <f t="shared" si="3"/>
        <v>21350770</v>
      </c>
    </row>
    <row r="41" spans="1:13" ht="23.25" customHeight="1">
      <c r="A41" s="1049" t="s">
        <v>408</v>
      </c>
      <c r="B41" s="1050" t="s">
        <v>830</v>
      </c>
      <c r="C41" s="1043" t="s">
        <v>683</v>
      </c>
      <c r="D41" s="1069"/>
      <c r="E41" s="1072">
        <f>19957013+1600000+29999998</f>
        <v>51557011</v>
      </c>
      <c r="F41" s="1043">
        <f t="shared" si="0"/>
        <v>51557011</v>
      </c>
      <c r="G41" s="1071"/>
      <c r="H41" s="1070"/>
      <c r="I41" s="1043">
        <f t="shared" si="1"/>
        <v>0</v>
      </c>
      <c r="J41" s="1059"/>
      <c r="K41" s="1060"/>
      <c r="L41" s="1043">
        <f t="shared" si="2"/>
        <v>0</v>
      </c>
      <c r="M41" s="1048">
        <f t="shared" si="3"/>
        <v>51557011</v>
      </c>
    </row>
    <row r="42" spans="1:13" ht="23.25" customHeight="1">
      <c r="A42" s="1049" t="s">
        <v>460</v>
      </c>
      <c r="B42" s="1050" t="s">
        <v>831</v>
      </c>
      <c r="C42" s="171"/>
      <c r="D42" s="1069"/>
      <c r="E42" s="1072"/>
      <c r="F42" s="1043">
        <f t="shared" si="0"/>
        <v>0</v>
      </c>
      <c r="G42" s="1071">
        <v>12971925</v>
      </c>
      <c r="H42" s="1070"/>
      <c r="I42" s="1043">
        <f t="shared" si="1"/>
        <v>12971925</v>
      </c>
      <c r="J42" s="1059"/>
      <c r="K42" s="1060"/>
      <c r="L42" s="1043">
        <f t="shared" si="2"/>
        <v>0</v>
      </c>
      <c r="M42" s="1048">
        <f t="shared" si="3"/>
        <v>12971925</v>
      </c>
    </row>
    <row r="43" spans="1:13" ht="24" customHeight="1">
      <c r="A43" s="1049" t="s">
        <v>461</v>
      </c>
      <c r="B43" s="1050" t="s">
        <v>615</v>
      </c>
      <c r="C43" s="1073" t="s">
        <v>685</v>
      </c>
      <c r="D43" s="1074">
        <f>58023789+300000</f>
        <v>58323789</v>
      </c>
      <c r="E43" s="1072">
        <f>620000+14850</f>
        <v>634850</v>
      </c>
      <c r="F43" s="1043">
        <f t="shared" si="0"/>
        <v>58958639</v>
      </c>
      <c r="G43" s="1075"/>
      <c r="H43" s="1070"/>
      <c r="I43" s="1043">
        <f t="shared" si="1"/>
        <v>0</v>
      </c>
      <c r="J43" s="1059"/>
      <c r="K43" s="1060"/>
      <c r="L43" s="1043">
        <f t="shared" si="2"/>
        <v>0</v>
      </c>
      <c r="M43" s="1048">
        <f t="shared" si="3"/>
        <v>58958639</v>
      </c>
    </row>
    <row r="44" spans="1:13" ht="24">
      <c r="A44" s="1049" t="s">
        <v>841</v>
      </c>
      <c r="B44" s="1050" t="s">
        <v>574</v>
      </c>
      <c r="C44" s="1051"/>
      <c r="D44" s="1069"/>
      <c r="E44" s="1070"/>
      <c r="F44" s="1043">
        <f>SUM(D44:E44)</f>
        <v>0</v>
      </c>
      <c r="G44" s="1071">
        <v>117194</v>
      </c>
      <c r="H44" s="1070"/>
      <c r="I44" s="1043">
        <f>SUM(G44:H44)</f>
        <v>117194</v>
      </c>
      <c r="J44" s="1059"/>
      <c r="K44" s="1060"/>
      <c r="L44" s="1043">
        <f>SUM(J44:K44)</f>
        <v>0</v>
      </c>
      <c r="M44" s="1048">
        <f>SUM(F44+I44+L44)</f>
        <v>117194</v>
      </c>
    </row>
    <row r="45" spans="1:13" ht="21.75" customHeight="1">
      <c r="A45" s="1049" t="s">
        <v>842</v>
      </c>
      <c r="B45" s="1055" t="s">
        <v>664</v>
      </c>
      <c r="C45" s="1065"/>
      <c r="D45" s="1061"/>
      <c r="E45" s="1057"/>
      <c r="F45" s="1043">
        <f t="shared" si="0"/>
        <v>0</v>
      </c>
      <c r="G45" s="1064">
        <v>34022000</v>
      </c>
      <c r="H45" s="1057"/>
      <c r="I45" s="1043">
        <f t="shared" si="1"/>
        <v>34022000</v>
      </c>
      <c r="J45" s="1059"/>
      <c r="K45" s="1060"/>
      <c r="L45" s="1043">
        <f t="shared" si="2"/>
        <v>0</v>
      </c>
      <c r="M45" s="1048">
        <f t="shared" si="3"/>
        <v>34022000</v>
      </c>
    </row>
    <row r="46" spans="1:13" ht="21.75" customHeight="1">
      <c r="A46" s="1049" t="s">
        <v>843</v>
      </c>
      <c r="B46" s="1055" t="s">
        <v>832</v>
      </c>
      <c r="C46" s="1065" t="s">
        <v>894</v>
      </c>
      <c r="D46" s="1056">
        <v>4417000</v>
      </c>
      <c r="E46" s="1057"/>
      <c r="F46" s="1043">
        <f>SUM(D46:E46)</f>
        <v>4417000</v>
      </c>
      <c r="G46" s="1064"/>
      <c r="H46" s="1057"/>
      <c r="I46" s="1043">
        <f>SUM(G46:H46)</f>
        <v>0</v>
      </c>
      <c r="J46" s="1059"/>
      <c r="K46" s="1060"/>
      <c r="L46" s="1043">
        <f t="shared" si="2"/>
        <v>0</v>
      </c>
      <c r="M46" s="1048">
        <f>SUM(F46+I46+L46)</f>
        <v>4417000</v>
      </c>
    </row>
    <row r="47" spans="1:13" ht="21.75" customHeight="1">
      <c r="A47" s="1049" t="s">
        <v>844</v>
      </c>
      <c r="B47" s="1055" t="s">
        <v>617</v>
      </c>
      <c r="C47" s="1065" t="s">
        <v>690</v>
      </c>
      <c r="D47" s="1056">
        <v>1778400</v>
      </c>
      <c r="E47" s="1057"/>
      <c r="F47" s="1043">
        <f>SUM(D47:E47)</f>
        <v>1778400</v>
      </c>
      <c r="G47" s="1058"/>
      <c r="H47" s="1057"/>
      <c r="I47" s="1043">
        <f>SUM(G47:H47)</f>
        <v>0</v>
      </c>
      <c r="J47" s="1059"/>
      <c r="K47" s="1060"/>
      <c r="L47" s="1043">
        <f t="shared" si="2"/>
        <v>0</v>
      </c>
      <c r="M47" s="1048">
        <f>SUM(F47+I47+L47)</f>
        <v>1778400</v>
      </c>
    </row>
    <row r="48" spans="1:13" ht="25.5" customHeight="1">
      <c r="A48" s="1049" t="s">
        <v>845</v>
      </c>
      <c r="B48" s="1055" t="s">
        <v>743</v>
      </c>
      <c r="C48" s="1065"/>
      <c r="D48" s="1061"/>
      <c r="E48" s="1057"/>
      <c r="F48" s="1043">
        <f t="shared" si="0"/>
        <v>0</v>
      </c>
      <c r="G48" s="1064">
        <f>58227996-338000-65910</f>
        <v>57824086</v>
      </c>
      <c r="H48" s="1062">
        <v>11411381</v>
      </c>
      <c r="I48" s="1043">
        <f t="shared" si="1"/>
        <v>69235467</v>
      </c>
      <c r="J48" s="1059"/>
      <c r="K48" s="1060"/>
      <c r="L48" s="1043">
        <f t="shared" si="2"/>
        <v>0</v>
      </c>
      <c r="M48" s="1048">
        <f t="shared" si="3"/>
        <v>69235467</v>
      </c>
    </row>
    <row r="49" spans="1:13" ht="25.5" customHeight="1">
      <c r="A49" s="1049" t="s">
        <v>846</v>
      </c>
      <c r="B49" s="1055" t="s">
        <v>895</v>
      </c>
      <c r="C49" s="1043" t="s">
        <v>897</v>
      </c>
      <c r="D49" s="1061"/>
      <c r="E49" s="1057"/>
      <c r="F49" s="1043">
        <f t="shared" si="0"/>
        <v>0</v>
      </c>
      <c r="G49" s="1064">
        <v>3047000</v>
      </c>
      <c r="H49" s="1062"/>
      <c r="I49" s="1043">
        <f t="shared" si="1"/>
        <v>3047000</v>
      </c>
      <c r="J49" s="1059"/>
      <c r="K49" s="1060"/>
      <c r="L49" s="1043">
        <f t="shared" si="2"/>
        <v>0</v>
      </c>
      <c r="M49" s="1048">
        <f t="shared" si="3"/>
        <v>3047000</v>
      </c>
    </row>
    <row r="50" spans="1:13" ht="21.75" customHeight="1">
      <c r="A50" s="1049" t="s">
        <v>847</v>
      </c>
      <c r="B50" s="1055" t="s">
        <v>896</v>
      </c>
      <c r="C50" s="1065" t="s">
        <v>897</v>
      </c>
      <c r="D50" s="1056"/>
      <c r="E50" s="1057"/>
      <c r="F50" s="1043">
        <f t="shared" si="0"/>
        <v>0</v>
      </c>
      <c r="G50" s="1058">
        <v>4852000</v>
      </c>
      <c r="H50" s="1057"/>
      <c r="I50" s="1043">
        <f t="shared" si="1"/>
        <v>4852000</v>
      </c>
      <c r="J50" s="1059"/>
      <c r="K50" s="1060"/>
      <c r="L50" s="1043">
        <f t="shared" si="2"/>
        <v>0</v>
      </c>
      <c r="M50" s="1048">
        <f t="shared" si="3"/>
        <v>4852000</v>
      </c>
    </row>
    <row r="51" spans="1:13" ht="21.75" customHeight="1">
      <c r="A51" s="1049" t="s">
        <v>848</v>
      </c>
      <c r="B51" s="1055" t="s">
        <v>428</v>
      </c>
      <c r="C51" s="1065" t="s">
        <v>680</v>
      </c>
      <c r="D51" s="1056">
        <v>6560000</v>
      </c>
      <c r="E51" s="1057"/>
      <c r="F51" s="1043">
        <f t="shared" si="0"/>
        <v>6560000</v>
      </c>
      <c r="G51" s="1058"/>
      <c r="H51" s="1057"/>
      <c r="I51" s="1043">
        <f t="shared" si="1"/>
        <v>0</v>
      </c>
      <c r="J51" s="1059"/>
      <c r="K51" s="1060"/>
      <c r="L51" s="1043">
        <f t="shared" si="2"/>
        <v>0</v>
      </c>
      <c r="M51" s="1048">
        <f t="shared" si="3"/>
        <v>6560000</v>
      </c>
    </row>
    <row r="52" spans="1:13" ht="21.75" customHeight="1">
      <c r="A52" s="1049" t="s">
        <v>891</v>
      </c>
      <c r="B52" s="1055" t="s">
        <v>838</v>
      </c>
      <c r="C52" s="1065" t="s">
        <v>898</v>
      </c>
      <c r="D52" s="1056">
        <v>2738000</v>
      </c>
      <c r="E52" s="1057"/>
      <c r="F52" s="1043">
        <f t="shared" si="0"/>
        <v>2738000</v>
      </c>
      <c r="G52" s="1058"/>
      <c r="H52" s="1057"/>
      <c r="I52" s="1043">
        <f t="shared" si="1"/>
        <v>0</v>
      </c>
      <c r="J52" s="1059"/>
      <c r="K52" s="1060"/>
      <c r="L52" s="1043">
        <f t="shared" si="2"/>
        <v>0</v>
      </c>
      <c r="M52" s="1048">
        <f t="shared" si="3"/>
        <v>2738000</v>
      </c>
    </row>
    <row r="53" spans="1:13" ht="26.25" customHeight="1">
      <c r="A53" s="1049" t="s">
        <v>899</v>
      </c>
      <c r="B53" s="1050" t="s">
        <v>578</v>
      </c>
      <c r="C53" s="1043" t="s">
        <v>686</v>
      </c>
      <c r="D53" s="1056">
        <f>3804900+8004000</f>
        <v>11808900</v>
      </c>
      <c r="E53" s="1057"/>
      <c r="F53" s="1043">
        <f t="shared" si="0"/>
        <v>11808900</v>
      </c>
      <c r="G53" s="1058"/>
      <c r="H53" s="1057"/>
      <c r="I53" s="1043">
        <f t="shared" si="1"/>
        <v>0</v>
      </c>
      <c r="J53" s="1059"/>
      <c r="K53" s="1060"/>
      <c r="L53" s="1043">
        <f t="shared" si="2"/>
        <v>0</v>
      </c>
      <c r="M53" s="1048">
        <f t="shared" si="3"/>
        <v>11808900</v>
      </c>
    </row>
    <row r="54" spans="1:13" ht="26.25" customHeight="1">
      <c r="A54" s="1049" t="s">
        <v>900</v>
      </c>
      <c r="B54" s="1050" t="s">
        <v>840</v>
      </c>
      <c r="C54" s="1051"/>
      <c r="D54" s="1056"/>
      <c r="E54" s="1057"/>
      <c r="F54" s="1043">
        <f t="shared" si="0"/>
        <v>0</v>
      </c>
      <c r="G54" s="1064">
        <f>76044041-2666710-520008+24000000+4680000-28680000</f>
        <v>72857323</v>
      </c>
      <c r="H54" s="1062">
        <v>5319730</v>
      </c>
      <c r="I54" s="1043">
        <f t="shared" si="1"/>
        <v>78177053</v>
      </c>
      <c r="J54" s="1059"/>
      <c r="K54" s="1059"/>
      <c r="L54" s="1043">
        <f t="shared" si="2"/>
        <v>0</v>
      </c>
      <c r="M54" s="1048">
        <f t="shared" si="3"/>
        <v>78177053</v>
      </c>
    </row>
    <row r="55" spans="1:13" s="159" customFormat="1" ht="27.75" customHeight="1">
      <c r="A55" s="1049" t="s">
        <v>992</v>
      </c>
      <c r="B55" s="1050" t="s">
        <v>346</v>
      </c>
      <c r="C55" s="1051" t="s">
        <v>681</v>
      </c>
      <c r="D55" s="1056">
        <f>2350000-1000000-180000-220000+926229-512000</f>
        <v>1364229</v>
      </c>
      <c r="E55" s="1062"/>
      <c r="F55" s="1043">
        <f t="shared" si="0"/>
        <v>1364229</v>
      </c>
      <c r="G55" s="1056">
        <f>200000+2036448-200000</f>
        <v>2036448</v>
      </c>
      <c r="H55" s="1057"/>
      <c r="I55" s="1043">
        <f t="shared" si="1"/>
        <v>2036448</v>
      </c>
      <c r="J55" s="1076"/>
      <c r="K55" s="1076"/>
      <c r="L55" s="1043">
        <f t="shared" si="2"/>
        <v>0</v>
      </c>
      <c r="M55" s="1048">
        <f t="shared" si="3"/>
        <v>3400677</v>
      </c>
    </row>
    <row r="56" spans="1:13" ht="24.75" customHeight="1" thickBot="1">
      <c r="A56" s="1049" t="s">
        <v>993</v>
      </c>
      <c r="B56" s="1050" t="s">
        <v>575</v>
      </c>
      <c r="C56" s="1077"/>
      <c r="D56" s="1078"/>
      <c r="E56" s="1079"/>
      <c r="F56" s="1080">
        <f t="shared" si="0"/>
        <v>0</v>
      </c>
      <c r="G56" s="1081">
        <f>8285000-165615</f>
        <v>8119385</v>
      </c>
      <c r="H56" s="1079"/>
      <c r="I56" s="1080">
        <f t="shared" si="1"/>
        <v>8119385</v>
      </c>
      <c r="J56" s="1082"/>
      <c r="K56" s="1082"/>
      <c r="L56" s="1080">
        <f t="shared" si="2"/>
        <v>0</v>
      </c>
      <c r="M56" s="1083">
        <f t="shared" si="3"/>
        <v>8119385</v>
      </c>
    </row>
    <row r="57" spans="1:16" s="159" customFormat="1" ht="14.25" thickBot="1">
      <c r="A57" s="1084" t="s">
        <v>665</v>
      </c>
      <c r="B57" s="1085"/>
      <c r="C57" s="1086"/>
      <c r="D57" s="1087">
        <f aca="true" t="shared" si="4" ref="D57:M57">SUM(D9:D56)</f>
        <v>623101350</v>
      </c>
      <c r="E57" s="1088">
        <f t="shared" si="4"/>
        <v>361870782</v>
      </c>
      <c r="F57" s="1089">
        <f t="shared" si="4"/>
        <v>984972132</v>
      </c>
      <c r="G57" s="1088">
        <f t="shared" si="4"/>
        <v>229539175</v>
      </c>
      <c r="H57" s="1088">
        <f t="shared" si="4"/>
        <v>881951509</v>
      </c>
      <c r="I57" s="1089">
        <f t="shared" si="4"/>
        <v>1111490684</v>
      </c>
      <c r="J57" s="1088">
        <f t="shared" si="4"/>
        <v>30915128</v>
      </c>
      <c r="K57" s="1088">
        <f t="shared" si="4"/>
        <v>0</v>
      </c>
      <c r="L57" s="1089">
        <f t="shared" si="4"/>
        <v>30915128</v>
      </c>
      <c r="M57" s="1089">
        <f t="shared" si="4"/>
        <v>2127377944</v>
      </c>
      <c r="P57" s="329">
        <f>SUM(L57,I57,F57)</f>
        <v>2127377944</v>
      </c>
    </row>
    <row r="58" spans="1:13" ht="30.75" customHeight="1">
      <c r="A58" s="1063" t="s">
        <v>365</v>
      </c>
      <c r="B58" s="1050" t="s">
        <v>27</v>
      </c>
      <c r="C58" s="1040" t="s">
        <v>682</v>
      </c>
      <c r="D58" s="1090">
        <f>142790403+2326520+453671+1537859+200000+39000+2108200-829010-6147</f>
        <v>148620496</v>
      </c>
      <c r="E58" s="1091">
        <v>1016000</v>
      </c>
      <c r="F58" s="1043">
        <f>SUM(D58:E58)</f>
        <v>149636496</v>
      </c>
      <c r="G58" s="1090"/>
      <c r="H58" s="1091"/>
      <c r="I58" s="1092">
        <f aca="true" t="shared" si="5" ref="I58:I64">SUM(G58:H58)</f>
        <v>0</v>
      </c>
      <c r="J58" s="1090"/>
      <c r="K58" s="1091"/>
      <c r="L58" s="1092">
        <f aca="true" t="shared" si="6" ref="L58:L64">SUM(J58:K58)</f>
        <v>0</v>
      </c>
      <c r="M58" s="1048">
        <f aca="true" t="shared" si="7" ref="M58:M64">SUM(L58,I58,F58)</f>
        <v>149636496</v>
      </c>
    </row>
    <row r="59" spans="1:13" ht="30.75" customHeight="1">
      <c r="A59" s="1063" t="s">
        <v>366</v>
      </c>
      <c r="B59" s="1050" t="s">
        <v>988</v>
      </c>
      <c r="C59" s="1051" t="s">
        <v>990</v>
      </c>
      <c r="D59" s="1041">
        <f>1420400+293204+247115+47334+2742+6213-8955+6147</f>
        <v>2014200</v>
      </c>
      <c r="E59" s="1042"/>
      <c r="F59" s="1043">
        <f>SUM(D59:E59)</f>
        <v>2014200</v>
      </c>
      <c r="G59" s="1041"/>
      <c r="H59" s="1042"/>
      <c r="I59" s="1043">
        <f t="shared" si="5"/>
        <v>0</v>
      </c>
      <c r="J59" s="1041"/>
      <c r="K59" s="1042"/>
      <c r="L59" s="1043">
        <f t="shared" si="6"/>
        <v>0</v>
      </c>
      <c r="M59" s="1048">
        <f t="shared" si="7"/>
        <v>2014200</v>
      </c>
    </row>
    <row r="60" spans="1:13" ht="48">
      <c r="A60" s="1063" t="s">
        <v>367</v>
      </c>
      <c r="B60" s="1050" t="s">
        <v>1108</v>
      </c>
      <c r="C60" s="1051" t="s">
        <v>990</v>
      </c>
      <c r="D60" s="1041">
        <v>2156000</v>
      </c>
      <c r="E60" s="1042"/>
      <c r="F60" s="1043">
        <f>SUM(D60:E60)</f>
        <v>2156000</v>
      </c>
      <c r="G60" s="1041"/>
      <c r="H60" s="1042"/>
      <c r="I60" s="1043">
        <f t="shared" si="5"/>
        <v>0</v>
      </c>
      <c r="J60" s="1041"/>
      <c r="K60" s="1042"/>
      <c r="L60" s="1051">
        <f t="shared" si="6"/>
        <v>0</v>
      </c>
      <c r="M60" s="1048">
        <f t="shared" si="7"/>
        <v>2156000</v>
      </c>
    </row>
    <row r="61" spans="1:13" ht="48">
      <c r="A61" s="1063" t="s">
        <v>368</v>
      </c>
      <c r="B61" s="1050" t="s">
        <v>816</v>
      </c>
      <c r="C61" s="1051"/>
      <c r="D61" s="1041"/>
      <c r="E61" s="1042"/>
      <c r="F61" s="1043">
        <f>SUM(D61:E61)</f>
        <v>0</v>
      </c>
      <c r="G61" s="1041">
        <v>4015200</v>
      </c>
      <c r="H61" s="1042"/>
      <c r="I61" s="1043">
        <f t="shared" si="5"/>
        <v>4015200</v>
      </c>
      <c r="J61" s="1041"/>
      <c r="K61" s="1042"/>
      <c r="L61" s="1043">
        <f t="shared" si="6"/>
        <v>0</v>
      </c>
      <c r="M61" s="1048">
        <f t="shared" si="7"/>
        <v>4015200</v>
      </c>
    </row>
    <row r="62" spans="1:13" ht="36">
      <c r="A62" s="1063" t="s">
        <v>369</v>
      </c>
      <c r="B62" s="1050" t="s">
        <v>989</v>
      </c>
      <c r="C62" s="1051"/>
      <c r="D62" s="1041"/>
      <c r="E62" s="1042"/>
      <c r="F62" s="1043">
        <f>SUM(D62:E62)</f>
        <v>0</v>
      </c>
      <c r="G62" s="1041">
        <f>338000+65910</f>
        <v>403910</v>
      </c>
      <c r="H62" s="1042"/>
      <c r="I62" s="1043">
        <f t="shared" si="5"/>
        <v>403910</v>
      </c>
      <c r="J62" s="1041"/>
      <c r="K62" s="1042"/>
      <c r="L62" s="1043">
        <f t="shared" si="6"/>
        <v>0</v>
      </c>
      <c r="M62" s="1048">
        <f t="shared" si="7"/>
        <v>403910</v>
      </c>
    </row>
    <row r="63" spans="1:13" ht="48">
      <c r="A63" s="1063" t="s">
        <v>370</v>
      </c>
      <c r="B63" s="1050" t="s">
        <v>1109</v>
      </c>
      <c r="C63" s="1051"/>
      <c r="D63" s="1041"/>
      <c r="E63" s="1042"/>
      <c r="F63" s="1043"/>
      <c r="G63" s="1041">
        <f>2666710+520008</f>
        <v>3186718</v>
      </c>
      <c r="H63" s="1042"/>
      <c r="I63" s="1043">
        <f t="shared" si="5"/>
        <v>3186718</v>
      </c>
      <c r="J63" s="1041"/>
      <c r="K63" s="1042"/>
      <c r="L63" s="1043">
        <f t="shared" si="6"/>
        <v>0</v>
      </c>
      <c r="M63" s="1048">
        <f t="shared" si="7"/>
        <v>3186718</v>
      </c>
    </row>
    <row r="64" spans="1:13" ht="30.75" customHeight="1" thickBot="1">
      <c r="A64" s="1063" t="s">
        <v>371</v>
      </c>
      <c r="B64" s="1067" t="s">
        <v>777</v>
      </c>
      <c r="C64" s="1093" t="s">
        <v>582</v>
      </c>
      <c r="D64" s="1056">
        <v>7430000</v>
      </c>
      <c r="E64" s="1062"/>
      <c r="F64" s="1043">
        <f>SUM(D64:E64)</f>
        <v>7430000</v>
      </c>
      <c r="G64" s="1056"/>
      <c r="H64" s="1062"/>
      <c r="I64" s="1051">
        <f t="shared" si="5"/>
        <v>0</v>
      </c>
      <c r="J64" s="1056"/>
      <c r="K64" s="1062"/>
      <c r="L64" s="1043">
        <f t="shared" si="6"/>
        <v>0</v>
      </c>
      <c r="M64" s="1048">
        <f t="shared" si="7"/>
        <v>7430000</v>
      </c>
    </row>
    <row r="65" spans="1:16" s="159" customFormat="1" ht="14.25" thickBot="1">
      <c r="A65" s="1084" t="s">
        <v>462</v>
      </c>
      <c r="B65" s="1085"/>
      <c r="C65" s="1086"/>
      <c r="D65" s="1087">
        <f aca="true" t="shared" si="8" ref="D65:M65">SUM(D58:D64)</f>
        <v>160220696</v>
      </c>
      <c r="E65" s="1088">
        <f t="shared" si="8"/>
        <v>1016000</v>
      </c>
      <c r="F65" s="1089">
        <f t="shared" si="8"/>
        <v>161236696</v>
      </c>
      <c r="G65" s="1088">
        <f t="shared" si="8"/>
        <v>7605828</v>
      </c>
      <c r="H65" s="1088">
        <f t="shared" si="8"/>
        <v>0</v>
      </c>
      <c r="I65" s="1089">
        <f t="shared" si="8"/>
        <v>7605828</v>
      </c>
      <c r="J65" s="1088">
        <f t="shared" si="8"/>
        <v>0</v>
      </c>
      <c r="K65" s="1088">
        <f t="shared" si="8"/>
        <v>0</v>
      </c>
      <c r="L65" s="1089">
        <f t="shared" si="8"/>
        <v>0</v>
      </c>
      <c r="M65" s="1089">
        <f t="shared" si="8"/>
        <v>168842524</v>
      </c>
      <c r="P65" s="329"/>
    </row>
    <row r="66" spans="1:13" ht="23.25" customHeight="1">
      <c r="A66" s="1038" t="s">
        <v>365</v>
      </c>
      <c r="B66" s="1094" t="s">
        <v>463</v>
      </c>
      <c r="C66" s="1073" t="s">
        <v>685</v>
      </c>
      <c r="D66" s="1095">
        <f>34363647-36576</f>
        <v>34327071</v>
      </c>
      <c r="E66" s="1096">
        <v>36576</v>
      </c>
      <c r="F66" s="1080">
        <f aca="true" t="shared" si="9" ref="F66:F76">SUM(D66:E66)</f>
        <v>34363647</v>
      </c>
      <c r="G66" s="1095"/>
      <c r="H66" s="1096"/>
      <c r="I66" s="1080">
        <f aca="true" t="shared" si="10" ref="I66:I76">SUM(G66:H66)</f>
        <v>0</v>
      </c>
      <c r="J66" s="1095"/>
      <c r="K66" s="1096"/>
      <c r="L66" s="1080">
        <f aca="true" t="shared" si="11" ref="L66:L76">SUM(J66:K66)</f>
        <v>0</v>
      </c>
      <c r="M66" s="1048">
        <f aca="true" t="shared" si="12" ref="M66:M76">SUM(L66,I66,F66)</f>
        <v>34363647</v>
      </c>
    </row>
    <row r="67" spans="1:13" ht="23.25" customHeight="1">
      <c r="A67" s="1063" t="s">
        <v>366</v>
      </c>
      <c r="B67" s="1050" t="s">
        <v>901</v>
      </c>
      <c r="C67" s="1097" t="s">
        <v>683</v>
      </c>
      <c r="D67" s="1074">
        <f>126783640-1359950+656145+220000+42900-600000-889000-273095</f>
        <v>124580640</v>
      </c>
      <c r="E67" s="1072">
        <f>552450+273095</f>
        <v>825545</v>
      </c>
      <c r="F67" s="1043">
        <f t="shared" si="9"/>
        <v>125406185</v>
      </c>
      <c r="G67" s="1098"/>
      <c r="H67" s="1099"/>
      <c r="I67" s="1043">
        <f t="shared" si="10"/>
        <v>0</v>
      </c>
      <c r="J67" s="1059"/>
      <c r="K67" s="1059"/>
      <c r="L67" s="1043">
        <f t="shared" si="11"/>
        <v>0</v>
      </c>
      <c r="M67" s="1048">
        <f t="shared" si="12"/>
        <v>125406185</v>
      </c>
    </row>
    <row r="68" spans="1:13" ht="23.25" customHeight="1">
      <c r="A68" s="1049" t="s">
        <v>367</v>
      </c>
      <c r="B68" s="1050" t="s">
        <v>548</v>
      </c>
      <c r="C68" s="1097" t="s">
        <v>581</v>
      </c>
      <c r="D68" s="1074">
        <v>28507248</v>
      </c>
      <c r="E68" s="1072">
        <v>152400</v>
      </c>
      <c r="F68" s="1043">
        <f t="shared" si="9"/>
        <v>28659648</v>
      </c>
      <c r="G68" s="1098"/>
      <c r="H68" s="1099"/>
      <c r="I68" s="1043">
        <f t="shared" si="10"/>
        <v>0</v>
      </c>
      <c r="J68" s="1059"/>
      <c r="K68" s="1059"/>
      <c r="L68" s="1043">
        <f t="shared" si="11"/>
        <v>0</v>
      </c>
      <c r="M68" s="1048">
        <f t="shared" si="12"/>
        <v>28659648</v>
      </c>
    </row>
    <row r="69" spans="1:13" ht="23.25" customHeight="1">
      <c r="A69" s="1049" t="s">
        <v>368</v>
      </c>
      <c r="B69" s="1050" t="s">
        <v>666</v>
      </c>
      <c r="C69" s="1097" t="s">
        <v>687</v>
      </c>
      <c r="D69" s="1074">
        <v>20738697</v>
      </c>
      <c r="E69" s="1072">
        <v>241300</v>
      </c>
      <c r="F69" s="1043">
        <f t="shared" si="9"/>
        <v>20979997</v>
      </c>
      <c r="G69" s="1098"/>
      <c r="H69" s="1099"/>
      <c r="I69" s="1043">
        <f t="shared" si="10"/>
        <v>0</v>
      </c>
      <c r="J69" s="1059"/>
      <c r="K69" s="1059"/>
      <c r="L69" s="1043">
        <f t="shared" si="11"/>
        <v>0</v>
      </c>
      <c r="M69" s="1048">
        <f t="shared" si="12"/>
        <v>20979997</v>
      </c>
    </row>
    <row r="70" spans="1:13" ht="23.25" customHeight="1">
      <c r="A70" s="1049" t="s">
        <v>369</v>
      </c>
      <c r="B70" s="1050" t="s">
        <v>667</v>
      </c>
      <c r="C70" s="1097" t="s">
        <v>688</v>
      </c>
      <c r="D70" s="1071">
        <f>12163522+56100+10940</f>
        <v>12230562</v>
      </c>
      <c r="E70" s="1072"/>
      <c r="F70" s="1043">
        <f t="shared" si="9"/>
        <v>12230562</v>
      </c>
      <c r="G70" s="1071"/>
      <c r="H70" s="1072"/>
      <c r="I70" s="1043">
        <f t="shared" si="10"/>
        <v>0</v>
      </c>
      <c r="J70" s="1059"/>
      <c r="K70" s="1059"/>
      <c r="L70" s="1043">
        <f t="shared" si="11"/>
        <v>0</v>
      </c>
      <c r="M70" s="1048">
        <f t="shared" si="12"/>
        <v>12230562</v>
      </c>
    </row>
    <row r="71" spans="1:13" ht="23.25" customHeight="1">
      <c r="A71" s="1049" t="s">
        <v>370</v>
      </c>
      <c r="B71" s="1050" t="s">
        <v>668</v>
      </c>
      <c r="C71" s="1073" t="s">
        <v>685</v>
      </c>
      <c r="D71" s="1071">
        <v>3260222</v>
      </c>
      <c r="E71" s="1072"/>
      <c r="F71" s="1043">
        <f t="shared" si="9"/>
        <v>3260222</v>
      </c>
      <c r="G71" s="1071"/>
      <c r="H71" s="1072"/>
      <c r="I71" s="1043">
        <f t="shared" si="10"/>
        <v>0</v>
      </c>
      <c r="J71" s="1059"/>
      <c r="K71" s="1059"/>
      <c r="L71" s="1043">
        <f t="shared" si="11"/>
        <v>0</v>
      </c>
      <c r="M71" s="1048">
        <f t="shared" si="12"/>
        <v>3260222</v>
      </c>
    </row>
    <row r="72" spans="1:13" ht="23.25" customHeight="1">
      <c r="A72" s="1063" t="s">
        <v>371</v>
      </c>
      <c r="B72" s="1094" t="s">
        <v>509</v>
      </c>
      <c r="C72" s="1073" t="s">
        <v>689</v>
      </c>
      <c r="D72" s="1100"/>
      <c r="E72" s="1101"/>
      <c r="F72" s="1043">
        <f t="shared" si="9"/>
        <v>0</v>
      </c>
      <c r="G72" s="1081">
        <f>6245111+889000</f>
        <v>7134111</v>
      </c>
      <c r="H72" s="1101"/>
      <c r="I72" s="1043">
        <f t="shared" si="10"/>
        <v>7134111</v>
      </c>
      <c r="J72" s="1082"/>
      <c r="K72" s="1082"/>
      <c r="L72" s="1043">
        <f t="shared" si="11"/>
        <v>0</v>
      </c>
      <c r="M72" s="1048">
        <f t="shared" si="12"/>
        <v>7134111</v>
      </c>
    </row>
    <row r="73" spans="1:13" ht="23.25" customHeight="1">
      <c r="A73" s="1063" t="s">
        <v>372</v>
      </c>
      <c r="B73" s="1066" t="s">
        <v>1110</v>
      </c>
      <c r="C73" s="1073"/>
      <c r="D73" s="1100"/>
      <c r="E73" s="1101"/>
      <c r="F73" s="1043">
        <v>0</v>
      </c>
      <c r="G73" s="1081">
        <f>1229250+215116</f>
        <v>1444366</v>
      </c>
      <c r="H73" s="1101"/>
      <c r="I73" s="1043">
        <f t="shared" si="10"/>
        <v>1444366</v>
      </c>
      <c r="J73" s="1082"/>
      <c r="K73" s="1082"/>
      <c r="L73" s="1043">
        <f t="shared" si="11"/>
        <v>0</v>
      </c>
      <c r="M73" s="1048">
        <f t="shared" si="12"/>
        <v>1444366</v>
      </c>
    </row>
    <row r="74" spans="1:13" ht="23.25" customHeight="1">
      <c r="A74" s="1063" t="s">
        <v>373</v>
      </c>
      <c r="B74" s="591" t="s">
        <v>1113</v>
      </c>
      <c r="C74" s="1073"/>
      <c r="D74" s="1100"/>
      <c r="E74" s="1101"/>
      <c r="F74" s="1043">
        <f t="shared" si="9"/>
        <v>0</v>
      </c>
      <c r="G74" s="1081">
        <v>6883200</v>
      </c>
      <c r="H74" s="1101"/>
      <c r="I74" s="1043">
        <f t="shared" si="10"/>
        <v>6883200</v>
      </c>
      <c r="J74" s="1082"/>
      <c r="K74" s="1082"/>
      <c r="L74" s="1043">
        <f t="shared" si="11"/>
        <v>0</v>
      </c>
      <c r="M74" s="1048">
        <f t="shared" si="12"/>
        <v>6883200</v>
      </c>
    </row>
    <row r="75" spans="1:13" ht="23.25" customHeight="1">
      <c r="A75" s="1063" t="s">
        <v>374</v>
      </c>
      <c r="B75" s="591" t="s">
        <v>948</v>
      </c>
      <c r="C75" s="1073"/>
      <c r="D75" s="1100"/>
      <c r="E75" s="1101"/>
      <c r="F75" s="1043">
        <f t="shared" si="9"/>
        <v>0</v>
      </c>
      <c r="G75" s="1081">
        <v>5459106</v>
      </c>
      <c r="H75" s="1101"/>
      <c r="I75" s="1043">
        <f t="shared" si="10"/>
        <v>5459106</v>
      </c>
      <c r="J75" s="1082"/>
      <c r="K75" s="1082"/>
      <c r="L75" s="1043">
        <f t="shared" si="11"/>
        <v>0</v>
      </c>
      <c r="M75" s="1048">
        <f t="shared" si="12"/>
        <v>5459106</v>
      </c>
    </row>
    <row r="76" spans="1:13" ht="27" customHeight="1" thickBot="1">
      <c r="A76" s="1102" t="s">
        <v>375</v>
      </c>
      <c r="B76" s="1050" t="s">
        <v>949</v>
      </c>
      <c r="C76" s="1073"/>
      <c r="D76" s="1095"/>
      <c r="E76" s="1096"/>
      <c r="F76" s="1080">
        <f t="shared" si="9"/>
        <v>0</v>
      </c>
      <c r="G76" s="1095">
        <f>27430982+10500000</f>
        <v>37930982</v>
      </c>
      <c r="H76" s="1096"/>
      <c r="I76" s="1080">
        <f t="shared" si="10"/>
        <v>37930982</v>
      </c>
      <c r="J76" s="1095"/>
      <c r="K76" s="1096"/>
      <c r="L76" s="1080">
        <f t="shared" si="11"/>
        <v>0</v>
      </c>
      <c r="M76" s="1048">
        <f t="shared" si="12"/>
        <v>37930982</v>
      </c>
    </row>
    <row r="77" spans="1:16" ht="27.75" customHeight="1" thickBot="1">
      <c r="A77" s="1103" t="s">
        <v>755</v>
      </c>
      <c r="B77" s="1104"/>
      <c r="C77" s="1105"/>
      <c r="D77" s="1106">
        <f aca="true" t="shared" si="13" ref="D77:M77">SUM(D66:D76)</f>
        <v>223644440</v>
      </c>
      <c r="E77" s="1107">
        <f t="shared" si="13"/>
        <v>1255821</v>
      </c>
      <c r="F77" s="1108">
        <f t="shared" si="13"/>
        <v>224900261</v>
      </c>
      <c r="G77" s="1106">
        <f t="shared" si="13"/>
        <v>58851765</v>
      </c>
      <c r="H77" s="1107">
        <f t="shared" si="13"/>
        <v>0</v>
      </c>
      <c r="I77" s="1108">
        <f t="shared" si="13"/>
        <v>58851765</v>
      </c>
      <c r="J77" s="1106">
        <f t="shared" si="13"/>
        <v>0</v>
      </c>
      <c r="K77" s="1107">
        <f t="shared" si="13"/>
        <v>0</v>
      </c>
      <c r="L77" s="1108">
        <f t="shared" si="13"/>
        <v>0</v>
      </c>
      <c r="M77" s="1109">
        <f t="shared" si="13"/>
        <v>283752026</v>
      </c>
      <c r="P77" s="330">
        <f>SUM(L77,I77,F77)</f>
        <v>283752026</v>
      </c>
    </row>
    <row r="78" spans="1:13" ht="31.5" customHeight="1">
      <c r="A78" s="1049" t="s">
        <v>365</v>
      </c>
      <c r="B78" s="1066" t="s">
        <v>508</v>
      </c>
      <c r="C78" s="1051" t="s">
        <v>678</v>
      </c>
      <c r="D78" s="1056">
        <v>1100000</v>
      </c>
      <c r="E78" s="1062"/>
      <c r="F78" s="1043">
        <f>SUM(D78:E78)</f>
        <v>1100000</v>
      </c>
      <c r="G78" s="1064"/>
      <c r="H78" s="1062"/>
      <c r="I78" s="1043">
        <f>SUM(G78:H78)</f>
        <v>0</v>
      </c>
      <c r="J78" s="1059"/>
      <c r="K78" s="1060"/>
      <c r="L78" s="1043">
        <f>SUM(J78:K78)</f>
        <v>0</v>
      </c>
      <c r="M78" s="1048">
        <f>SUM(F78+I78+L78)</f>
        <v>1100000</v>
      </c>
    </row>
    <row r="79" spans="1:13" ht="22.5" customHeight="1">
      <c r="A79" s="1049" t="s">
        <v>366</v>
      </c>
      <c r="B79" s="1055" t="s">
        <v>350</v>
      </c>
      <c r="C79" s="1065" t="s">
        <v>678</v>
      </c>
      <c r="D79" s="1056">
        <v>3432072</v>
      </c>
      <c r="E79" s="1062"/>
      <c r="F79" s="1043">
        <f>SUM(D79:E79)</f>
        <v>3432072</v>
      </c>
      <c r="G79" s="1064"/>
      <c r="H79" s="1062"/>
      <c r="I79" s="1043">
        <f>SUM(G79:H79)</f>
        <v>0</v>
      </c>
      <c r="J79" s="1059"/>
      <c r="K79" s="1060"/>
      <c r="L79" s="1043">
        <f>SUM(J79:K79)</f>
        <v>0</v>
      </c>
      <c r="M79" s="1048">
        <f>SUM(F79+I79+L79)</f>
        <v>3432072</v>
      </c>
    </row>
    <row r="80" spans="1:13" ht="33.75" customHeight="1">
      <c r="A80" s="1049" t="s">
        <v>367</v>
      </c>
      <c r="B80" s="1050" t="s">
        <v>47</v>
      </c>
      <c r="C80" s="171" t="s">
        <v>679</v>
      </c>
      <c r="D80" s="1074">
        <f>22381580-1270000+622539+1500000+775525+7367584+614391+300000+81000</f>
        <v>32372619</v>
      </c>
      <c r="E80" s="1072">
        <v>635000</v>
      </c>
      <c r="F80" s="1043">
        <f>SUM(D80:E80)</f>
        <v>33007619</v>
      </c>
      <c r="G80" s="1071"/>
      <c r="H80" s="1072"/>
      <c r="I80" s="1043">
        <f>SUM(G80:H80)</f>
        <v>0</v>
      </c>
      <c r="J80" s="1059"/>
      <c r="K80" s="1060"/>
      <c r="L80" s="1043">
        <f>SUM(J80:K80)</f>
        <v>0</v>
      </c>
      <c r="M80" s="1048">
        <f>SUM(F80+I80+L80)</f>
        <v>33007619</v>
      </c>
    </row>
    <row r="81" spans="1:13" ht="22.5" customHeight="1">
      <c r="A81" s="1049" t="s">
        <v>368</v>
      </c>
      <c r="B81" s="1055" t="s">
        <v>840</v>
      </c>
      <c r="C81" s="1065"/>
      <c r="D81" s="1056"/>
      <c r="E81" s="1062"/>
      <c r="F81" s="1043">
        <f>SUM(D81:E81)</f>
        <v>0</v>
      </c>
      <c r="G81" s="1064">
        <v>22502900</v>
      </c>
      <c r="H81" s="1062">
        <v>2497100</v>
      </c>
      <c r="I81" s="1043">
        <f>SUM(G81:H81)</f>
        <v>25000000</v>
      </c>
      <c r="J81" s="1059"/>
      <c r="K81" s="1060"/>
      <c r="L81" s="1043">
        <f>SUM(J81:K81)</f>
        <v>0</v>
      </c>
      <c r="M81" s="1048">
        <f>SUM(F81+I81+L81)</f>
        <v>25000000</v>
      </c>
    </row>
    <row r="82" spans="1:13" ht="24.75" customHeight="1" thickBot="1">
      <c r="A82" s="1049" t="s">
        <v>369</v>
      </c>
      <c r="B82" s="1050" t="s">
        <v>1110</v>
      </c>
      <c r="C82" s="171"/>
      <c r="D82" s="1074"/>
      <c r="E82" s="1072"/>
      <c r="F82" s="1043">
        <f>SUM(D82:E82)</f>
        <v>0</v>
      </c>
      <c r="G82" s="1071">
        <f>223500+39112</f>
        <v>262612</v>
      </c>
      <c r="H82" s="1072"/>
      <c r="I82" s="1043">
        <f>SUM(G82:H82)</f>
        <v>262612</v>
      </c>
      <c r="J82" s="1059"/>
      <c r="K82" s="1060"/>
      <c r="L82" s="1043">
        <f>SUM(J82:K82)</f>
        <v>0</v>
      </c>
      <c r="M82" s="1048">
        <f>SUM(F82+I82+L82)</f>
        <v>262612</v>
      </c>
    </row>
    <row r="83" spans="1:16" ht="27.75" customHeight="1" thickBot="1">
      <c r="A83" s="1103" t="s">
        <v>780</v>
      </c>
      <c r="B83" s="1104"/>
      <c r="C83" s="1105"/>
      <c r="D83" s="1106">
        <f>SUM(D78:D82)</f>
        <v>36904691</v>
      </c>
      <c r="E83" s="1107">
        <f aca="true" t="shared" si="14" ref="E83:K83">SUM(E78:E82)</f>
        <v>635000</v>
      </c>
      <c r="F83" s="1108">
        <f t="shared" si="14"/>
        <v>37539691</v>
      </c>
      <c r="G83" s="1106">
        <f t="shared" si="14"/>
        <v>22765512</v>
      </c>
      <c r="H83" s="1107">
        <f t="shared" si="14"/>
        <v>2497100</v>
      </c>
      <c r="I83" s="1108">
        <f t="shared" si="14"/>
        <v>25262612</v>
      </c>
      <c r="J83" s="1106">
        <f t="shared" si="14"/>
        <v>0</v>
      </c>
      <c r="K83" s="1107">
        <f t="shared" si="14"/>
        <v>0</v>
      </c>
      <c r="L83" s="1108">
        <f>SUM(L78:L82)</f>
        <v>0</v>
      </c>
      <c r="M83" s="1109">
        <f>SUM(M78:M82)</f>
        <v>62802303</v>
      </c>
      <c r="P83" s="330"/>
    </row>
    <row r="84" spans="1:13" s="163" customFormat="1" ht="16.5" thickBot="1">
      <c r="A84" s="1110" t="s">
        <v>464</v>
      </c>
      <c r="B84" s="1111"/>
      <c r="C84" s="1112"/>
      <c r="D84" s="1113">
        <f aca="true" t="shared" si="15" ref="D84:M84">D57+D65+D77+D83</f>
        <v>1043871177</v>
      </c>
      <c r="E84" s="1113">
        <f t="shared" si="15"/>
        <v>364777603</v>
      </c>
      <c r="F84" s="1114">
        <f t="shared" si="15"/>
        <v>1408648780</v>
      </c>
      <c r="G84" s="1113">
        <f t="shared" si="15"/>
        <v>318762280</v>
      </c>
      <c r="H84" s="1113">
        <f t="shared" si="15"/>
        <v>884448609</v>
      </c>
      <c r="I84" s="1115">
        <f t="shared" si="15"/>
        <v>1203210889</v>
      </c>
      <c r="J84" s="1116">
        <f t="shared" si="15"/>
        <v>30915128</v>
      </c>
      <c r="K84" s="1117">
        <f t="shared" si="15"/>
        <v>0</v>
      </c>
      <c r="L84" s="1118">
        <f t="shared" si="15"/>
        <v>30915128</v>
      </c>
      <c r="M84" s="1119">
        <f t="shared" si="15"/>
        <v>2642774797</v>
      </c>
    </row>
    <row r="86" spans="1:2" ht="12.75">
      <c r="A86" s="108" t="s">
        <v>465</v>
      </c>
      <c r="B86" s="108" t="s">
        <v>466</v>
      </c>
    </row>
    <row r="87" spans="1:2" ht="12.75">
      <c r="A87" s="108" t="s">
        <v>467</v>
      </c>
      <c r="B87" s="108" t="s">
        <v>468</v>
      </c>
    </row>
    <row r="88" spans="1:2" ht="12.75">
      <c r="A88" s="108" t="s">
        <v>469</v>
      </c>
      <c r="B88" s="108" t="s">
        <v>470</v>
      </c>
    </row>
    <row r="89" spans="1:2" ht="12.75">
      <c r="A89" s="108" t="s">
        <v>471</v>
      </c>
      <c r="B89" s="108" t="s">
        <v>472</v>
      </c>
    </row>
    <row r="90" spans="1:2" ht="12.75">
      <c r="A90" s="108" t="s">
        <v>473</v>
      </c>
      <c r="B90" s="108" t="s">
        <v>474</v>
      </c>
    </row>
    <row r="91" spans="1:2" ht="12.75">
      <c r="A91" s="108" t="s">
        <v>753</v>
      </c>
      <c r="B91" s="108" t="s">
        <v>754</v>
      </c>
    </row>
    <row r="92" spans="1:2" ht="12.75">
      <c r="A92" s="108" t="s">
        <v>580</v>
      </c>
      <c r="B92" s="108" t="s">
        <v>579</v>
      </c>
    </row>
    <row r="93" spans="1:2" ht="12.75">
      <c r="A93" s="108" t="s">
        <v>990</v>
      </c>
      <c r="B93" s="108" t="s">
        <v>991</v>
      </c>
    </row>
    <row r="96" spans="1:3" ht="15">
      <c r="A96" s="620">
        <v>21</v>
      </c>
      <c r="B96" s="621" t="s">
        <v>1028</v>
      </c>
      <c r="C96" s="24"/>
    </row>
    <row r="97" spans="1:2" ht="12.75">
      <c r="A97" s="621">
        <v>22</v>
      </c>
      <c r="B97" s="621" t="s">
        <v>1029</v>
      </c>
    </row>
  </sheetData>
  <sheetProtection/>
  <mergeCells count="15">
    <mergeCell ref="A77:C77"/>
    <mergeCell ref="A83:C83"/>
    <mergeCell ref="A84:C84"/>
    <mergeCell ref="D6:F7"/>
    <mergeCell ref="B5:B8"/>
    <mergeCell ref="A5:A8"/>
    <mergeCell ref="C5:M5"/>
    <mergeCell ref="A57:C57"/>
    <mergeCell ref="A65:C65"/>
    <mergeCell ref="G1:M1"/>
    <mergeCell ref="M6:M8"/>
    <mergeCell ref="C6:C8"/>
    <mergeCell ref="G6:I7"/>
    <mergeCell ref="J6:L7"/>
    <mergeCell ref="A3:M3"/>
  </mergeCells>
  <printOptions horizont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59" r:id="rId1"/>
  <rowBreaks count="2" manualBreakCount="2">
    <brk id="29" max="12" man="1"/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O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Y4" sqref="Y4"/>
    </sheetView>
  </sheetViews>
  <sheetFormatPr defaultColWidth="9.00390625" defaultRowHeight="12.75"/>
  <cols>
    <col min="1" max="2" width="9.125" style="108" customWidth="1"/>
    <col min="3" max="3" width="19.125" style="108" customWidth="1"/>
    <col min="4" max="6" width="18.00390625" style="108" bestFit="1" customWidth="1"/>
    <col min="7" max="7" width="12.625" style="108" customWidth="1"/>
    <col min="8" max="8" width="18.875" style="108" customWidth="1"/>
    <col min="9" max="9" width="9.25390625" style="108" bestFit="1" customWidth="1"/>
    <col min="10" max="10" width="11.375" style="108" bestFit="1" customWidth="1"/>
    <col min="11" max="11" width="19.25390625" style="108" customWidth="1"/>
    <col min="12" max="12" width="9.75390625" style="108" customWidth="1"/>
    <col min="13" max="13" width="9.125" style="108" customWidth="1"/>
    <col min="14" max="14" width="12.625" style="108" customWidth="1"/>
    <col min="15" max="15" width="8.125" style="108" customWidth="1"/>
    <col min="16" max="16" width="10.375" style="108" bestFit="1" customWidth="1"/>
    <col min="17" max="17" width="14.00390625" style="108" bestFit="1" customWidth="1"/>
    <col min="18" max="20" width="9.125" style="108" customWidth="1"/>
    <col min="21" max="21" width="9.875" style="108" customWidth="1"/>
    <col min="22" max="22" width="13.125" style="108" customWidth="1"/>
    <col min="23" max="23" width="16.625" style="108" bestFit="1" customWidth="1"/>
    <col min="24" max="24" width="18.00390625" style="172" bestFit="1" customWidth="1"/>
    <col min="25" max="25" width="18.25390625" style="172" customWidth="1"/>
    <col min="26" max="26" width="18.75390625" style="172" customWidth="1"/>
    <col min="27" max="27" width="19.75390625" style="172" bestFit="1" customWidth="1"/>
    <col min="28" max="28" width="17.375" style="172" bestFit="1" customWidth="1"/>
    <col min="29" max="29" width="19.75390625" style="172" bestFit="1" customWidth="1"/>
    <col min="30" max="223" width="9.125" style="172" customWidth="1"/>
    <col min="224" max="16384" width="9.125" style="108" customWidth="1"/>
  </cols>
  <sheetData>
    <row r="1" spans="1:28" ht="18">
      <c r="A1" s="165"/>
      <c r="B1" s="166"/>
      <c r="C1" s="167"/>
      <c r="H1" s="166"/>
      <c r="I1" s="166"/>
      <c r="J1" s="166"/>
      <c r="K1" s="168"/>
      <c r="L1" s="168"/>
      <c r="M1" s="168"/>
      <c r="N1" s="166"/>
      <c r="T1" s="769" t="s">
        <v>1150</v>
      </c>
      <c r="U1" s="770"/>
      <c r="V1" s="770"/>
      <c r="W1" s="770"/>
      <c r="X1" s="771"/>
      <c r="Y1" s="771"/>
      <c r="Z1" s="771"/>
      <c r="AA1" s="771"/>
      <c r="AB1" s="771"/>
    </row>
    <row r="2" spans="1:14" ht="12.75">
      <c r="A2" s="165"/>
      <c r="B2" s="166"/>
      <c r="C2" s="167"/>
      <c r="D2" s="169"/>
      <c r="E2" s="170"/>
      <c r="F2" s="170"/>
      <c r="G2" s="170"/>
      <c r="H2" s="166"/>
      <c r="I2" s="166"/>
      <c r="J2" s="166"/>
      <c r="K2" s="168"/>
      <c r="L2" s="168"/>
      <c r="M2" s="168"/>
      <c r="N2" s="166"/>
    </row>
    <row r="3" spans="1:29" ht="15.75" customHeight="1">
      <c r="A3" s="781"/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  <c r="N3" s="781"/>
      <c r="O3" s="781"/>
      <c r="P3" s="781"/>
      <c r="Q3" s="781"/>
      <c r="R3" s="781"/>
      <c r="S3" s="781"/>
      <c r="T3" s="781"/>
      <c r="U3" s="781"/>
      <c r="V3" s="781"/>
      <c r="W3" s="781"/>
      <c r="X3" s="781"/>
      <c r="Y3" s="781"/>
      <c r="Z3" s="781"/>
      <c r="AA3" s="781"/>
      <c r="AB3" s="781"/>
      <c r="AC3" s="781"/>
    </row>
    <row r="4" spans="1:29" ht="15.75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</row>
    <row r="5" spans="1:29" ht="13.5" customHeight="1" thickBo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</row>
    <row r="6" spans="1:223" s="173" customFormat="1" ht="15" customHeight="1" thickTop="1">
      <c r="A6" s="1120" t="s">
        <v>902</v>
      </c>
      <c r="B6" s="1120"/>
      <c r="C6" s="1120"/>
      <c r="D6" s="1120"/>
      <c r="E6" s="1120"/>
      <c r="F6" s="1120"/>
      <c r="G6" s="1120"/>
      <c r="H6" s="1120"/>
      <c r="I6" s="1120"/>
      <c r="J6" s="1120"/>
      <c r="K6" s="1120"/>
      <c r="L6" s="1120"/>
      <c r="M6" s="1120"/>
      <c r="N6" s="1120"/>
      <c r="O6" s="1120"/>
      <c r="P6" s="1120"/>
      <c r="Q6" s="1120"/>
      <c r="R6" s="1120"/>
      <c r="S6" s="1120"/>
      <c r="T6" s="1120"/>
      <c r="U6" s="1120"/>
      <c r="V6" s="1120"/>
      <c r="W6" s="1120"/>
      <c r="X6" s="1120"/>
      <c r="Y6" s="1120"/>
      <c r="Z6" s="1120"/>
      <c r="AA6" s="1120"/>
      <c r="AB6" s="1120"/>
      <c r="AC6" s="1120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/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</row>
    <row r="7" spans="1:29" s="172" customFormat="1" ht="16.5" customHeight="1">
      <c r="A7" s="1121"/>
      <c r="B7" s="1121"/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1121"/>
      <c r="U7" s="1121"/>
      <c r="V7" s="1121"/>
      <c r="W7" s="1121"/>
      <c r="X7" s="1121"/>
      <c r="Y7" s="1121"/>
      <c r="Z7" s="1121"/>
      <c r="AA7" s="1121"/>
      <c r="AB7" s="1121"/>
      <c r="AC7" s="1121"/>
    </row>
    <row r="8" spans="1:29" s="182" customFormat="1" ht="26.25" customHeight="1" thickBot="1">
      <c r="A8" s="1122"/>
      <c r="B8" s="1122"/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</row>
    <row r="9" spans="1:29" s="182" customFormat="1" ht="27" customHeight="1" thickBot="1" thickTop="1">
      <c r="A9" s="707" t="s">
        <v>55</v>
      </c>
      <c r="B9" s="1123"/>
      <c r="C9" s="1123"/>
      <c r="D9" s="1124" t="s">
        <v>327</v>
      </c>
      <c r="E9" s="1125"/>
      <c r="F9" s="1126"/>
      <c r="G9" s="713" t="s">
        <v>475</v>
      </c>
      <c r="H9" s="776"/>
      <c r="I9" s="776"/>
      <c r="J9" s="776"/>
      <c r="K9" s="777"/>
      <c r="L9" s="1127" t="s">
        <v>476</v>
      </c>
      <c r="M9" s="1128"/>
      <c r="N9" s="1128"/>
      <c r="O9" s="1128"/>
      <c r="P9" s="1128"/>
      <c r="Q9" s="1129"/>
      <c r="R9" s="1127" t="s">
        <v>477</v>
      </c>
      <c r="S9" s="1128"/>
      <c r="T9" s="1128"/>
      <c r="U9" s="1128"/>
      <c r="V9" s="1128"/>
      <c r="W9" s="1128"/>
      <c r="X9" s="1130" t="s">
        <v>478</v>
      </c>
      <c r="Y9" s="684"/>
      <c r="Z9" s="684"/>
      <c r="AA9" s="1131" t="s">
        <v>56</v>
      </c>
      <c r="AB9" s="682"/>
      <c r="AC9" s="683"/>
    </row>
    <row r="10" spans="1:29" s="182" customFormat="1" ht="24.75" customHeight="1" thickBot="1">
      <c r="A10" s="1132"/>
      <c r="B10" s="1133"/>
      <c r="C10" s="1133"/>
      <c r="D10" s="297" t="s">
        <v>57</v>
      </c>
      <c r="E10" s="523" t="s">
        <v>53</v>
      </c>
      <c r="F10" s="1134" t="s">
        <v>58</v>
      </c>
      <c r="G10" s="778"/>
      <c r="H10" s="779"/>
      <c r="I10" s="779"/>
      <c r="J10" s="779"/>
      <c r="K10" s="780"/>
      <c r="L10" s="1135"/>
      <c r="M10" s="1136"/>
      <c r="N10" s="1136"/>
      <c r="O10" s="1136"/>
      <c r="P10" s="1136"/>
      <c r="Q10" s="1137"/>
      <c r="R10" s="1135"/>
      <c r="S10" s="1136"/>
      <c r="T10" s="1136"/>
      <c r="U10" s="1136"/>
      <c r="V10" s="1136"/>
      <c r="W10" s="1136"/>
      <c r="X10" s="174" t="s">
        <v>57</v>
      </c>
      <c r="Y10" s="297" t="s">
        <v>53</v>
      </c>
      <c r="Z10" s="1138" t="s">
        <v>58</v>
      </c>
      <c r="AA10" s="174" t="s">
        <v>57</v>
      </c>
      <c r="AB10" s="297" t="s">
        <v>53</v>
      </c>
      <c r="AC10" s="1134" t="s">
        <v>58</v>
      </c>
    </row>
    <row r="11" spans="1:29" s="182" customFormat="1" ht="16.5" customHeight="1">
      <c r="A11" s="175"/>
      <c r="B11" s="1139"/>
      <c r="C11" s="176"/>
      <c r="D11" s="177"/>
      <c r="E11" s="1139"/>
      <c r="F11" s="178"/>
      <c r="G11" s="742" t="s">
        <v>479</v>
      </c>
      <c r="H11" s="694"/>
      <c r="I11" s="694"/>
      <c r="J11" s="1140">
        <f>67592700</f>
        <v>67592700</v>
      </c>
      <c r="K11" s="679">
        <f>SUM(J11:J21)</f>
        <v>167465133</v>
      </c>
      <c r="L11" s="782"/>
      <c r="M11" s="706"/>
      <c r="N11" s="706"/>
      <c r="O11" s="706"/>
      <c r="P11" s="179"/>
      <c r="Q11" s="790">
        <f>SUM(P11:P21)</f>
        <v>98776767</v>
      </c>
      <c r="R11" s="687" t="s">
        <v>203</v>
      </c>
      <c r="S11" s="1141"/>
      <c r="T11" s="1141"/>
      <c r="U11" s="1141"/>
      <c r="V11" s="1140">
        <v>254780000</v>
      </c>
      <c r="W11" s="724">
        <f>SUM(V11:V21)</f>
        <v>412209645</v>
      </c>
      <c r="X11" s="180"/>
      <c r="Y11" s="181"/>
      <c r="Z11" s="1142"/>
      <c r="AA11" s="1143"/>
      <c r="AB11" s="1144"/>
      <c r="AC11" s="1145"/>
    </row>
    <row r="12" spans="1:29" s="182" customFormat="1" ht="18.75" customHeight="1">
      <c r="A12" s="175"/>
      <c r="B12" s="1139"/>
      <c r="C12" s="177"/>
      <c r="D12" s="177"/>
      <c r="E12" s="1139"/>
      <c r="F12" s="178"/>
      <c r="G12" s="715" t="s">
        <v>584</v>
      </c>
      <c r="H12" s="1146"/>
      <c r="I12" s="1146"/>
      <c r="J12" s="1140">
        <v>1778400</v>
      </c>
      <c r="K12" s="688"/>
      <c r="L12" s="720" t="s">
        <v>480</v>
      </c>
      <c r="M12" s="1147"/>
      <c r="N12" s="1147"/>
      <c r="O12" s="1147"/>
      <c r="P12" s="1140">
        <v>1710029</v>
      </c>
      <c r="Q12" s="791"/>
      <c r="R12" s="687" t="s">
        <v>78</v>
      </c>
      <c r="S12" s="1141"/>
      <c r="T12" s="1141"/>
      <c r="U12" s="1141"/>
      <c r="V12" s="1140">
        <f>9471380+540000</f>
        <v>10011380</v>
      </c>
      <c r="W12" s="725"/>
      <c r="X12" s="183"/>
      <c r="Y12" s="181"/>
      <c r="Z12" s="184"/>
      <c r="AA12" s="175"/>
      <c r="AB12" s="185"/>
      <c r="AC12" s="186"/>
    </row>
    <row r="13" spans="1:29" s="182" customFormat="1" ht="15.75" customHeight="1">
      <c r="A13" s="187"/>
      <c r="B13" s="1148"/>
      <c r="C13" s="188" t="s">
        <v>452</v>
      </c>
      <c r="D13" s="189">
        <f>SUM('[1]6. kiadások megbontása'!D60)</f>
        <v>2156000</v>
      </c>
      <c r="E13" s="296">
        <f>SUM('[1]6. kiadások megbontása'!E60)</f>
        <v>0</v>
      </c>
      <c r="F13" s="191">
        <f>SUM(D13:E13)</f>
        <v>2156000</v>
      </c>
      <c r="G13" s="715" t="s">
        <v>700</v>
      </c>
      <c r="H13" s="1146"/>
      <c r="I13" s="1146"/>
      <c r="J13" s="1140">
        <v>48302876</v>
      </c>
      <c r="K13" s="688"/>
      <c r="L13" s="720" t="s">
        <v>481</v>
      </c>
      <c r="M13" s="1147"/>
      <c r="N13" s="1147"/>
      <c r="O13" s="1147"/>
      <c r="P13" s="1140">
        <f>21228000+2577831</f>
        <v>23805831</v>
      </c>
      <c r="Q13" s="791"/>
      <c r="R13" s="528" t="s">
        <v>761</v>
      </c>
      <c r="S13" s="1149"/>
      <c r="T13" s="1149"/>
      <c r="U13" s="1149"/>
      <c r="V13" s="1140">
        <v>60000</v>
      </c>
      <c r="W13" s="725"/>
      <c r="X13" s="192"/>
      <c r="Y13" s="193"/>
      <c r="Z13" s="184"/>
      <c r="AA13" s="194"/>
      <c r="AB13" s="195"/>
      <c r="AC13" s="196"/>
    </row>
    <row r="14" spans="1:29" s="182" customFormat="1" ht="16.5" customHeight="1">
      <c r="A14" s="187"/>
      <c r="B14" s="1148"/>
      <c r="C14" s="188"/>
      <c r="D14" s="189"/>
      <c r="E14" s="296"/>
      <c r="F14" s="191"/>
      <c r="G14" s="1150" t="s">
        <v>510</v>
      </c>
      <c r="H14" s="1150"/>
      <c r="I14" s="1150"/>
      <c r="J14" s="1140">
        <v>49762591</v>
      </c>
      <c r="K14" s="688"/>
      <c r="L14" s="598"/>
      <c r="M14" s="1149"/>
      <c r="N14" s="1149"/>
      <c r="O14" s="1149"/>
      <c r="P14" s="1140"/>
      <c r="Q14" s="791"/>
      <c r="R14" s="687" t="s">
        <v>1114</v>
      </c>
      <c r="S14" s="1141"/>
      <c r="T14" s="1141"/>
      <c r="U14" s="1141"/>
      <c r="V14" s="1140">
        <v>696400</v>
      </c>
      <c r="W14" s="725"/>
      <c r="X14" s="192"/>
      <c r="Y14" s="193"/>
      <c r="Z14" s="184"/>
      <c r="AA14" s="194"/>
      <c r="AB14" s="195"/>
      <c r="AC14" s="196"/>
    </row>
    <row r="15" spans="1:29" s="172" customFormat="1" ht="17.25" customHeight="1">
      <c r="A15" s="187"/>
      <c r="B15" s="1148"/>
      <c r="C15" s="188"/>
      <c r="D15" s="189"/>
      <c r="E15" s="296"/>
      <c r="F15" s="191"/>
      <c r="G15" s="715" t="s">
        <v>995</v>
      </c>
      <c r="H15" s="1146"/>
      <c r="I15" s="1146"/>
      <c r="J15" s="1151">
        <f>3585+20900+4081</f>
        <v>28566</v>
      </c>
      <c r="K15" s="688"/>
      <c r="L15" s="598"/>
      <c r="M15" s="1149"/>
      <c r="N15" s="1149"/>
      <c r="O15" s="1149"/>
      <c r="P15" s="1140"/>
      <c r="Q15" s="791"/>
      <c r="R15" s="687" t="s">
        <v>1115</v>
      </c>
      <c r="S15" s="1141"/>
      <c r="T15" s="1141"/>
      <c r="U15" s="1141"/>
      <c r="V15" s="1140">
        <f>30000+664721+78901+516434+128723+109120</f>
        <v>1527899</v>
      </c>
      <c r="W15" s="725"/>
      <c r="X15" s="192"/>
      <c r="Y15" s="193"/>
      <c r="Z15" s="184"/>
      <c r="AA15" s="194"/>
      <c r="AB15" s="195"/>
      <c r="AC15" s="196"/>
    </row>
    <row r="16" spans="1:29" s="172" customFormat="1" ht="65.25" customHeight="1">
      <c r="A16" s="187"/>
      <c r="B16" s="1148"/>
      <c r="C16" s="188"/>
      <c r="D16" s="189"/>
      <c r="E16" s="296"/>
      <c r="F16" s="191"/>
      <c r="G16" s="1152"/>
      <c r="H16" s="1153"/>
      <c r="I16" s="1153"/>
      <c r="J16" s="1140"/>
      <c r="K16" s="688"/>
      <c r="L16" s="598"/>
      <c r="M16" s="1149"/>
      <c r="N16" s="1149"/>
      <c r="O16" s="1149"/>
      <c r="P16" s="1140"/>
      <c r="Q16" s="791"/>
      <c r="R16" s="687" t="s">
        <v>1116</v>
      </c>
      <c r="S16" s="1141"/>
      <c r="T16" s="1141"/>
      <c r="U16" s="1141"/>
      <c r="V16" s="1140">
        <f>3548380+920000+248400</f>
        <v>4716780</v>
      </c>
      <c r="W16" s="725"/>
      <c r="X16" s="192"/>
      <c r="Y16" s="193"/>
      <c r="Z16" s="184"/>
      <c r="AA16" s="194"/>
      <c r="AB16" s="195"/>
      <c r="AC16" s="196"/>
    </row>
    <row r="17" spans="1:29" s="172" customFormat="1" ht="18.75" customHeight="1">
      <c r="A17" s="197"/>
      <c r="B17" s="1154"/>
      <c r="C17" s="198"/>
      <c r="D17" s="198"/>
      <c r="E17" s="1139"/>
      <c r="F17" s="178"/>
      <c r="G17" s="1150"/>
      <c r="H17" s="1150"/>
      <c r="I17" s="1150"/>
      <c r="J17" s="1140"/>
      <c r="K17" s="688"/>
      <c r="L17" s="528" t="s">
        <v>904</v>
      </c>
      <c r="M17" s="1155"/>
      <c r="N17" s="1155"/>
      <c r="O17" s="1155"/>
      <c r="P17" s="1140">
        <f>10633011-6854236+16507503+1152632</f>
        <v>21438910</v>
      </c>
      <c r="Q17" s="791"/>
      <c r="R17" s="528" t="s">
        <v>244</v>
      </c>
      <c r="S17" s="1149"/>
      <c r="T17" s="1149"/>
      <c r="U17" s="1149"/>
      <c r="V17" s="1140">
        <f>706000+123120+15000</f>
        <v>844120</v>
      </c>
      <c r="W17" s="725"/>
      <c r="X17" s="192"/>
      <c r="Y17" s="193"/>
      <c r="Z17" s="184"/>
      <c r="AA17" s="194"/>
      <c r="AB17" s="195"/>
      <c r="AC17" s="196"/>
    </row>
    <row r="18" spans="1:29" s="172" customFormat="1" ht="18" customHeight="1">
      <c r="A18" s="197"/>
      <c r="B18" s="1154"/>
      <c r="C18" s="198"/>
      <c r="D18" s="198"/>
      <c r="E18" s="1139"/>
      <c r="F18" s="178"/>
      <c r="G18" s="715"/>
      <c r="H18" s="1146"/>
      <c r="I18" s="1146"/>
      <c r="J18" s="1151"/>
      <c r="K18" s="688"/>
      <c r="L18" s="687" t="s">
        <v>905</v>
      </c>
      <c r="M18" s="1141"/>
      <c r="N18" s="1141"/>
      <c r="O18" s="1141"/>
      <c r="P18" s="324">
        <f>12480966-6737965+42621100+3457896</f>
        <v>51821997</v>
      </c>
      <c r="Q18" s="791"/>
      <c r="R18" s="528" t="s">
        <v>697</v>
      </c>
      <c r="S18" s="1149"/>
      <c r="T18" s="1149"/>
      <c r="U18" s="1149"/>
      <c r="V18" s="1140">
        <f>2840247+537587+853440</f>
        <v>4231274</v>
      </c>
      <c r="W18" s="725"/>
      <c r="X18" s="192"/>
      <c r="Y18" s="193"/>
      <c r="Z18" s="184"/>
      <c r="AA18" s="194"/>
      <c r="AB18" s="195"/>
      <c r="AC18" s="196"/>
    </row>
    <row r="19" spans="1:223" s="303" customFormat="1" ht="19.5" customHeight="1">
      <c r="A19" s="197"/>
      <c r="B19" s="1154"/>
      <c r="C19" s="198"/>
      <c r="D19" s="198"/>
      <c r="E19" s="1139"/>
      <c r="F19" s="178"/>
      <c r="G19" s="1150"/>
      <c r="H19" s="1150"/>
      <c r="I19" s="1150"/>
      <c r="J19" s="1151"/>
      <c r="K19" s="688"/>
      <c r="L19" s="687"/>
      <c r="M19" s="1141"/>
      <c r="N19" s="1141"/>
      <c r="O19" s="1141"/>
      <c r="P19" s="324"/>
      <c r="Q19" s="791"/>
      <c r="R19" s="528" t="s">
        <v>759</v>
      </c>
      <c r="S19" s="1155"/>
      <c r="T19" s="1155"/>
      <c r="U19" s="1155"/>
      <c r="V19" s="1140">
        <v>6592967</v>
      </c>
      <c r="W19" s="725"/>
      <c r="X19" s="192"/>
      <c r="Y19" s="193"/>
      <c r="Z19" s="184"/>
      <c r="AA19" s="194"/>
      <c r="AB19" s="195"/>
      <c r="AC19" s="196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  <c r="DJ19" s="322"/>
      <c r="DK19" s="322"/>
      <c r="DL19" s="322"/>
      <c r="DM19" s="322"/>
      <c r="DN19" s="322"/>
      <c r="DO19" s="322"/>
      <c r="DP19" s="322"/>
      <c r="DQ19" s="322"/>
      <c r="DR19" s="322"/>
      <c r="DS19" s="322"/>
      <c r="DT19" s="322"/>
      <c r="DU19" s="322"/>
      <c r="DV19" s="322"/>
      <c r="DW19" s="322"/>
      <c r="DX19" s="322"/>
      <c r="DY19" s="322"/>
      <c r="DZ19" s="322"/>
      <c r="EA19" s="322"/>
      <c r="EB19" s="322"/>
      <c r="EC19" s="322"/>
      <c r="ED19" s="322"/>
      <c r="EE19" s="322"/>
      <c r="EF19" s="322"/>
      <c r="EG19" s="322"/>
      <c r="EH19" s="322"/>
      <c r="EI19" s="322"/>
      <c r="EJ19" s="322"/>
      <c r="EK19" s="322"/>
      <c r="EL19" s="322"/>
      <c r="EM19" s="322"/>
      <c r="EN19" s="322"/>
      <c r="EO19" s="322"/>
      <c r="EP19" s="322"/>
      <c r="EQ19" s="322"/>
      <c r="ER19" s="322"/>
      <c r="ES19" s="322"/>
      <c r="ET19" s="322"/>
      <c r="EU19" s="322"/>
      <c r="EV19" s="322"/>
      <c r="EW19" s="322"/>
      <c r="EX19" s="322"/>
      <c r="EY19" s="322"/>
      <c r="EZ19" s="322"/>
      <c r="FA19" s="322"/>
      <c r="FB19" s="322"/>
      <c r="FC19" s="322"/>
      <c r="FD19" s="322"/>
      <c r="FE19" s="322"/>
      <c r="FF19" s="322"/>
      <c r="FG19" s="322"/>
      <c r="FH19" s="322"/>
      <c r="FI19" s="322"/>
      <c r="FJ19" s="322"/>
      <c r="FK19" s="322"/>
      <c r="FL19" s="322"/>
      <c r="FM19" s="322"/>
      <c r="FN19" s="322"/>
      <c r="FO19" s="322"/>
      <c r="FP19" s="322"/>
      <c r="FQ19" s="322"/>
      <c r="FR19" s="322"/>
      <c r="FS19" s="322"/>
      <c r="FT19" s="322"/>
      <c r="FU19" s="322"/>
      <c r="FV19" s="322"/>
      <c r="FW19" s="322"/>
      <c r="FX19" s="322"/>
      <c r="FY19" s="322"/>
      <c r="FZ19" s="322"/>
      <c r="GA19" s="322"/>
      <c r="GB19" s="322"/>
      <c r="GC19" s="322"/>
      <c r="GD19" s="322"/>
      <c r="GE19" s="322"/>
      <c r="GF19" s="322"/>
      <c r="GG19" s="322"/>
      <c r="GH19" s="322"/>
      <c r="GI19" s="322"/>
      <c r="GJ19" s="322"/>
      <c r="GK19" s="322"/>
      <c r="GL19" s="322"/>
      <c r="GM19" s="322"/>
      <c r="GN19" s="322"/>
      <c r="GO19" s="322"/>
      <c r="GP19" s="322"/>
      <c r="GQ19" s="322"/>
      <c r="GR19" s="322"/>
      <c r="GS19" s="322"/>
      <c r="GT19" s="322"/>
      <c r="GU19" s="322"/>
      <c r="GV19" s="322"/>
      <c r="GW19" s="322"/>
      <c r="GX19" s="322"/>
      <c r="GY19" s="322"/>
      <c r="GZ19" s="322"/>
      <c r="HA19" s="322"/>
      <c r="HB19" s="322"/>
      <c r="HC19" s="322"/>
      <c r="HD19" s="322"/>
      <c r="HE19" s="322"/>
      <c r="HF19" s="322"/>
      <c r="HG19" s="322"/>
      <c r="HH19" s="322"/>
      <c r="HI19" s="322"/>
      <c r="HJ19" s="322"/>
      <c r="HK19" s="322"/>
      <c r="HL19" s="322"/>
      <c r="HM19" s="322"/>
      <c r="HN19" s="322"/>
      <c r="HO19" s="322"/>
    </row>
    <row r="20" spans="1:29" ht="24.75" customHeight="1">
      <c r="A20" s="197"/>
      <c r="B20" s="1154"/>
      <c r="C20" s="198"/>
      <c r="D20" s="198"/>
      <c r="E20" s="1139"/>
      <c r="F20" s="199"/>
      <c r="G20" s="1150"/>
      <c r="H20" s="1150"/>
      <c r="I20" s="1150"/>
      <c r="J20" s="1151"/>
      <c r="K20" s="688"/>
      <c r="L20" s="785"/>
      <c r="M20" s="1150"/>
      <c r="N20" s="1150"/>
      <c r="O20" s="1150"/>
      <c r="P20" s="159"/>
      <c r="Q20" s="791"/>
      <c r="R20" s="687" t="s">
        <v>698</v>
      </c>
      <c r="S20" s="1141"/>
      <c r="T20" s="1141"/>
      <c r="U20" s="1141"/>
      <c r="V20" s="1140">
        <v>500</v>
      </c>
      <c r="W20" s="725"/>
      <c r="X20" s="201">
        <f>SUM(W11,Q11,K11)</f>
        <v>678451545</v>
      </c>
      <c r="Y20" s="202">
        <f>SUM(W22+Q22+K22)</f>
        <v>403672076</v>
      </c>
      <c r="Z20" s="203">
        <f>SUM(Y20,X20)</f>
        <v>1082123621</v>
      </c>
      <c r="AA20" s="201">
        <f>X20-D13</f>
        <v>676295545</v>
      </c>
      <c r="AB20" s="202">
        <f>Y20-E13</f>
        <v>403672076</v>
      </c>
      <c r="AC20" s="204">
        <f>SUM(AA20:AB20)</f>
        <v>1079967621</v>
      </c>
    </row>
    <row r="21" spans="1:29" ht="24.75" customHeight="1" thickBot="1">
      <c r="A21" s="205"/>
      <c r="B21" s="293"/>
      <c r="C21" s="206"/>
      <c r="D21" s="206"/>
      <c r="E21" s="261"/>
      <c r="F21" s="208"/>
      <c r="G21" s="715"/>
      <c r="H21" s="1146"/>
      <c r="I21" s="1146"/>
      <c r="J21" s="1156"/>
      <c r="K21" s="688"/>
      <c r="L21" s="785"/>
      <c r="M21" s="1150"/>
      <c r="N21" s="1150"/>
      <c r="O21" s="1150"/>
      <c r="P21" s="200"/>
      <c r="Q21" s="791"/>
      <c r="R21" s="687" t="s">
        <v>699</v>
      </c>
      <c r="S21" s="1141"/>
      <c r="T21" s="1141"/>
      <c r="U21" s="1141"/>
      <c r="V21" s="1140">
        <f>29101707+97110256+2940272-403910</f>
        <v>128748325</v>
      </c>
      <c r="W21" s="725"/>
      <c r="X21" s="192"/>
      <c r="Y21" s="193"/>
      <c r="Z21" s="184"/>
      <c r="AA21" s="194"/>
      <c r="AB21" s="195"/>
      <c r="AC21" s="196"/>
    </row>
    <row r="22" spans="1:29" ht="24.75" customHeight="1">
      <c r="A22" s="205"/>
      <c r="B22" s="293"/>
      <c r="C22" s="206"/>
      <c r="D22" s="206"/>
      <c r="E22" s="261"/>
      <c r="F22" s="208"/>
      <c r="G22" s="742" t="s">
        <v>1117</v>
      </c>
      <c r="H22" s="694"/>
      <c r="I22" s="694"/>
      <c r="J22" s="1140">
        <v>29999998</v>
      </c>
      <c r="K22" s="679">
        <f>SUM(J22)</f>
        <v>29999998</v>
      </c>
      <c r="L22" s="693" t="s">
        <v>907</v>
      </c>
      <c r="M22" s="694"/>
      <c r="N22" s="694"/>
      <c r="O22" s="694"/>
      <c r="P22" s="490">
        <f>9999992</f>
        <v>9999992</v>
      </c>
      <c r="Q22" s="697">
        <f>SUM(P22:P23)</f>
        <v>10389186</v>
      </c>
      <c r="R22" s="792" t="s">
        <v>60</v>
      </c>
      <c r="S22" s="756"/>
      <c r="T22" s="756"/>
      <c r="U22" s="756"/>
      <c r="V22" s="490">
        <f>78841508+140105-900000+88787+200000-8458000</f>
        <v>69912400</v>
      </c>
      <c r="W22" s="724">
        <f>SUM(V22:V23)</f>
        <v>363282892</v>
      </c>
      <c r="X22" s="192"/>
      <c r="Y22" s="193"/>
      <c r="Z22" s="184"/>
      <c r="AA22" s="194"/>
      <c r="AB22" s="195"/>
      <c r="AC22" s="196"/>
    </row>
    <row r="23" spans="1:29" ht="25.5" customHeight="1" thickBot="1">
      <c r="A23" s="205"/>
      <c r="B23" s="293"/>
      <c r="C23" s="206"/>
      <c r="D23" s="206"/>
      <c r="E23" s="261"/>
      <c r="F23" s="208"/>
      <c r="G23" s="209"/>
      <c r="H23" s="1157"/>
      <c r="I23" s="1157"/>
      <c r="J23" s="1158"/>
      <c r="K23" s="688"/>
      <c r="L23" s="785" t="s">
        <v>906</v>
      </c>
      <c r="M23" s="1150"/>
      <c r="N23" s="1150"/>
      <c r="O23" s="1150"/>
      <c r="P23" s="200">
        <f>289870-39360+138684</f>
        <v>389194</v>
      </c>
      <c r="Q23" s="680"/>
      <c r="R23" s="720" t="s">
        <v>694</v>
      </c>
      <c r="S23" s="1147"/>
      <c r="T23" s="1147"/>
      <c r="U23" s="1147"/>
      <c r="V23" s="324">
        <f>288331132+5039360</f>
        <v>293370492</v>
      </c>
      <c r="W23" s="725"/>
      <c r="X23" s="192"/>
      <c r="Y23" s="193"/>
      <c r="Z23" s="184"/>
      <c r="AA23" s="194"/>
      <c r="AB23" s="195"/>
      <c r="AC23" s="196"/>
    </row>
    <row r="24" spans="1:29" ht="29.25" customHeight="1" thickTop="1">
      <c r="A24" s="327"/>
      <c r="B24" s="211"/>
      <c r="C24" s="212"/>
      <c r="D24" s="212"/>
      <c r="E24" s="213"/>
      <c r="F24" s="214"/>
      <c r="G24" s="786" t="s">
        <v>1118</v>
      </c>
      <c r="H24" s="787"/>
      <c r="I24" s="787"/>
      <c r="J24" s="328">
        <v>10858846</v>
      </c>
      <c r="K24" s="783">
        <f>SUM(J24:J25)</f>
        <v>10858846</v>
      </c>
      <c r="L24" s="762" t="s">
        <v>482</v>
      </c>
      <c r="M24" s="763"/>
      <c r="N24" s="763"/>
      <c r="O24" s="763"/>
      <c r="P24" s="491"/>
      <c r="Q24" s="783">
        <f>SUM(P24:P25)</f>
        <v>0</v>
      </c>
      <c r="R24" s="216"/>
      <c r="S24" s="217"/>
      <c r="T24" s="217"/>
      <c r="U24" s="217"/>
      <c r="V24" s="1159"/>
      <c r="W24" s="218"/>
      <c r="X24" s="219"/>
      <c r="Y24" s="220"/>
      <c r="Z24" s="221"/>
      <c r="AA24" s="222"/>
      <c r="AB24" s="223"/>
      <c r="AC24" s="224"/>
    </row>
    <row r="25" spans="1:29" ht="29.25" customHeight="1" thickBot="1">
      <c r="A25" s="514"/>
      <c r="B25" s="764" t="s">
        <v>61</v>
      </c>
      <c r="C25" s="765"/>
      <c r="D25" s="515">
        <f>SUM('[1]6. kiadások megbontása'!J60)</f>
        <v>0</v>
      </c>
      <c r="E25" s="516">
        <f>SUM('[1]6. kiadások megbontása'!K60)</f>
        <v>0</v>
      </c>
      <c r="F25" s="517">
        <f>SUM(D25:E25)</f>
        <v>0</v>
      </c>
      <c r="G25" s="788"/>
      <c r="H25" s="789"/>
      <c r="I25" s="789"/>
      <c r="J25" s="518"/>
      <c r="K25" s="784"/>
      <c r="L25" s="795" t="s">
        <v>585</v>
      </c>
      <c r="M25" s="796"/>
      <c r="N25" s="796"/>
      <c r="O25" s="796"/>
      <c r="P25" s="492"/>
      <c r="Q25" s="784"/>
      <c r="R25" s="795"/>
      <c r="S25" s="796"/>
      <c r="T25" s="796"/>
      <c r="U25" s="796"/>
      <c r="V25" s="1160"/>
      <c r="W25" s="519">
        <f>SUM(V25)</f>
        <v>0</v>
      </c>
      <c r="X25" s="520">
        <f>SUM(W25,Q24,K24)</f>
        <v>10858846</v>
      </c>
      <c r="Y25" s="521">
        <v>0</v>
      </c>
      <c r="Z25" s="522">
        <f>SUM(X25:Y25)</f>
        <v>10858846</v>
      </c>
      <c r="AA25" s="520">
        <f>X25-D25</f>
        <v>10858846</v>
      </c>
      <c r="AB25" s="521">
        <f>Y25-E25</f>
        <v>0</v>
      </c>
      <c r="AC25" s="225">
        <f>SUM(AA25:AB25)</f>
        <v>10858846</v>
      </c>
    </row>
    <row r="26" spans="1:29" ht="29.25" customHeight="1" thickTop="1">
      <c r="A26" s="244"/>
      <c r="B26" s="261"/>
      <c r="C26" s="227"/>
      <c r="D26" s="228"/>
      <c r="E26" s="228"/>
      <c r="F26" s="208"/>
      <c r="G26" s="209"/>
      <c r="H26" s="1157"/>
      <c r="I26" s="1157"/>
      <c r="J26" s="1161"/>
      <c r="K26" s="783">
        <f>SUM(J26:J29)</f>
        <v>0</v>
      </c>
      <c r="L26" s="687" t="s">
        <v>77</v>
      </c>
      <c r="M26" s="1141"/>
      <c r="N26" s="1141"/>
      <c r="O26" s="1141"/>
      <c r="P26" s="1151">
        <v>2000000</v>
      </c>
      <c r="Q26" s="783">
        <f>SUM(P26:P29)</f>
        <v>57715794</v>
      </c>
      <c r="R26" s="720" t="s">
        <v>695</v>
      </c>
      <c r="S26" s="1147"/>
      <c r="T26" s="1147"/>
      <c r="U26" s="1147"/>
      <c r="V26" s="324">
        <v>8000000</v>
      </c>
      <c r="W26" s="774">
        <f>SUM(V26:V29)</f>
        <v>140006417</v>
      </c>
      <c r="X26" s="229"/>
      <c r="Y26" s="230"/>
      <c r="Z26" s="231"/>
      <c r="AA26" s="229"/>
      <c r="AB26" s="230"/>
      <c r="AC26" s="214"/>
    </row>
    <row r="27" spans="1:29" ht="25.5" customHeight="1">
      <c r="A27" s="244"/>
      <c r="B27" s="261"/>
      <c r="C27" s="227"/>
      <c r="D27" s="228"/>
      <c r="E27" s="261"/>
      <c r="F27" s="208"/>
      <c r="G27" s="209"/>
      <c r="H27" s="1157"/>
      <c r="I27" s="1157"/>
      <c r="J27" s="1161"/>
      <c r="K27" s="688"/>
      <c r="L27" s="716" t="s">
        <v>760</v>
      </c>
      <c r="M27" s="1146"/>
      <c r="N27" s="1146"/>
      <c r="O27" s="1146"/>
      <c r="P27" s="1151">
        <v>52411853</v>
      </c>
      <c r="Q27" s="688"/>
      <c r="R27" s="720" t="s">
        <v>697</v>
      </c>
      <c r="S27" s="1147"/>
      <c r="T27" s="1147"/>
      <c r="U27" s="1147"/>
      <c r="V27" s="324">
        <v>117194</v>
      </c>
      <c r="W27" s="680"/>
      <c r="X27" s="544"/>
      <c r="Y27" s="228"/>
      <c r="Z27" s="261"/>
      <c r="AA27" s="244"/>
      <c r="AB27" s="228"/>
      <c r="AC27" s="208"/>
    </row>
    <row r="28" spans="1:223" s="303" customFormat="1" ht="25.5" customHeight="1">
      <c r="A28" s="244"/>
      <c r="B28" s="261"/>
      <c r="C28" s="227"/>
      <c r="D28" s="228"/>
      <c r="E28" s="261"/>
      <c r="F28" s="208"/>
      <c r="G28" s="209"/>
      <c r="H28" s="1157"/>
      <c r="I28" s="1157"/>
      <c r="J28" s="1161"/>
      <c r="K28" s="688"/>
      <c r="L28" s="716" t="s">
        <v>994</v>
      </c>
      <c r="M28" s="1146"/>
      <c r="N28" s="1146"/>
      <c r="O28" s="1146"/>
      <c r="P28" s="1151">
        <v>3303941</v>
      </c>
      <c r="Q28" s="688"/>
      <c r="R28" s="687" t="s">
        <v>699</v>
      </c>
      <c r="S28" s="1141"/>
      <c r="T28" s="1141"/>
      <c r="U28" s="1141"/>
      <c r="V28" s="324">
        <f>130189368-4015200+55</f>
        <v>126174223</v>
      </c>
      <c r="W28" s="680"/>
      <c r="X28" s="544"/>
      <c r="Y28" s="228"/>
      <c r="Z28" s="261"/>
      <c r="AA28" s="244"/>
      <c r="AB28" s="228"/>
      <c r="AC28" s="208"/>
      <c r="AD28" s="322"/>
      <c r="AE28" s="322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2"/>
      <c r="BN28" s="322"/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/>
      <c r="CA28" s="322"/>
      <c r="CB28" s="322"/>
      <c r="CC28" s="322"/>
      <c r="CD28" s="322"/>
      <c r="CE28" s="322"/>
      <c r="CF28" s="322"/>
      <c r="CG28" s="322"/>
      <c r="CH28" s="322"/>
      <c r="CI28" s="322"/>
      <c r="CJ28" s="322"/>
      <c r="CK28" s="322"/>
      <c r="CL28" s="322"/>
      <c r="CM28" s="322"/>
      <c r="CN28" s="322"/>
      <c r="CO28" s="322"/>
      <c r="CP28" s="322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  <c r="DQ28" s="322"/>
      <c r="DR28" s="322"/>
      <c r="DS28" s="322"/>
      <c r="DT28" s="322"/>
      <c r="DU28" s="322"/>
      <c r="DV28" s="322"/>
      <c r="DW28" s="322"/>
      <c r="DX28" s="322"/>
      <c r="DY28" s="322"/>
      <c r="DZ28" s="322"/>
      <c r="EA28" s="322"/>
      <c r="EB28" s="322"/>
      <c r="EC28" s="322"/>
      <c r="ED28" s="322"/>
      <c r="EE28" s="322"/>
      <c r="EF28" s="322"/>
      <c r="EG28" s="322"/>
      <c r="EH28" s="322"/>
      <c r="EI28" s="322"/>
      <c r="EJ28" s="322"/>
      <c r="EK28" s="322"/>
      <c r="EL28" s="322"/>
      <c r="EM28" s="322"/>
      <c r="EN28" s="322"/>
      <c r="EO28" s="322"/>
      <c r="EP28" s="322"/>
      <c r="EQ28" s="322"/>
      <c r="ER28" s="322"/>
      <c r="ES28" s="322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22"/>
      <c r="FF28" s="322"/>
      <c r="FG28" s="322"/>
      <c r="FH28" s="322"/>
      <c r="FI28" s="322"/>
      <c r="FJ28" s="322"/>
      <c r="FK28" s="322"/>
      <c r="FL28" s="322"/>
      <c r="FM28" s="322"/>
      <c r="FN28" s="322"/>
      <c r="FO28" s="322"/>
      <c r="FP28" s="322"/>
      <c r="FQ28" s="322"/>
      <c r="FR28" s="322"/>
      <c r="FS28" s="322"/>
      <c r="FT28" s="322"/>
      <c r="FU28" s="322"/>
      <c r="FV28" s="322"/>
      <c r="FW28" s="322"/>
      <c r="FX28" s="322"/>
      <c r="FY28" s="322"/>
      <c r="FZ28" s="322"/>
      <c r="GA28" s="322"/>
      <c r="GB28" s="322"/>
      <c r="GC28" s="322"/>
      <c r="GD28" s="322"/>
      <c r="GE28" s="322"/>
      <c r="GF28" s="322"/>
      <c r="GG28" s="322"/>
      <c r="GH28" s="322"/>
      <c r="GI28" s="322"/>
      <c r="GJ28" s="322"/>
      <c r="GK28" s="322"/>
      <c r="GL28" s="322"/>
      <c r="GM28" s="322"/>
      <c r="GN28" s="322"/>
      <c r="GO28" s="322"/>
      <c r="GP28" s="322"/>
      <c r="GQ28" s="322"/>
      <c r="GR28" s="322"/>
      <c r="GS28" s="322"/>
      <c r="GT28" s="322"/>
      <c r="GU28" s="322"/>
      <c r="GV28" s="322"/>
      <c r="GW28" s="322"/>
      <c r="GX28" s="322"/>
      <c r="GY28" s="322"/>
      <c r="GZ28" s="322"/>
      <c r="HA28" s="322"/>
      <c r="HB28" s="322"/>
      <c r="HC28" s="322"/>
      <c r="HD28" s="322"/>
      <c r="HE28" s="322"/>
      <c r="HF28" s="322"/>
      <c r="HG28" s="322"/>
      <c r="HH28" s="322"/>
      <c r="HI28" s="322"/>
      <c r="HJ28" s="322"/>
      <c r="HK28" s="322"/>
      <c r="HL28" s="322"/>
      <c r="HM28" s="322"/>
      <c r="HN28" s="322"/>
      <c r="HO28" s="322"/>
    </row>
    <row r="29" spans="1:29" ht="27.75" customHeight="1" thickBot="1">
      <c r="A29" s="704" t="s">
        <v>453</v>
      </c>
      <c r="B29" s="1162"/>
      <c r="C29" s="696"/>
      <c r="D29" s="232">
        <f>SUM('[1]6. kiadások megbontása'!G60)</f>
        <v>0</v>
      </c>
      <c r="E29" s="296">
        <f>SUM('[1]6. kiadások megbontása'!H60)</f>
        <v>0</v>
      </c>
      <c r="F29" s="191">
        <f>SUM(D29:E29)</f>
        <v>0</v>
      </c>
      <c r="G29" s="233"/>
      <c r="H29" s="1163"/>
      <c r="I29" s="1163"/>
      <c r="J29" s="200"/>
      <c r="K29" s="681"/>
      <c r="L29" s="716"/>
      <c r="M29" s="1146"/>
      <c r="N29" s="1146"/>
      <c r="O29" s="1146"/>
      <c r="P29" s="1151"/>
      <c r="Q29" s="681"/>
      <c r="R29" s="721" t="s">
        <v>696</v>
      </c>
      <c r="S29" s="722"/>
      <c r="T29" s="722"/>
      <c r="U29" s="722"/>
      <c r="V29" s="419">
        <v>5715000</v>
      </c>
      <c r="W29" s="775"/>
      <c r="X29" s="234">
        <f>SUM(W26,Q26,K26)</f>
        <v>197722211</v>
      </c>
      <c r="Y29" s="202">
        <f>SUM(Q30,W30,K30)</f>
        <v>894585233</v>
      </c>
      <c r="Z29" s="203">
        <f>SUM(X29:Y29)</f>
        <v>1092307444</v>
      </c>
      <c r="AA29" s="201">
        <f>X29-D29</f>
        <v>197722211</v>
      </c>
      <c r="AB29" s="202">
        <f>Y29-E29</f>
        <v>894585233</v>
      </c>
      <c r="AC29" s="204">
        <f>SUM(AA29:AB29)</f>
        <v>1092307444</v>
      </c>
    </row>
    <row r="30" spans="1:223" s="241" customFormat="1" ht="18.75" customHeight="1" thickBot="1" thickTop="1">
      <c r="A30" s="187"/>
      <c r="B30" s="1148"/>
      <c r="C30" s="188"/>
      <c r="D30" s="232"/>
      <c r="E30" s="296"/>
      <c r="F30" s="191"/>
      <c r="G30" s="403"/>
      <c r="H30" s="404"/>
      <c r="I30" s="404"/>
      <c r="J30" s="210"/>
      <c r="K30" s="679">
        <f>SUM(J30)</f>
        <v>0</v>
      </c>
      <c r="L30" s="693" t="s">
        <v>908</v>
      </c>
      <c r="M30" s="694"/>
      <c r="N30" s="694"/>
      <c r="O30" s="694"/>
      <c r="P30" s="490">
        <v>4990349</v>
      </c>
      <c r="Q30" s="679">
        <f>SUM(P30:P34)</f>
        <v>18058791</v>
      </c>
      <c r="R30" s="720" t="s">
        <v>694</v>
      </c>
      <c r="S30" s="1147"/>
      <c r="T30" s="1147"/>
      <c r="U30" s="1147"/>
      <c r="V30" s="622">
        <f>876526497-55</f>
        <v>876526442</v>
      </c>
      <c r="W30" s="772">
        <f>SUM(V30:V34)</f>
        <v>876526442</v>
      </c>
      <c r="X30" s="235"/>
      <c r="Y30" s="202"/>
      <c r="Z30" s="203"/>
      <c r="AA30" s="201"/>
      <c r="AB30" s="202"/>
      <c r="AC30" s="204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  <c r="GR30" s="172"/>
      <c r="GS30" s="172"/>
      <c r="GT30" s="172"/>
      <c r="GU30" s="172"/>
      <c r="GV30" s="172"/>
      <c r="GW30" s="172"/>
      <c r="GX30" s="172"/>
      <c r="GY30" s="172"/>
      <c r="GZ30" s="172"/>
      <c r="HA30" s="172"/>
      <c r="HB30" s="172"/>
      <c r="HC30" s="172"/>
      <c r="HD30" s="172"/>
      <c r="HE30" s="172"/>
      <c r="HF30" s="172"/>
      <c r="HG30" s="172"/>
      <c r="HH30" s="172"/>
      <c r="HI30" s="172"/>
      <c r="HJ30" s="172"/>
      <c r="HK30" s="172"/>
      <c r="HL30" s="172"/>
      <c r="HM30" s="172"/>
      <c r="HN30" s="172"/>
      <c r="HO30" s="172"/>
    </row>
    <row r="31" spans="1:29" ht="12.75" customHeight="1" thickTop="1">
      <c r="A31" s="187"/>
      <c r="B31" s="1148"/>
      <c r="C31" s="188"/>
      <c r="D31" s="232"/>
      <c r="E31" s="296"/>
      <c r="F31" s="191"/>
      <c r="G31" s="233"/>
      <c r="H31" s="1163"/>
      <c r="I31" s="1163"/>
      <c r="J31" s="200"/>
      <c r="K31" s="688"/>
      <c r="L31" s="716" t="s">
        <v>758</v>
      </c>
      <c r="M31" s="1146"/>
      <c r="N31" s="1146"/>
      <c r="O31" s="1146"/>
      <c r="P31" s="324">
        <v>9889960</v>
      </c>
      <c r="Q31" s="688"/>
      <c r="R31" s="598"/>
      <c r="S31" s="1149"/>
      <c r="T31" s="1149"/>
      <c r="U31" s="1149"/>
      <c r="V31" s="622"/>
      <c r="W31" s="773"/>
      <c r="X31" s="235"/>
      <c r="Y31" s="202"/>
      <c r="Z31" s="203"/>
      <c r="AA31" s="201"/>
      <c r="AB31" s="202"/>
      <c r="AC31" s="204"/>
    </row>
    <row r="32" spans="1:29" ht="12.75" customHeight="1">
      <c r="A32" s="187"/>
      <c r="B32" s="1148"/>
      <c r="C32" s="188"/>
      <c r="D32" s="232"/>
      <c r="E32" s="296"/>
      <c r="F32" s="191"/>
      <c r="G32" s="233"/>
      <c r="H32" s="1163"/>
      <c r="I32" s="1163"/>
      <c r="J32" s="200"/>
      <c r="K32" s="688"/>
      <c r="L32" s="716" t="s">
        <v>994</v>
      </c>
      <c r="M32" s="1146"/>
      <c r="N32" s="1146"/>
      <c r="O32" s="1146"/>
      <c r="P32" s="1151">
        <v>779383</v>
      </c>
      <c r="Q32" s="688"/>
      <c r="R32" s="598"/>
      <c r="S32" s="1149"/>
      <c r="T32" s="1149"/>
      <c r="U32" s="1149"/>
      <c r="V32" s="622"/>
      <c r="W32" s="773"/>
      <c r="X32" s="235"/>
      <c r="Y32" s="202"/>
      <c r="Z32" s="203"/>
      <c r="AA32" s="201"/>
      <c r="AB32" s="202"/>
      <c r="AC32" s="204"/>
    </row>
    <row r="33" spans="1:29" ht="24.75" customHeight="1">
      <c r="A33" s="187"/>
      <c r="B33" s="1148"/>
      <c r="C33" s="188"/>
      <c r="D33" s="232"/>
      <c r="E33" s="296"/>
      <c r="F33" s="191"/>
      <c r="G33" s="233"/>
      <c r="H33" s="1163"/>
      <c r="I33" s="1163"/>
      <c r="J33" s="200"/>
      <c r="K33" s="688"/>
      <c r="L33" s="716" t="s">
        <v>1119</v>
      </c>
      <c r="M33" s="1146"/>
      <c r="N33" s="1146"/>
      <c r="O33" s="1146"/>
      <c r="P33" s="1151">
        <v>1499099</v>
      </c>
      <c r="Q33" s="688"/>
      <c r="R33" s="598"/>
      <c r="S33" s="1149"/>
      <c r="T33" s="1149"/>
      <c r="U33" s="1149"/>
      <c r="V33" s="622"/>
      <c r="W33" s="773"/>
      <c r="X33" s="235"/>
      <c r="Y33" s="202"/>
      <c r="Z33" s="203"/>
      <c r="AA33" s="201"/>
      <c r="AB33" s="202"/>
      <c r="AC33" s="204"/>
    </row>
    <row r="34" spans="1:29" ht="24.75" customHeight="1" thickBot="1">
      <c r="A34" s="187"/>
      <c r="B34" s="1148"/>
      <c r="C34" s="188"/>
      <c r="D34" s="232"/>
      <c r="E34" s="296"/>
      <c r="F34" s="191"/>
      <c r="G34" s="233"/>
      <c r="H34" s="1163"/>
      <c r="I34" s="1163"/>
      <c r="J34" s="200"/>
      <c r="K34" s="688"/>
      <c r="L34" s="721" t="s">
        <v>999</v>
      </c>
      <c r="M34" s="722"/>
      <c r="N34" s="722"/>
      <c r="O34" s="722"/>
      <c r="P34" s="419">
        <v>900000</v>
      </c>
      <c r="Q34" s="688"/>
      <c r="R34" s="304"/>
      <c r="S34" s="1164"/>
      <c r="T34" s="1164"/>
      <c r="U34" s="1164"/>
      <c r="V34" s="324"/>
      <c r="W34" s="773"/>
      <c r="X34" s="235"/>
      <c r="Y34" s="202"/>
      <c r="Z34" s="203"/>
      <c r="AA34" s="201"/>
      <c r="AB34" s="202"/>
      <c r="AC34" s="204"/>
    </row>
    <row r="35" spans="1:29" ht="20.25" customHeight="1" thickBot="1">
      <c r="A35" s="766" t="s">
        <v>62</v>
      </c>
      <c r="B35" s="767"/>
      <c r="C35" s="768"/>
      <c r="D35" s="493">
        <f>SUM(D12:D34)</f>
        <v>2156000</v>
      </c>
      <c r="E35" s="494">
        <f>SUM(E11:E34)</f>
        <v>0</v>
      </c>
      <c r="F35" s="495">
        <f>SUM(F11:F34)</f>
        <v>2156000</v>
      </c>
      <c r="G35" s="317"/>
      <c r="H35" s="701" t="s">
        <v>63</v>
      </c>
      <c r="I35" s="702"/>
      <c r="J35" s="703"/>
      <c r="K35" s="525">
        <f>SUM(K11:K34)</f>
        <v>208323977</v>
      </c>
      <c r="L35" s="315"/>
      <c r="M35" s="685" t="s">
        <v>64</v>
      </c>
      <c r="N35" s="685"/>
      <c r="O35" s="685"/>
      <c r="P35" s="686"/>
      <c r="Q35" s="525">
        <f>SUM(Q11:Q34)</f>
        <v>184940538</v>
      </c>
      <c r="R35" s="315"/>
      <c r="S35" s="685" t="s">
        <v>65</v>
      </c>
      <c r="T35" s="685"/>
      <c r="U35" s="685"/>
      <c r="V35" s="686"/>
      <c r="W35" s="525">
        <f>SUM(W11:W34)</f>
        <v>1792025396</v>
      </c>
      <c r="X35" s="526">
        <f>SUM(X11:X34)</f>
        <v>887032602</v>
      </c>
      <c r="Y35" s="500">
        <f>SUM(Y11:Y34)</f>
        <v>1298257309</v>
      </c>
      <c r="Z35" s="501">
        <f>SUM(X35:Y35)</f>
        <v>2185289911</v>
      </c>
      <c r="AA35" s="502">
        <f>SUM(AA17:AA34)</f>
        <v>884876602</v>
      </c>
      <c r="AB35" s="503">
        <f>SUM(AB13:AB34)</f>
        <v>1298257309</v>
      </c>
      <c r="AC35" s="527">
        <f>SUM(AA35:AB35)</f>
        <v>2183133911</v>
      </c>
    </row>
    <row r="36" spans="1:29" ht="14.25" thickBot="1" thickTop="1">
      <c r="A36" s="707" t="s">
        <v>1120</v>
      </c>
      <c r="B36" s="708"/>
      <c r="C36" s="709"/>
      <c r="D36" s="1124" t="s">
        <v>327</v>
      </c>
      <c r="E36" s="1125"/>
      <c r="F36" s="1126"/>
      <c r="G36" s="713" t="s">
        <v>475</v>
      </c>
      <c r="H36" s="1125"/>
      <c r="I36" s="1125"/>
      <c r="J36" s="1125"/>
      <c r="K36" s="1165"/>
      <c r="L36" s="1127" t="s">
        <v>476</v>
      </c>
      <c r="M36" s="1125"/>
      <c r="N36" s="1125"/>
      <c r="O36" s="1125"/>
      <c r="P36" s="1125"/>
      <c r="Q36" s="1165"/>
      <c r="R36" s="1127" t="s">
        <v>477</v>
      </c>
      <c r="S36" s="1125"/>
      <c r="T36" s="1125"/>
      <c r="U36" s="1125"/>
      <c r="V36" s="1125"/>
      <c r="W36" s="1126"/>
      <c r="X36" s="1166" t="s">
        <v>478</v>
      </c>
      <c r="Y36" s="684"/>
      <c r="Z36" s="684"/>
      <c r="AA36" s="1131" t="s">
        <v>56</v>
      </c>
      <c r="AB36" s="682"/>
      <c r="AC36" s="683"/>
    </row>
    <row r="37" spans="1:29" ht="27.75" customHeight="1" thickBot="1">
      <c r="A37" s="710"/>
      <c r="B37" s="711"/>
      <c r="C37" s="712"/>
      <c r="D37" s="299" t="s">
        <v>57</v>
      </c>
      <c r="E37" s="524" t="s">
        <v>53</v>
      </c>
      <c r="F37" s="1134" t="s">
        <v>58</v>
      </c>
      <c r="G37" s="1167"/>
      <c r="H37" s="1168"/>
      <c r="I37" s="1168"/>
      <c r="J37" s="1169"/>
      <c r="K37" s="1170"/>
      <c r="L37" s="1171"/>
      <c r="M37" s="1168"/>
      <c r="N37" s="1168"/>
      <c r="O37" s="1168"/>
      <c r="P37" s="1168"/>
      <c r="Q37" s="1170"/>
      <c r="R37" s="1171"/>
      <c r="S37" s="1168"/>
      <c r="T37" s="1168"/>
      <c r="U37" s="1168"/>
      <c r="V37" s="1168"/>
      <c r="W37" s="1172"/>
      <c r="X37" s="511" t="s">
        <v>57</v>
      </c>
      <c r="Y37" s="513" t="s">
        <v>53</v>
      </c>
      <c r="Z37" s="1134" t="s">
        <v>58</v>
      </c>
      <c r="AA37" s="505" t="s">
        <v>57</v>
      </c>
      <c r="AB37" s="299" t="s">
        <v>53</v>
      </c>
      <c r="AC37" s="1134" t="s">
        <v>58</v>
      </c>
    </row>
    <row r="38" spans="1:223" s="241" customFormat="1" ht="18.75" customHeight="1" thickBot="1" thickTop="1">
      <c r="A38" s="175"/>
      <c r="B38" s="261"/>
      <c r="C38" s="261"/>
      <c r="D38" s="228"/>
      <c r="E38" s="261"/>
      <c r="F38" s="178"/>
      <c r="G38" s="755" t="s">
        <v>433</v>
      </c>
      <c r="H38" s="756"/>
      <c r="I38" s="756"/>
      <c r="J38" s="757">
        <f>119812800+3401000</f>
        <v>123213800</v>
      </c>
      <c r="K38" s="754">
        <f>SUM(J38:J41)</f>
        <v>133950619</v>
      </c>
      <c r="L38" s="750" t="s">
        <v>693</v>
      </c>
      <c r="M38" s="748"/>
      <c r="N38" s="748"/>
      <c r="O38" s="748"/>
      <c r="P38" s="689">
        <v>7430000</v>
      </c>
      <c r="Q38" s="679">
        <f>SUM(P38:P41)</f>
        <v>11594053</v>
      </c>
      <c r="R38" s="792" t="s">
        <v>782</v>
      </c>
      <c r="S38" s="756"/>
      <c r="T38" s="756"/>
      <c r="U38" s="756"/>
      <c r="V38" s="689">
        <v>250000</v>
      </c>
      <c r="W38" s="724">
        <f>SUM(V38:V41)</f>
        <v>8587068</v>
      </c>
      <c r="X38" s="1173"/>
      <c r="Y38" s="242"/>
      <c r="Z38" s="243"/>
      <c r="AA38" s="175"/>
      <c r="AB38" s="185"/>
      <c r="AC38" s="186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  <c r="GR38" s="172"/>
      <c r="GS38" s="172"/>
      <c r="GT38" s="172"/>
      <c r="GU38" s="172"/>
      <c r="GV38" s="172"/>
      <c r="GW38" s="172"/>
      <c r="GX38" s="172"/>
      <c r="GY38" s="172"/>
      <c r="GZ38" s="172"/>
      <c r="HA38" s="172"/>
      <c r="HB38" s="172"/>
      <c r="HC38" s="172"/>
      <c r="HD38" s="172"/>
      <c r="HE38" s="172"/>
      <c r="HF38" s="172"/>
      <c r="HG38" s="172"/>
      <c r="HH38" s="172"/>
      <c r="HI38" s="172"/>
      <c r="HJ38" s="172"/>
      <c r="HK38" s="172"/>
      <c r="HL38" s="172"/>
      <c r="HM38" s="172"/>
      <c r="HN38" s="172"/>
      <c r="HO38" s="172"/>
    </row>
    <row r="39" spans="1:29" ht="26.25" customHeight="1" thickTop="1">
      <c r="A39" s="244"/>
      <c r="B39" s="293"/>
      <c r="C39" s="293"/>
      <c r="D39" s="245"/>
      <c r="E39" s="261"/>
      <c r="F39" s="208"/>
      <c r="G39" s="749"/>
      <c r="H39" s="1141"/>
      <c r="I39" s="1141"/>
      <c r="J39" s="758"/>
      <c r="K39" s="688"/>
      <c r="L39" s="720"/>
      <c r="M39" s="1147"/>
      <c r="N39" s="1147"/>
      <c r="O39" s="1147"/>
      <c r="P39" s="690"/>
      <c r="Q39" s="688"/>
      <c r="R39" s="687"/>
      <c r="S39" s="1141"/>
      <c r="T39" s="1141"/>
      <c r="U39" s="1141"/>
      <c r="V39" s="690"/>
      <c r="W39" s="725"/>
      <c r="X39" s="1174"/>
      <c r="Y39" s="193"/>
      <c r="Z39" s="184"/>
      <c r="AA39" s="194"/>
      <c r="AB39" s="195"/>
      <c r="AC39" s="196"/>
    </row>
    <row r="40" spans="1:29" ht="19.5" customHeight="1">
      <c r="A40" s="244"/>
      <c r="B40" s="1162" t="s">
        <v>452</v>
      </c>
      <c r="C40" s="696"/>
      <c r="D40" s="232">
        <f>SUM('[1]6. kiadások megbontása'!D68)</f>
        <v>28507248</v>
      </c>
      <c r="E40" s="296">
        <f>SUM('[1]6. kiadások megbontása'!E68)</f>
        <v>152400</v>
      </c>
      <c r="F40" s="191">
        <f>SUM(D40:E40)</f>
        <v>28659648</v>
      </c>
      <c r="G40" s="749" t="s">
        <v>995</v>
      </c>
      <c r="H40" s="1141"/>
      <c r="I40" s="1141"/>
      <c r="J40" s="308">
        <f>33819+239000</f>
        <v>272819</v>
      </c>
      <c r="K40" s="688"/>
      <c r="L40" s="1175" t="s">
        <v>1000</v>
      </c>
      <c r="M40" s="1176"/>
      <c r="N40" s="1176"/>
      <c r="O40" s="1176"/>
      <c r="P40" s="324">
        <f>1960719+47334</f>
        <v>2008053</v>
      </c>
      <c r="Q40" s="688"/>
      <c r="R40" s="687" t="s">
        <v>483</v>
      </c>
      <c r="S40" s="1141"/>
      <c r="T40" s="1141"/>
      <c r="U40" s="1141"/>
      <c r="V40" s="1177">
        <v>6799209</v>
      </c>
      <c r="W40" s="725"/>
      <c r="X40" s="1174">
        <f>SUM(W38,Q38,K38)</f>
        <v>154131740</v>
      </c>
      <c r="Y40" s="193">
        <v>0</v>
      </c>
      <c r="Z40" s="203">
        <f>SUM(Y40,X40)</f>
        <v>154131740</v>
      </c>
      <c r="AA40" s="201">
        <f>X40-D40</f>
        <v>125624492</v>
      </c>
      <c r="AB40" s="202">
        <f>Y40-E40</f>
        <v>-152400</v>
      </c>
      <c r="AC40" s="196">
        <f>SUM(AA40:AB40)</f>
        <v>125472092</v>
      </c>
    </row>
    <row r="41" spans="1:29" ht="17.25" customHeight="1" thickBot="1">
      <c r="A41" s="244"/>
      <c r="B41" s="1148"/>
      <c r="C41" s="1148"/>
      <c r="D41" s="232"/>
      <c r="E41" s="296"/>
      <c r="F41" s="191"/>
      <c r="G41" s="714" t="s">
        <v>998</v>
      </c>
      <c r="H41" s="1150"/>
      <c r="I41" s="1150"/>
      <c r="J41" s="329">
        <v>10464000</v>
      </c>
      <c r="K41" s="688"/>
      <c r="L41" s="793" t="s">
        <v>1121</v>
      </c>
      <c r="M41" s="794"/>
      <c r="N41" s="794"/>
      <c r="O41" s="794"/>
      <c r="P41" s="324">
        <v>2156000</v>
      </c>
      <c r="Q41" s="688"/>
      <c r="R41" s="691" t="s">
        <v>699</v>
      </c>
      <c r="S41" s="692"/>
      <c r="T41" s="692"/>
      <c r="U41" s="692"/>
      <c r="V41" s="419">
        <v>1537859</v>
      </c>
      <c r="W41" s="725"/>
      <c r="X41" s="1174"/>
      <c r="Y41" s="193"/>
      <c r="Z41" s="203"/>
      <c r="AA41" s="201"/>
      <c r="AB41" s="202"/>
      <c r="AC41" s="196"/>
    </row>
    <row r="42" spans="1:29" ht="16.5" thickBot="1">
      <c r="A42" s="759" t="s">
        <v>453</v>
      </c>
      <c r="B42" s="760"/>
      <c r="C42" s="761"/>
      <c r="D42" s="542">
        <f>'[1]6. kiadások megbontása'!G68</f>
        <v>0</v>
      </c>
      <c r="E42" s="531"/>
      <c r="F42" s="543">
        <f>SUM(D42:E42)</f>
        <v>0</v>
      </c>
      <c r="G42" s="532"/>
      <c r="H42" s="532"/>
      <c r="I42" s="532"/>
      <c r="J42" s="1178"/>
      <c r="K42" s="533"/>
      <c r="L42" s="534"/>
      <c r="M42" s="535"/>
      <c r="N42" s="535"/>
      <c r="O42" s="535"/>
      <c r="P42" s="536"/>
      <c r="Q42" s="533"/>
      <c r="R42" s="691" t="s">
        <v>699</v>
      </c>
      <c r="S42" s="692"/>
      <c r="T42" s="692"/>
      <c r="U42" s="692"/>
      <c r="V42" s="537">
        <f>4015200+403910</f>
        <v>4419110</v>
      </c>
      <c r="W42" s="538">
        <f>SUM(V42)</f>
        <v>4419110</v>
      </c>
      <c r="X42" s="539">
        <f>SUM(W42)</f>
        <v>4419110</v>
      </c>
      <c r="Y42" s="540"/>
      <c r="Z42" s="610">
        <f>SUM(Y42,X42)</f>
        <v>4419110</v>
      </c>
      <c r="AA42" s="611">
        <f>X42-D42</f>
        <v>4419110</v>
      </c>
      <c r="AB42" s="612">
        <f>Y42-E42</f>
        <v>0</v>
      </c>
      <c r="AC42" s="541">
        <f>SUM(AA42:AB42)</f>
        <v>4419110</v>
      </c>
    </row>
    <row r="43" spans="1:29" ht="16.5" customHeight="1" thickBot="1">
      <c r="A43" s="751" t="s">
        <v>1122</v>
      </c>
      <c r="B43" s="752"/>
      <c r="C43" s="753"/>
      <c r="D43" s="306">
        <f>SUM(D38:D42)</f>
        <v>28507248</v>
      </c>
      <c r="E43" s="306">
        <f>SUM(E38:E42)</f>
        <v>152400</v>
      </c>
      <c r="F43" s="306">
        <f>SUM(F38:F42)</f>
        <v>28659648</v>
      </c>
      <c r="G43" s="309"/>
      <c r="H43" s="1179" t="s">
        <v>63</v>
      </c>
      <c r="I43" s="1180"/>
      <c r="J43" s="1181"/>
      <c r="K43" s="310">
        <f>SUM(K38:K41)</f>
        <v>133950619</v>
      </c>
      <c r="L43" s="236"/>
      <c r="M43" s="1182" t="s">
        <v>64</v>
      </c>
      <c r="N43" s="1182"/>
      <c r="O43" s="1182"/>
      <c r="P43" s="1183"/>
      <c r="Q43" s="310">
        <f>SUM(Q38:Q41)</f>
        <v>11594053</v>
      </c>
      <c r="R43" s="277"/>
      <c r="S43" s="1182" t="s">
        <v>65</v>
      </c>
      <c r="T43" s="1182"/>
      <c r="U43" s="1182"/>
      <c r="V43" s="1183"/>
      <c r="W43" s="311">
        <f>SUM(W38:W42)</f>
        <v>13006178</v>
      </c>
      <c r="X43" s="312">
        <f>SUM(X38:X42)</f>
        <v>158550850</v>
      </c>
      <c r="Y43" s="237">
        <v>0</v>
      </c>
      <c r="Z43" s="238">
        <f>SUM(X43:Y43)</f>
        <v>158550850</v>
      </c>
      <c r="AA43" s="239">
        <f>X43-D43</f>
        <v>130043602</v>
      </c>
      <c r="AB43" s="240">
        <f>Y43-E43</f>
        <v>-152400</v>
      </c>
      <c r="AC43" s="313">
        <f>SUM(AA43:AB43)</f>
        <v>129891202</v>
      </c>
    </row>
    <row r="44" spans="1:29" ht="27" customHeight="1" thickBot="1" thickTop="1">
      <c r="A44" s="707" t="s">
        <v>779</v>
      </c>
      <c r="B44" s="708"/>
      <c r="C44" s="709"/>
      <c r="D44" s="1124" t="s">
        <v>327</v>
      </c>
      <c r="E44" s="1125"/>
      <c r="F44" s="1126"/>
      <c r="G44" s="713" t="s">
        <v>475</v>
      </c>
      <c r="H44" s="1125"/>
      <c r="I44" s="1125"/>
      <c r="J44" s="1125"/>
      <c r="K44" s="1165"/>
      <c r="L44" s="1127" t="s">
        <v>476</v>
      </c>
      <c r="M44" s="1125"/>
      <c r="N44" s="1125"/>
      <c r="O44" s="1125"/>
      <c r="P44" s="1125"/>
      <c r="Q44" s="1165"/>
      <c r="R44" s="1127" t="s">
        <v>477</v>
      </c>
      <c r="S44" s="1125"/>
      <c r="T44" s="1125"/>
      <c r="U44" s="1125"/>
      <c r="V44" s="1125"/>
      <c r="W44" s="1126"/>
      <c r="X44" s="1166" t="s">
        <v>478</v>
      </c>
      <c r="Y44" s="684"/>
      <c r="Z44" s="684"/>
      <c r="AA44" s="1131" t="s">
        <v>56</v>
      </c>
      <c r="AB44" s="682"/>
      <c r="AC44" s="683"/>
    </row>
    <row r="45" spans="1:223" s="303" customFormat="1" ht="33.75" customHeight="1" thickBot="1">
      <c r="A45" s="710"/>
      <c r="B45" s="711"/>
      <c r="C45" s="712"/>
      <c r="D45" s="299" t="s">
        <v>57</v>
      </c>
      <c r="E45" s="524" t="s">
        <v>53</v>
      </c>
      <c r="F45" s="1134" t="s">
        <v>58</v>
      </c>
      <c r="G45" s="1167"/>
      <c r="H45" s="1168"/>
      <c r="I45" s="1168"/>
      <c r="J45" s="1169"/>
      <c r="K45" s="1170"/>
      <c r="L45" s="1171"/>
      <c r="M45" s="1168"/>
      <c r="N45" s="1168"/>
      <c r="O45" s="1168"/>
      <c r="P45" s="1168"/>
      <c r="Q45" s="1170"/>
      <c r="R45" s="1171"/>
      <c r="S45" s="1168"/>
      <c r="T45" s="1168"/>
      <c r="U45" s="1168"/>
      <c r="V45" s="1168"/>
      <c r="W45" s="1168"/>
      <c r="X45" s="512" t="s">
        <v>57</v>
      </c>
      <c r="Y45" s="513" t="s">
        <v>53</v>
      </c>
      <c r="Z45" s="1134" t="s">
        <v>58</v>
      </c>
      <c r="AA45" s="505" t="s">
        <v>57</v>
      </c>
      <c r="AB45" s="299" t="s">
        <v>53</v>
      </c>
      <c r="AC45" s="1134" t="s">
        <v>58</v>
      </c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  <c r="AV45" s="322"/>
      <c r="AW45" s="322"/>
      <c r="AX45" s="322"/>
      <c r="AY45" s="322"/>
      <c r="AZ45" s="322"/>
      <c r="BA45" s="322"/>
      <c r="BB45" s="322"/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2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322"/>
      <c r="CI45" s="322"/>
      <c r="CJ45" s="322"/>
      <c r="CK45" s="322"/>
      <c r="CL45" s="322"/>
      <c r="CM45" s="322"/>
      <c r="CN45" s="322"/>
      <c r="CO45" s="322"/>
      <c r="CP45" s="322"/>
      <c r="CQ45" s="322"/>
      <c r="CR45" s="322"/>
      <c r="CS45" s="322"/>
      <c r="CT45" s="322"/>
      <c r="CU45" s="322"/>
      <c r="CV45" s="322"/>
      <c r="CW45" s="322"/>
      <c r="CX45" s="322"/>
      <c r="CY45" s="322"/>
      <c r="CZ45" s="322"/>
      <c r="DA45" s="322"/>
      <c r="DB45" s="322"/>
      <c r="DC45" s="322"/>
      <c r="DD45" s="322"/>
      <c r="DE45" s="322"/>
      <c r="DF45" s="322"/>
      <c r="DG45" s="322"/>
      <c r="DH45" s="322"/>
      <c r="DI45" s="322"/>
      <c r="DJ45" s="322"/>
      <c r="DK45" s="322"/>
      <c r="DL45" s="322"/>
      <c r="DM45" s="322"/>
      <c r="DN45" s="322"/>
      <c r="DO45" s="322"/>
      <c r="DP45" s="322"/>
      <c r="DQ45" s="322"/>
      <c r="DR45" s="322"/>
      <c r="DS45" s="322"/>
      <c r="DT45" s="322"/>
      <c r="DU45" s="322"/>
      <c r="DV45" s="322"/>
      <c r="DW45" s="322"/>
      <c r="DX45" s="322"/>
      <c r="DY45" s="322"/>
      <c r="DZ45" s="322"/>
      <c r="EA45" s="322"/>
      <c r="EB45" s="322"/>
      <c r="EC45" s="322"/>
      <c r="ED45" s="322"/>
      <c r="EE45" s="322"/>
      <c r="EF45" s="322"/>
      <c r="EG45" s="322"/>
      <c r="EH45" s="322"/>
      <c r="EI45" s="322"/>
      <c r="EJ45" s="322"/>
      <c r="EK45" s="322"/>
      <c r="EL45" s="322"/>
      <c r="EM45" s="322"/>
      <c r="EN45" s="322"/>
      <c r="EO45" s="322"/>
      <c r="EP45" s="322"/>
      <c r="EQ45" s="322"/>
      <c r="ER45" s="322"/>
      <c r="ES45" s="322"/>
      <c r="ET45" s="322"/>
      <c r="EU45" s="322"/>
      <c r="EV45" s="322"/>
      <c r="EW45" s="322"/>
      <c r="EX45" s="322"/>
      <c r="EY45" s="322"/>
      <c r="EZ45" s="322"/>
      <c r="FA45" s="322"/>
      <c r="FB45" s="322"/>
      <c r="FC45" s="322"/>
      <c r="FD45" s="322"/>
      <c r="FE45" s="322"/>
      <c r="FF45" s="322"/>
      <c r="FG45" s="322"/>
      <c r="FH45" s="322"/>
      <c r="FI45" s="322"/>
      <c r="FJ45" s="322"/>
      <c r="FK45" s="322"/>
      <c r="FL45" s="322"/>
      <c r="FM45" s="322"/>
      <c r="FN45" s="322"/>
      <c r="FO45" s="322"/>
      <c r="FP45" s="322"/>
      <c r="FQ45" s="322"/>
      <c r="FR45" s="322"/>
      <c r="FS45" s="322"/>
      <c r="FT45" s="322"/>
      <c r="FU45" s="322"/>
      <c r="FV45" s="322"/>
      <c r="FW45" s="322"/>
      <c r="FX45" s="322"/>
      <c r="FY45" s="322"/>
      <c r="FZ45" s="322"/>
      <c r="GA45" s="322"/>
      <c r="GB45" s="322"/>
      <c r="GC45" s="322"/>
      <c r="GD45" s="322"/>
      <c r="GE45" s="322"/>
      <c r="GF45" s="322"/>
      <c r="GG45" s="322"/>
      <c r="GH45" s="322"/>
      <c r="GI45" s="322"/>
      <c r="GJ45" s="322"/>
      <c r="GK45" s="322"/>
      <c r="GL45" s="322"/>
      <c r="GM45" s="322"/>
      <c r="GN45" s="322"/>
      <c r="GO45" s="322"/>
      <c r="GP45" s="322"/>
      <c r="GQ45" s="322"/>
      <c r="GR45" s="322"/>
      <c r="GS45" s="322"/>
      <c r="GT45" s="322"/>
      <c r="GU45" s="322"/>
      <c r="GV45" s="322"/>
      <c r="GW45" s="322"/>
      <c r="GX45" s="322"/>
      <c r="GY45" s="322"/>
      <c r="GZ45" s="322"/>
      <c r="HA45" s="322"/>
      <c r="HB45" s="322"/>
      <c r="HC45" s="322"/>
      <c r="HD45" s="322"/>
      <c r="HE45" s="322"/>
      <c r="HF45" s="322"/>
      <c r="HG45" s="322"/>
      <c r="HH45" s="322"/>
      <c r="HI45" s="322"/>
      <c r="HJ45" s="322"/>
      <c r="HK45" s="322"/>
      <c r="HL45" s="322"/>
      <c r="HM45" s="322"/>
      <c r="HN45" s="322"/>
      <c r="HO45" s="322"/>
    </row>
    <row r="46" spans="1:29" ht="15.75">
      <c r="A46" s="175"/>
      <c r="B46" s="261"/>
      <c r="C46" s="261"/>
      <c r="D46" s="228"/>
      <c r="E46" s="261"/>
      <c r="F46" s="178"/>
      <c r="G46" s="715" t="s">
        <v>500</v>
      </c>
      <c r="H46" s="1146"/>
      <c r="I46" s="1146"/>
      <c r="J46" s="307">
        <f>10507640+356000</f>
        <v>10863640</v>
      </c>
      <c r="K46" s="679">
        <f>SUM(J46:J48)</f>
        <v>11725952</v>
      </c>
      <c r="L46" s="693"/>
      <c r="M46" s="694"/>
      <c r="N46" s="694"/>
      <c r="O46" s="694"/>
      <c r="P46" s="689"/>
      <c r="Q46" s="679">
        <f>SUM(P46:P48)</f>
        <v>0</v>
      </c>
      <c r="R46" s="687" t="s">
        <v>762</v>
      </c>
      <c r="S46" s="1141"/>
      <c r="T46" s="1141"/>
      <c r="U46" s="1141"/>
      <c r="V46" s="1140">
        <v>110000</v>
      </c>
      <c r="W46" s="697">
        <f>SUM(V46:V48)</f>
        <v>16641039</v>
      </c>
      <c r="X46" s="509"/>
      <c r="Y46" s="242"/>
      <c r="Z46" s="243"/>
      <c r="AA46" s="175"/>
      <c r="AB46" s="185"/>
      <c r="AC46" s="186"/>
    </row>
    <row r="47" spans="1:29" ht="15.75">
      <c r="A47" s="244"/>
      <c r="B47" s="1162" t="s">
        <v>452</v>
      </c>
      <c r="C47" s="696"/>
      <c r="D47" s="232">
        <f>SUM('[1]6. kiadások megbontása'!D86)</f>
        <v>0</v>
      </c>
      <c r="E47" s="296">
        <f>SUM('[1]6. kiadások megbontása'!E86)</f>
        <v>0</v>
      </c>
      <c r="F47" s="191">
        <f>SUM(D47:E47)</f>
        <v>0</v>
      </c>
      <c r="G47" s="714" t="s">
        <v>997</v>
      </c>
      <c r="H47" s="1150"/>
      <c r="I47" s="1150"/>
      <c r="J47" s="308">
        <v>862312</v>
      </c>
      <c r="K47" s="688"/>
      <c r="L47" s="716"/>
      <c r="M47" s="1146"/>
      <c r="N47" s="1146"/>
      <c r="O47" s="1146"/>
      <c r="P47" s="690"/>
      <c r="Q47" s="688"/>
      <c r="R47" s="687" t="s">
        <v>763</v>
      </c>
      <c r="S47" s="1141"/>
      <c r="T47" s="1141"/>
      <c r="U47" s="1141"/>
      <c r="V47" s="1140">
        <f>4190000+1080000+8076772+2180728+300000+81000</f>
        <v>15908500</v>
      </c>
      <c r="W47" s="680"/>
      <c r="X47" s="508">
        <f>SUM(W46,Q46,K46)</f>
        <v>28366991</v>
      </c>
      <c r="Y47" s="193">
        <v>0</v>
      </c>
      <c r="Z47" s="203">
        <f>SUM(Y47,X47)</f>
        <v>28366991</v>
      </c>
      <c r="AA47" s="201">
        <f>X47-D47</f>
        <v>28366991</v>
      </c>
      <c r="AB47" s="202">
        <f>Y47-E47</f>
        <v>0</v>
      </c>
      <c r="AC47" s="196">
        <f>SUM(AA47:AB47)</f>
        <v>28366991</v>
      </c>
    </row>
    <row r="48" spans="1:223" s="421" customFormat="1" ht="32.25" customHeight="1" thickBot="1">
      <c r="A48" s="244"/>
      <c r="B48" s="293"/>
      <c r="C48" s="293"/>
      <c r="D48" s="246"/>
      <c r="E48" s="289"/>
      <c r="F48" s="247"/>
      <c r="G48" s="1163"/>
      <c r="H48" s="1163"/>
      <c r="I48" s="1163"/>
      <c r="J48" s="159"/>
      <c r="K48" s="688"/>
      <c r="L48" s="323"/>
      <c r="M48" s="1184"/>
      <c r="N48" s="1184"/>
      <c r="O48" s="1184"/>
      <c r="P48" s="200"/>
      <c r="Q48" s="688"/>
      <c r="R48" s="691" t="s">
        <v>699</v>
      </c>
      <c r="S48" s="692"/>
      <c r="T48" s="692"/>
      <c r="U48" s="692"/>
      <c r="V48" s="1140">
        <v>622539</v>
      </c>
      <c r="W48" s="680"/>
      <c r="X48" s="510"/>
      <c r="Y48" s="193"/>
      <c r="Z48" s="184"/>
      <c r="AA48" s="194"/>
      <c r="AB48" s="195"/>
      <c r="AC48" s="196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4"/>
      <c r="BA48" s="504"/>
      <c r="BB48" s="504"/>
      <c r="BC48" s="504"/>
      <c r="BD48" s="504"/>
      <c r="BE48" s="504"/>
      <c r="BF48" s="504"/>
      <c r="BG48" s="504"/>
      <c r="BH48" s="504"/>
      <c r="BI48" s="504"/>
      <c r="BJ48" s="504"/>
      <c r="BK48" s="504"/>
      <c r="BL48" s="504"/>
      <c r="BM48" s="504"/>
      <c r="BN48" s="504"/>
      <c r="BO48" s="504"/>
      <c r="BP48" s="504"/>
      <c r="BQ48" s="504"/>
      <c r="BR48" s="504"/>
      <c r="BS48" s="504"/>
      <c r="BT48" s="504"/>
      <c r="BU48" s="504"/>
      <c r="BV48" s="504"/>
      <c r="BW48" s="504"/>
      <c r="BX48" s="504"/>
      <c r="BY48" s="504"/>
      <c r="BZ48" s="504"/>
      <c r="CA48" s="504"/>
      <c r="CB48" s="504"/>
      <c r="CC48" s="504"/>
      <c r="CD48" s="504"/>
      <c r="CE48" s="504"/>
      <c r="CF48" s="504"/>
      <c r="CG48" s="504"/>
      <c r="CH48" s="504"/>
      <c r="CI48" s="504"/>
      <c r="CJ48" s="504"/>
      <c r="CK48" s="504"/>
      <c r="CL48" s="504"/>
      <c r="CM48" s="504"/>
      <c r="CN48" s="504"/>
      <c r="CO48" s="504"/>
      <c r="CP48" s="504"/>
      <c r="CQ48" s="504"/>
      <c r="CR48" s="504"/>
      <c r="CS48" s="504"/>
      <c r="CT48" s="504"/>
      <c r="CU48" s="504"/>
      <c r="CV48" s="504"/>
      <c r="CW48" s="504"/>
      <c r="CX48" s="504"/>
      <c r="CY48" s="504"/>
      <c r="CZ48" s="504"/>
      <c r="DA48" s="504"/>
      <c r="DB48" s="504"/>
      <c r="DC48" s="504"/>
      <c r="DD48" s="504"/>
      <c r="DE48" s="504"/>
      <c r="DF48" s="504"/>
      <c r="DG48" s="504"/>
      <c r="DH48" s="504"/>
      <c r="DI48" s="504"/>
      <c r="DJ48" s="504"/>
      <c r="DK48" s="504"/>
      <c r="DL48" s="504"/>
      <c r="DM48" s="504"/>
      <c r="DN48" s="504"/>
      <c r="DO48" s="504"/>
      <c r="DP48" s="504"/>
      <c r="DQ48" s="504"/>
      <c r="DR48" s="504"/>
      <c r="DS48" s="504"/>
      <c r="DT48" s="504"/>
      <c r="DU48" s="504"/>
      <c r="DV48" s="504"/>
      <c r="DW48" s="504"/>
      <c r="DX48" s="504"/>
      <c r="DY48" s="504"/>
      <c r="DZ48" s="504"/>
      <c r="EA48" s="504"/>
      <c r="EB48" s="504"/>
      <c r="EC48" s="504"/>
      <c r="ED48" s="504"/>
      <c r="EE48" s="504"/>
      <c r="EF48" s="504"/>
      <c r="EG48" s="504"/>
      <c r="EH48" s="504"/>
      <c r="EI48" s="504"/>
      <c r="EJ48" s="504"/>
      <c r="EK48" s="504"/>
      <c r="EL48" s="504"/>
      <c r="EM48" s="504"/>
      <c r="EN48" s="504"/>
      <c r="EO48" s="504"/>
      <c r="EP48" s="504"/>
      <c r="EQ48" s="504"/>
      <c r="ER48" s="504"/>
      <c r="ES48" s="504"/>
      <c r="ET48" s="504"/>
      <c r="EU48" s="504"/>
      <c r="EV48" s="504"/>
      <c r="EW48" s="504"/>
      <c r="EX48" s="504"/>
      <c r="EY48" s="504"/>
      <c r="EZ48" s="504"/>
      <c r="FA48" s="504"/>
      <c r="FB48" s="504"/>
      <c r="FC48" s="504"/>
      <c r="FD48" s="504"/>
      <c r="FE48" s="504"/>
      <c r="FF48" s="504"/>
      <c r="FG48" s="504"/>
      <c r="FH48" s="504"/>
      <c r="FI48" s="504"/>
      <c r="FJ48" s="504"/>
      <c r="FK48" s="504"/>
      <c r="FL48" s="504"/>
      <c r="FM48" s="504"/>
      <c r="FN48" s="504"/>
      <c r="FO48" s="504"/>
      <c r="FP48" s="504"/>
      <c r="FQ48" s="504"/>
      <c r="FR48" s="504"/>
      <c r="FS48" s="504"/>
      <c r="FT48" s="504"/>
      <c r="FU48" s="504"/>
      <c r="FV48" s="504"/>
      <c r="FW48" s="504"/>
      <c r="FX48" s="504"/>
      <c r="FY48" s="504"/>
      <c r="FZ48" s="504"/>
      <c r="GA48" s="504"/>
      <c r="GB48" s="504"/>
      <c r="GC48" s="504"/>
      <c r="GD48" s="504"/>
      <c r="GE48" s="504"/>
      <c r="GF48" s="504"/>
      <c r="GG48" s="504"/>
      <c r="GH48" s="504"/>
      <c r="GI48" s="504"/>
      <c r="GJ48" s="504"/>
      <c r="GK48" s="504"/>
      <c r="GL48" s="504"/>
      <c r="GM48" s="504"/>
      <c r="GN48" s="504"/>
      <c r="GO48" s="504"/>
      <c r="GP48" s="504"/>
      <c r="GQ48" s="504"/>
      <c r="GR48" s="504"/>
      <c r="GS48" s="504"/>
      <c r="GT48" s="504"/>
      <c r="GU48" s="504"/>
      <c r="GV48" s="504"/>
      <c r="GW48" s="504"/>
      <c r="GX48" s="504"/>
      <c r="GY48" s="504"/>
      <c r="GZ48" s="504"/>
      <c r="HA48" s="504"/>
      <c r="HB48" s="504"/>
      <c r="HC48" s="504"/>
      <c r="HD48" s="504"/>
      <c r="HE48" s="504"/>
      <c r="HF48" s="504"/>
      <c r="HG48" s="504"/>
      <c r="HH48" s="504"/>
      <c r="HI48" s="504"/>
      <c r="HJ48" s="504"/>
      <c r="HK48" s="504"/>
      <c r="HL48" s="504"/>
      <c r="HM48" s="504"/>
      <c r="HN48" s="504"/>
      <c r="HO48" s="504"/>
    </row>
    <row r="49" spans="1:29" ht="25.5" customHeight="1">
      <c r="A49" s="266"/>
      <c r="B49" s="267"/>
      <c r="C49" s="314"/>
      <c r="D49" s="268"/>
      <c r="E49" s="269"/>
      <c r="F49" s="270"/>
      <c r="G49" s="705"/>
      <c r="H49" s="706"/>
      <c r="I49" s="706"/>
      <c r="J49" s="210"/>
      <c r="K49" s="679">
        <f>SUM(J49:J51)</f>
        <v>0</v>
      </c>
      <c r="L49" s="693" t="s">
        <v>909</v>
      </c>
      <c r="M49" s="694"/>
      <c r="N49" s="694"/>
      <c r="O49" s="694"/>
      <c r="P49" s="1185">
        <v>22502900</v>
      </c>
      <c r="Q49" s="679">
        <f>SUM(P49:P52)</f>
        <v>25262612</v>
      </c>
      <c r="R49" s="271"/>
      <c r="S49" s="272"/>
      <c r="T49" s="272"/>
      <c r="U49" s="272"/>
      <c r="V49" s="273"/>
      <c r="W49" s="724">
        <f>SUM(V49:V51)</f>
        <v>0</v>
      </c>
      <c r="X49" s="1186">
        <f>SUM(K50+Q49+W50)</f>
        <v>25262612</v>
      </c>
      <c r="Y49" s="1187">
        <f>Q51</f>
        <v>0</v>
      </c>
      <c r="Z49" s="1188">
        <f>SUM(X50:Y50)</f>
        <v>0</v>
      </c>
      <c r="AA49" s="1186">
        <f>X49-D50</f>
        <v>25262612</v>
      </c>
      <c r="AB49" s="1187">
        <f>Y49-E50</f>
        <v>0</v>
      </c>
      <c r="AC49" s="1188">
        <f>SUM(AA50:AB50)</f>
        <v>0</v>
      </c>
    </row>
    <row r="50" spans="1:29" ht="25.5" customHeight="1">
      <c r="A50" s="704" t="s">
        <v>453</v>
      </c>
      <c r="B50" s="1162"/>
      <c r="C50" s="696"/>
      <c r="D50" s="232">
        <f>SUM('[1]6. kiadások megbontása'!G86)</f>
        <v>0</v>
      </c>
      <c r="E50" s="296">
        <f>SUM('[1]6. kiadások megbontása'!H86)</f>
        <v>0</v>
      </c>
      <c r="F50" s="191">
        <f>SUM(D50:E50)</f>
        <v>0</v>
      </c>
      <c r="G50" s="209"/>
      <c r="H50" s="1157"/>
      <c r="I50" s="1157"/>
      <c r="J50" s="1189"/>
      <c r="K50" s="688"/>
      <c r="L50" s="716"/>
      <c r="M50" s="1146"/>
      <c r="N50" s="1146"/>
      <c r="O50" s="1146"/>
      <c r="P50" s="1190"/>
      <c r="Q50" s="688"/>
      <c r="R50" s="695"/>
      <c r="S50" s="1191"/>
      <c r="T50" s="1191"/>
      <c r="U50" s="1191"/>
      <c r="V50" s="1189"/>
      <c r="W50" s="725"/>
      <c r="X50" s="1192"/>
      <c r="Y50" s="1193"/>
      <c r="Z50" s="1194"/>
      <c r="AA50" s="1192"/>
      <c r="AB50" s="1193"/>
      <c r="AC50" s="1194"/>
    </row>
    <row r="51" spans="1:29" ht="30" customHeight="1">
      <c r="A51" s="187"/>
      <c r="B51" s="1195"/>
      <c r="C51" s="1195"/>
      <c r="D51" s="246"/>
      <c r="E51" s="289"/>
      <c r="F51" s="1196"/>
      <c r="G51" s="1197"/>
      <c r="H51" s="1198"/>
      <c r="I51" s="1198"/>
      <c r="J51" s="1199"/>
      <c r="K51" s="688"/>
      <c r="L51" s="716" t="s">
        <v>910</v>
      </c>
      <c r="M51" s="1146"/>
      <c r="N51" s="1146"/>
      <c r="O51" s="1146"/>
      <c r="P51" s="324">
        <v>2497100</v>
      </c>
      <c r="Q51" s="688"/>
      <c r="R51" s="261"/>
      <c r="S51" s="261"/>
      <c r="T51" s="261"/>
      <c r="U51" s="261"/>
      <c r="V51" s="261"/>
      <c r="W51" s="725"/>
      <c r="X51" s="1192"/>
      <c r="Y51" s="1193"/>
      <c r="Z51" s="1194"/>
      <c r="AA51" s="1192"/>
      <c r="AB51" s="1193"/>
      <c r="AC51" s="1194"/>
    </row>
    <row r="52" spans="1:29" ht="26.25" customHeight="1" thickBot="1">
      <c r="A52" s="187"/>
      <c r="B52" s="1195"/>
      <c r="C52" s="1195"/>
      <c r="D52" s="246"/>
      <c r="E52" s="289"/>
      <c r="F52" s="1200"/>
      <c r="G52" s="274"/>
      <c r="H52" s="275"/>
      <c r="I52" s="275"/>
      <c r="J52" s="276"/>
      <c r="K52" s="681"/>
      <c r="L52" s="721" t="s">
        <v>1123</v>
      </c>
      <c r="M52" s="722"/>
      <c r="N52" s="722"/>
      <c r="O52" s="722"/>
      <c r="P52" s="419">
        <v>262612</v>
      </c>
      <c r="Q52" s="681"/>
      <c r="R52" s="261"/>
      <c r="S52" s="261"/>
      <c r="T52" s="261"/>
      <c r="U52" s="261"/>
      <c r="V52" s="261"/>
      <c r="W52" s="1201"/>
      <c r="X52" s="1202"/>
      <c r="Y52" s="1203"/>
      <c r="Z52" s="1204"/>
      <c r="AA52" s="1202"/>
      <c r="AB52" s="1203"/>
      <c r="AC52" s="1204"/>
    </row>
    <row r="53" spans="1:29" ht="29.25" customHeight="1" thickBot="1">
      <c r="A53" s="698" t="s">
        <v>974</v>
      </c>
      <c r="B53" s="699"/>
      <c r="C53" s="700"/>
      <c r="D53" s="493">
        <f>SUM(D46:D51)</f>
        <v>0</v>
      </c>
      <c r="E53" s="494">
        <f>SUM(E46:E51)</f>
        <v>0</v>
      </c>
      <c r="F53" s="495">
        <f>SUM(F46:F51)</f>
        <v>0</v>
      </c>
      <c r="G53" s="496"/>
      <c r="H53" s="701" t="s">
        <v>63</v>
      </c>
      <c r="I53" s="702"/>
      <c r="J53" s="703"/>
      <c r="K53" s="497">
        <f>SUM(K49+K46)</f>
        <v>11725952</v>
      </c>
      <c r="L53" s="315"/>
      <c r="M53" s="685" t="s">
        <v>64</v>
      </c>
      <c r="N53" s="685"/>
      <c r="O53" s="685"/>
      <c r="P53" s="686"/>
      <c r="Q53" s="497">
        <f>SUM(Q46:Q51)</f>
        <v>25262612</v>
      </c>
      <c r="R53" s="317"/>
      <c r="S53" s="685" t="s">
        <v>65</v>
      </c>
      <c r="T53" s="685"/>
      <c r="U53" s="685"/>
      <c r="V53" s="686"/>
      <c r="W53" s="498">
        <f>SUM(W46:W51)</f>
        <v>16641039</v>
      </c>
      <c r="X53" s="499">
        <f>SUM(X46:X51)</f>
        <v>53629603</v>
      </c>
      <c r="Y53" s="500">
        <f>SUM(Y46:Y51)</f>
        <v>0</v>
      </c>
      <c r="Z53" s="501">
        <f>SUM(X53:Y53)</f>
        <v>53629603</v>
      </c>
      <c r="AA53" s="502">
        <f>X53-D53</f>
        <v>53629603</v>
      </c>
      <c r="AB53" s="503">
        <f>Y53-E53</f>
        <v>0</v>
      </c>
      <c r="AC53" s="313">
        <f>SUM(AA53:AB53)</f>
        <v>53629603</v>
      </c>
    </row>
    <row r="54" spans="1:29" ht="29.25" customHeight="1" thickBot="1" thickTop="1">
      <c r="A54" s="248"/>
      <c r="B54" s="249"/>
      <c r="C54" s="249"/>
      <c r="D54" s="250"/>
      <c r="E54" s="251"/>
      <c r="F54" s="252"/>
      <c r="G54" s="251"/>
      <c r="H54" s="251"/>
      <c r="I54" s="251"/>
      <c r="J54" s="251"/>
      <c r="K54" s="253"/>
      <c r="L54" s="254"/>
      <c r="M54" s="251"/>
      <c r="N54" s="251"/>
      <c r="O54" s="251"/>
      <c r="P54" s="251"/>
      <c r="Q54" s="253"/>
      <c r="R54" s="251"/>
      <c r="S54" s="251"/>
      <c r="T54" s="251"/>
      <c r="U54" s="251"/>
      <c r="V54" s="251"/>
      <c r="W54" s="255"/>
      <c r="X54" s="256"/>
      <c r="Y54" s="257"/>
      <c r="Z54" s="258"/>
      <c r="AA54" s="248"/>
      <c r="AB54" s="259"/>
      <c r="AC54" s="260"/>
    </row>
    <row r="55" spans="1:29" ht="15.75" customHeight="1" thickBot="1" thickTop="1">
      <c r="A55" s="707" t="s">
        <v>716</v>
      </c>
      <c r="B55" s="1123"/>
      <c r="C55" s="1123"/>
      <c r="D55" s="1124" t="s">
        <v>327</v>
      </c>
      <c r="E55" s="1125"/>
      <c r="F55" s="1126"/>
      <c r="G55" s="713" t="s">
        <v>475</v>
      </c>
      <c r="H55" s="727"/>
      <c r="I55" s="727"/>
      <c r="J55" s="727"/>
      <c r="K55" s="728"/>
      <c r="L55" s="1127" t="s">
        <v>476</v>
      </c>
      <c r="M55" s="1128"/>
      <c r="N55" s="1128"/>
      <c r="O55" s="1128"/>
      <c r="P55" s="1128"/>
      <c r="Q55" s="1129"/>
      <c r="R55" s="1127" t="s">
        <v>477</v>
      </c>
      <c r="S55" s="1128"/>
      <c r="T55" s="1128"/>
      <c r="U55" s="1128"/>
      <c r="V55" s="1128"/>
      <c r="W55" s="1205"/>
      <c r="X55" s="1166" t="s">
        <v>478</v>
      </c>
      <c r="Y55" s="684"/>
      <c r="Z55" s="684"/>
      <c r="AA55" s="1131" t="s">
        <v>56</v>
      </c>
      <c r="AB55" s="682"/>
      <c r="AC55" s="683"/>
    </row>
    <row r="56" spans="1:29" ht="16.5" customHeight="1" thickBot="1">
      <c r="A56" s="1132"/>
      <c r="B56" s="1133"/>
      <c r="C56" s="1133"/>
      <c r="D56" s="299" t="s">
        <v>57</v>
      </c>
      <c r="E56" s="524" t="s">
        <v>53</v>
      </c>
      <c r="F56" s="1134" t="s">
        <v>58</v>
      </c>
      <c r="G56" s="729"/>
      <c r="H56" s="730"/>
      <c r="I56" s="730"/>
      <c r="J56" s="730"/>
      <c r="K56" s="731"/>
      <c r="L56" s="1135"/>
      <c r="M56" s="1136"/>
      <c r="N56" s="1136"/>
      <c r="O56" s="1136"/>
      <c r="P56" s="1136"/>
      <c r="Q56" s="1137"/>
      <c r="R56" s="1135"/>
      <c r="S56" s="1136"/>
      <c r="T56" s="1136"/>
      <c r="U56" s="1136"/>
      <c r="V56" s="1136"/>
      <c r="W56" s="1206"/>
      <c r="X56" s="511" t="s">
        <v>57</v>
      </c>
      <c r="Y56" s="299" t="s">
        <v>53</v>
      </c>
      <c r="Z56" s="1138" t="s">
        <v>58</v>
      </c>
      <c r="AA56" s="298" t="s">
        <v>57</v>
      </c>
      <c r="AB56" s="299" t="s">
        <v>53</v>
      </c>
      <c r="AC56" s="1134" t="s">
        <v>58</v>
      </c>
    </row>
    <row r="57" spans="1:29" ht="14.25" customHeight="1">
      <c r="A57" s="244"/>
      <c r="B57" s="261"/>
      <c r="C57" s="261"/>
      <c r="D57" s="228"/>
      <c r="E57" s="261"/>
      <c r="F57" s="208"/>
      <c r="G57" s="749" t="s">
        <v>439</v>
      </c>
      <c r="H57" s="1141"/>
      <c r="I57" s="1141"/>
      <c r="J57" s="324">
        <v>16720333</v>
      </c>
      <c r="K57" s="679">
        <f>SUM(J57:J66)</f>
        <v>192487249</v>
      </c>
      <c r="L57" s="742"/>
      <c r="M57" s="694"/>
      <c r="N57" s="694"/>
      <c r="O57" s="694"/>
      <c r="P57" s="324"/>
      <c r="Q57" s="718">
        <f>SUM(P57:P66)</f>
        <v>0</v>
      </c>
      <c r="R57" s="720" t="s">
        <v>484</v>
      </c>
      <c r="S57" s="1147"/>
      <c r="T57" s="1147"/>
      <c r="U57" s="1147"/>
      <c r="V57" s="1140">
        <v>1081470</v>
      </c>
      <c r="W57" s="724">
        <f>SUM(V57:V66)</f>
        <v>1737615</v>
      </c>
      <c r="X57" s="261"/>
      <c r="Y57" s="228"/>
      <c r="Z57" s="262"/>
      <c r="AA57" s="244"/>
      <c r="AB57" s="228"/>
      <c r="AC57" s="186"/>
    </row>
    <row r="58" spans="1:29" ht="29.25" customHeight="1">
      <c r="A58" s="244"/>
      <c r="B58" s="261"/>
      <c r="C58" s="227"/>
      <c r="D58" s="228"/>
      <c r="E58" s="261"/>
      <c r="F58" s="208"/>
      <c r="G58" s="726" t="s">
        <v>583</v>
      </c>
      <c r="H58" s="1147"/>
      <c r="I58" s="1147"/>
      <c r="J58" s="324">
        <f>90264650+2145000</f>
        <v>92409650</v>
      </c>
      <c r="K58" s="688"/>
      <c r="L58" s="743"/>
      <c r="M58" s="1207"/>
      <c r="N58" s="1207"/>
      <c r="O58" s="1207"/>
      <c r="P58" s="1189"/>
      <c r="Q58" s="719"/>
      <c r="R58" s="720" t="s">
        <v>699</v>
      </c>
      <c r="S58" s="1147"/>
      <c r="T58" s="1147"/>
      <c r="U58" s="1147"/>
      <c r="V58" s="324">
        <v>656145</v>
      </c>
      <c r="W58" s="725"/>
      <c r="X58" s="1151"/>
      <c r="Y58" s="195"/>
      <c r="Z58" s="184"/>
      <c r="AA58" s="194"/>
      <c r="AB58" s="195"/>
      <c r="AC58" s="196"/>
    </row>
    <row r="59" spans="1:29" ht="23.25" customHeight="1">
      <c r="A59" s="244"/>
      <c r="B59" s="261"/>
      <c r="C59" s="227"/>
      <c r="D59" s="228"/>
      <c r="E59" s="261"/>
      <c r="F59" s="208"/>
      <c r="G59" s="726" t="s">
        <v>497</v>
      </c>
      <c r="H59" s="1147"/>
      <c r="I59" s="1147"/>
      <c r="J59" s="1140">
        <v>6068200</v>
      </c>
      <c r="K59" s="688"/>
      <c r="L59" s="305"/>
      <c r="M59" s="1208"/>
      <c r="N59" s="1208"/>
      <c r="O59" s="1208"/>
      <c r="P59" s="1189"/>
      <c r="Q59" s="719"/>
      <c r="R59" s="720"/>
      <c r="S59" s="1147"/>
      <c r="T59" s="1147"/>
      <c r="U59" s="1147"/>
      <c r="V59" s="200"/>
      <c r="W59" s="725"/>
      <c r="X59" s="1151"/>
      <c r="Y59" s="195"/>
      <c r="Z59" s="184"/>
      <c r="AA59" s="194"/>
      <c r="AB59" s="195"/>
      <c r="AC59" s="196"/>
    </row>
    <row r="60" spans="1:223" s="303" customFormat="1" ht="44.25" customHeight="1">
      <c r="A60" s="704" t="s">
        <v>452</v>
      </c>
      <c r="B60" s="1209"/>
      <c r="C60" s="744"/>
      <c r="D60" s="232">
        <f>SUM('[1]6. kiadások megbontása'!D80)</f>
        <v>32372619</v>
      </c>
      <c r="E60" s="296">
        <f>SUM('[1]6. kiadások megbontása'!E80)</f>
        <v>635000</v>
      </c>
      <c r="F60" s="191">
        <f>SUM(D60:E60)</f>
        <v>33007619</v>
      </c>
      <c r="G60" s="726" t="s">
        <v>701</v>
      </c>
      <c r="H60" s="1147"/>
      <c r="I60" s="1147"/>
      <c r="J60" s="324">
        <v>21339990</v>
      </c>
      <c r="K60" s="688"/>
      <c r="L60" s="226"/>
      <c r="M60" s="261"/>
      <c r="N60" s="261"/>
      <c r="O60" s="261"/>
      <c r="P60" s="261"/>
      <c r="Q60" s="719"/>
      <c r="R60" s="716"/>
      <c r="S60" s="1146"/>
      <c r="T60" s="1146"/>
      <c r="U60" s="1146"/>
      <c r="V60" s="1151"/>
      <c r="W60" s="725"/>
      <c r="X60" s="1210">
        <f>SUM(W57+Q57+K57)</f>
        <v>194224864</v>
      </c>
      <c r="Y60" s="202">
        <v>0</v>
      </c>
      <c r="Z60" s="203">
        <f>SUM(X60:Y60)</f>
        <v>194224864</v>
      </c>
      <c r="AA60" s="264">
        <f>X60-D60</f>
        <v>161852245</v>
      </c>
      <c r="AB60" s="202">
        <f>Y60-E60</f>
        <v>-635000</v>
      </c>
      <c r="AC60" s="204">
        <f>SUM(AA60:AB60)</f>
        <v>161217245</v>
      </c>
      <c r="AD60" s="322"/>
      <c r="AE60" s="322"/>
      <c r="AF60" s="322"/>
      <c r="AG60" s="322"/>
      <c r="AH60" s="322"/>
      <c r="AI60" s="322"/>
      <c r="AJ60" s="322"/>
      <c r="AK60" s="322"/>
      <c r="AL60" s="322"/>
      <c r="AM60" s="322"/>
      <c r="AN60" s="322"/>
      <c r="AO60" s="322"/>
      <c r="AP60" s="322"/>
      <c r="AQ60" s="322"/>
      <c r="AR60" s="322"/>
      <c r="AS60" s="322"/>
      <c r="AT60" s="322"/>
      <c r="AU60" s="322"/>
      <c r="AV60" s="322"/>
      <c r="AW60" s="322"/>
      <c r="AX60" s="322"/>
      <c r="AY60" s="322"/>
      <c r="AZ60" s="322"/>
      <c r="BA60" s="322"/>
      <c r="BB60" s="322"/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2"/>
      <c r="BN60" s="322"/>
      <c r="BO60" s="322"/>
      <c r="BP60" s="322"/>
      <c r="BQ60" s="322"/>
      <c r="BR60" s="322"/>
      <c r="BS60" s="322"/>
      <c r="BT60" s="322"/>
      <c r="BU60" s="322"/>
      <c r="BV60" s="322"/>
      <c r="BW60" s="322"/>
      <c r="BX60" s="322"/>
      <c r="BY60" s="322"/>
      <c r="BZ60" s="322"/>
      <c r="CA60" s="322"/>
      <c r="CB60" s="322"/>
      <c r="CC60" s="322"/>
      <c r="CD60" s="322"/>
      <c r="CE60" s="322"/>
      <c r="CF60" s="322"/>
      <c r="CG60" s="322"/>
      <c r="CH60" s="322"/>
      <c r="CI60" s="322"/>
      <c r="CJ60" s="322"/>
      <c r="CK60" s="322"/>
      <c r="CL60" s="322"/>
      <c r="CM60" s="322"/>
      <c r="CN60" s="322"/>
      <c r="CO60" s="322"/>
      <c r="CP60" s="322"/>
      <c r="CQ60" s="322"/>
      <c r="CR60" s="322"/>
      <c r="CS60" s="322"/>
      <c r="CT60" s="322"/>
      <c r="CU60" s="322"/>
      <c r="CV60" s="322"/>
      <c r="CW60" s="322"/>
      <c r="CX60" s="322"/>
      <c r="CY60" s="322"/>
      <c r="CZ60" s="322"/>
      <c r="DA60" s="322"/>
      <c r="DB60" s="322"/>
      <c r="DC60" s="322"/>
      <c r="DD60" s="322"/>
      <c r="DE60" s="322"/>
      <c r="DF60" s="322"/>
      <c r="DG60" s="322"/>
      <c r="DH60" s="322"/>
      <c r="DI60" s="322"/>
      <c r="DJ60" s="322"/>
      <c r="DK60" s="322"/>
      <c r="DL60" s="322"/>
      <c r="DM60" s="322"/>
      <c r="DN60" s="322"/>
      <c r="DO60" s="322"/>
      <c r="DP60" s="322"/>
      <c r="DQ60" s="322"/>
      <c r="DR60" s="322"/>
      <c r="DS60" s="322"/>
      <c r="DT60" s="322"/>
      <c r="DU60" s="322"/>
      <c r="DV60" s="322"/>
      <c r="DW60" s="322"/>
      <c r="DX60" s="322"/>
      <c r="DY60" s="322"/>
      <c r="DZ60" s="322"/>
      <c r="EA60" s="322"/>
      <c r="EB60" s="322"/>
      <c r="EC60" s="322"/>
      <c r="ED60" s="322"/>
      <c r="EE60" s="322"/>
      <c r="EF60" s="322"/>
      <c r="EG60" s="322"/>
      <c r="EH60" s="322"/>
      <c r="EI60" s="322"/>
      <c r="EJ60" s="322"/>
      <c r="EK60" s="322"/>
      <c r="EL60" s="322"/>
      <c r="EM60" s="322"/>
      <c r="EN60" s="322"/>
      <c r="EO60" s="322"/>
      <c r="EP60" s="322"/>
      <c r="EQ60" s="322"/>
      <c r="ER60" s="322"/>
      <c r="ES60" s="322"/>
      <c r="ET60" s="322"/>
      <c r="EU60" s="322"/>
      <c r="EV60" s="322"/>
      <c r="EW60" s="322"/>
      <c r="EX60" s="322"/>
      <c r="EY60" s="322"/>
      <c r="EZ60" s="322"/>
      <c r="FA60" s="322"/>
      <c r="FB60" s="322"/>
      <c r="FC60" s="322"/>
      <c r="FD60" s="322"/>
      <c r="FE60" s="322"/>
      <c r="FF60" s="322"/>
      <c r="FG60" s="322"/>
      <c r="FH60" s="322"/>
      <c r="FI60" s="322"/>
      <c r="FJ60" s="322"/>
      <c r="FK60" s="322"/>
      <c r="FL60" s="322"/>
      <c r="FM60" s="322"/>
      <c r="FN60" s="322"/>
      <c r="FO60" s="322"/>
      <c r="FP60" s="322"/>
      <c r="FQ60" s="322"/>
      <c r="FR60" s="322"/>
      <c r="FS60" s="322"/>
      <c r="FT60" s="322"/>
      <c r="FU60" s="322"/>
      <c r="FV60" s="322"/>
      <c r="FW60" s="322"/>
      <c r="FX60" s="322"/>
      <c r="FY60" s="322"/>
      <c r="FZ60" s="322"/>
      <c r="GA60" s="322"/>
      <c r="GB60" s="322"/>
      <c r="GC60" s="322"/>
      <c r="GD60" s="322"/>
      <c r="GE60" s="322"/>
      <c r="GF60" s="322"/>
      <c r="GG60" s="322"/>
      <c r="GH60" s="322"/>
      <c r="GI60" s="322"/>
      <c r="GJ60" s="322"/>
      <c r="GK60" s="322"/>
      <c r="GL60" s="322"/>
      <c r="GM60" s="322"/>
      <c r="GN60" s="322"/>
      <c r="GO60" s="322"/>
      <c r="GP60" s="322"/>
      <c r="GQ60" s="322"/>
      <c r="GR60" s="322"/>
      <c r="GS60" s="322"/>
      <c r="GT60" s="322"/>
      <c r="GU60" s="322"/>
      <c r="GV60" s="322"/>
      <c r="GW60" s="322"/>
      <c r="GX60" s="322"/>
      <c r="GY60" s="322"/>
      <c r="GZ60" s="322"/>
      <c r="HA60" s="322"/>
      <c r="HB60" s="322"/>
      <c r="HC60" s="322"/>
      <c r="HD60" s="322"/>
      <c r="HE60" s="322"/>
      <c r="HF60" s="322"/>
      <c r="HG60" s="322"/>
      <c r="HH60" s="322"/>
      <c r="HI60" s="322"/>
      <c r="HJ60" s="322"/>
      <c r="HK60" s="322"/>
      <c r="HL60" s="322"/>
      <c r="HM60" s="322"/>
      <c r="HN60" s="322"/>
      <c r="HO60" s="322"/>
    </row>
    <row r="61" spans="1:29" ht="21" customHeight="1">
      <c r="A61" s="187"/>
      <c r="B61" s="1195"/>
      <c r="C61" s="405"/>
      <c r="D61" s="232"/>
      <c r="E61" s="296"/>
      <c r="F61" s="191"/>
      <c r="G61" s="726" t="s">
        <v>703</v>
      </c>
      <c r="H61" s="1147"/>
      <c r="I61" s="1147"/>
      <c r="J61" s="1140">
        <f>21890000+2556000</f>
        <v>24446000</v>
      </c>
      <c r="K61" s="688"/>
      <c r="L61" s="226"/>
      <c r="M61" s="261"/>
      <c r="N61" s="261"/>
      <c r="O61" s="261"/>
      <c r="P61" s="265"/>
      <c r="Q61" s="719"/>
      <c r="R61" s="716"/>
      <c r="S61" s="1146"/>
      <c r="T61" s="1146"/>
      <c r="U61" s="1146"/>
      <c r="V61" s="263"/>
      <c r="W61" s="725"/>
      <c r="X61" s="1174"/>
      <c r="Y61" s="193"/>
      <c r="Z61" s="203"/>
      <c r="AA61" s="201"/>
      <c r="AB61" s="202"/>
      <c r="AC61" s="196"/>
    </row>
    <row r="62" spans="1:29" ht="15.75">
      <c r="A62" s="187"/>
      <c r="B62" s="1195"/>
      <c r="C62" s="405"/>
      <c r="D62" s="232"/>
      <c r="E62" s="296"/>
      <c r="F62" s="191"/>
      <c r="G62" s="726" t="s">
        <v>810</v>
      </c>
      <c r="H62" s="1147"/>
      <c r="I62" s="1147"/>
      <c r="J62" s="1140">
        <v>7297579</v>
      </c>
      <c r="K62" s="688"/>
      <c r="L62" s="226"/>
      <c r="M62" s="261"/>
      <c r="N62" s="261"/>
      <c r="O62" s="261"/>
      <c r="P62" s="265"/>
      <c r="Q62" s="719"/>
      <c r="R62" s="304"/>
      <c r="S62" s="1164"/>
      <c r="T62" s="1164"/>
      <c r="U62" s="1164"/>
      <c r="V62" s="263"/>
      <c r="W62" s="725"/>
      <c r="X62" s="1174"/>
      <c r="Y62" s="193"/>
      <c r="Z62" s="203"/>
      <c r="AA62" s="201"/>
      <c r="AB62" s="202"/>
      <c r="AC62" s="196"/>
    </row>
    <row r="63" spans="1:29" ht="15.75">
      <c r="A63" s="187"/>
      <c r="B63" s="1195"/>
      <c r="C63" s="405"/>
      <c r="D63" s="232"/>
      <c r="E63" s="296"/>
      <c r="F63" s="191"/>
      <c r="G63" s="715" t="s">
        <v>1124</v>
      </c>
      <c r="H63" s="1146"/>
      <c r="I63" s="1146"/>
      <c r="J63" s="1140">
        <f>43857+329940</f>
        <v>373797</v>
      </c>
      <c r="K63" s="688"/>
      <c r="L63" s="226"/>
      <c r="M63" s="261"/>
      <c r="N63" s="261"/>
      <c r="O63" s="261"/>
      <c r="P63" s="265"/>
      <c r="Q63" s="719"/>
      <c r="R63" s="304"/>
      <c r="S63" s="1164"/>
      <c r="T63" s="1164"/>
      <c r="U63" s="1164"/>
      <c r="V63" s="263"/>
      <c r="W63" s="725"/>
      <c r="X63" s="1174"/>
      <c r="Y63" s="193"/>
      <c r="Z63" s="203"/>
      <c r="AA63" s="201"/>
      <c r="AB63" s="202"/>
      <c r="AC63" s="196"/>
    </row>
    <row r="64" spans="1:29" ht="15.75">
      <c r="A64" s="187"/>
      <c r="B64" s="1195"/>
      <c r="C64" s="405"/>
      <c r="D64" s="232"/>
      <c r="E64" s="296"/>
      <c r="F64" s="191"/>
      <c r="G64" s="726" t="s">
        <v>996</v>
      </c>
      <c r="H64" s="1147"/>
      <c r="I64" s="1147"/>
      <c r="J64" s="1140">
        <v>10844656</v>
      </c>
      <c r="K64" s="688"/>
      <c r="L64" s="226"/>
      <c r="M64" s="261"/>
      <c r="N64" s="261"/>
      <c r="O64" s="261"/>
      <c r="P64" s="265"/>
      <c r="Q64" s="719"/>
      <c r="R64" s="304"/>
      <c r="S64" s="1164"/>
      <c r="T64" s="1164"/>
      <c r="U64" s="1164"/>
      <c r="V64" s="263"/>
      <c r="W64" s="725"/>
      <c r="X64" s="1174"/>
      <c r="Y64" s="193"/>
      <c r="Z64" s="203"/>
      <c r="AA64" s="201"/>
      <c r="AB64" s="202"/>
      <c r="AC64" s="196"/>
    </row>
    <row r="65" spans="1:29" ht="15.75">
      <c r="A65" s="187"/>
      <c r="B65" s="1195"/>
      <c r="C65" s="405"/>
      <c r="D65" s="232"/>
      <c r="E65" s="296"/>
      <c r="F65" s="191"/>
      <c r="G65" s="726" t="s">
        <v>757</v>
      </c>
      <c r="H65" s="1147"/>
      <c r="I65" s="1147"/>
      <c r="J65" s="324">
        <v>11544000</v>
      </c>
      <c r="K65" s="688"/>
      <c r="L65" s="226"/>
      <c r="M65" s="261"/>
      <c r="N65" s="261"/>
      <c r="O65" s="261"/>
      <c r="P65" s="265"/>
      <c r="Q65" s="719"/>
      <c r="R65" s="304"/>
      <c r="S65" s="1164"/>
      <c r="T65" s="1164"/>
      <c r="U65" s="1164"/>
      <c r="V65" s="263"/>
      <c r="W65" s="725"/>
      <c r="X65" s="1174"/>
      <c r="Y65" s="193"/>
      <c r="Z65" s="203"/>
      <c r="AA65" s="201"/>
      <c r="AB65" s="202"/>
      <c r="AC65" s="196"/>
    </row>
    <row r="66" spans="1:29" ht="16.5" thickBot="1">
      <c r="A66" s="187"/>
      <c r="B66" s="1195"/>
      <c r="C66" s="405"/>
      <c r="D66" s="232"/>
      <c r="E66" s="296"/>
      <c r="F66" s="191"/>
      <c r="G66" s="735" t="s">
        <v>903</v>
      </c>
      <c r="H66" s="736"/>
      <c r="I66" s="736"/>
      <c r="J66" s="1156">
        <v>1443044</v>
      </c>
      <c r="K66" s="688"/>
      <c r="L66" s="226"/>
      <c r="M66" s="261"/>
      <c r="N66" s="261"/>
      <c r="O66" s="261"/>
      <c r="P66" s="265"/>
      <c r="Q66" s="719"/>
      <c r="R66" s="304"/>
      <c r="S66" s="1164"/>
      <c r="T66" s="1164"/>
      <c r="U66" s="1164"/>
      <c r="V66" s="263"/>
      <c r="W66" s="725"/>
      <c r="X66" s="1174"/>
      <c r="Y66" s="193"/>
      <c r="Z66" s="203"/>
      <c r="AA66" s="201"/>
      <c r="AB66" s="202"/>
      <c r="AC66" s="196"/>
    </row>
    <row r="67" spans="1:29" ht="12.75">
      <c r="A67" s="732" t="s">
        <v>453</v>
      </c>
      <c r="B67" s="733"/>
      <c r="C67" s="734"/>
      <c r="D67" s="1211">
        <f>SUM('[1]6. kiadások megbontása'!G80)</f>
        <v>0</v>
      </c>
      <c r="E67" s="1211">
        <f>SUM('[1]6. kiadások megbontása'!H79)</f>
        <v>0</v>
      </c>
      <c r="F67" s="1212">
        <f>SUM(D67:E67)</f>
        <v>0</v>
      </c>
      <c r="G67" s="1213"/>
      <c r="H67" s="1214"/>
      <c r="I67" s="1214"/>
      <c r="J67" s="1215"/>
      <c r="K67" s="679">
        <f>SUM(J67:J67)</f>
        <v>0</v>
      </c>
      <c r="L67" s="792" t="s">
        <v>783</v>
      </c>
      <c r="M67" s="756"/>
      <c r="N67" s="756"/>
      <c r="O67" s="756"/>
      <c r="P67" s="490">
        <v>6245115</v>
      </c>
      <c r="Q67" s="697">
        <f>SUM(P67:P68)</f>
        <v>7689481</v>
      </c>
      <c r="R67" s="792" t="s">
        <v>699</v>
      </c>
      <c r="S67" s="756"/>
      <c r="T67" s="756"/>
      <c r="U67" s="1216"/>
      <c r="V67" s="689">
        <f>32890088+10500000</f>
        <v>43390088</v>
      </c>
      <c r="W67" s="724">
        <f>SUM(V67:V67)</f>
        <v>43390088</v>
      </c>
      <c r="X67" s="1186">
        <f>SUM(K67+Q67+W67)</f>
        <v>51079569</v>
      </c>
      <c r="Y67" s="1187">
        <v>0</v>
      </c>
      <c r="Z67" s="1188">
        <f>SUM(X67:Y67)</f>
        <v>51079569</v>
      </c>
      <c r="AA67" s="1186">
        <f>X67-D67</f>
        <v>51079569</v>
      </c>
      <c r="AB67" s="1187">
        <f>Y67-E67</f>
        <v>0</v>
      </c>
      <c r="AC67" s="1188">
        <f>SUM(AA67:AB67)</f>
        <v>51079569</v>
      </c>
    </row>
    <row r="68" spans="1:29" ht="13.5" thickBot="1">
      <c r="A68" s="1217"/>
      <c r="B68" s="1218"/>
      <c r="C68" s="1219"/>
      <c r="D68" s="1220"/>
      <c r="E68" s="1220"/>
      <c r="F68" s="1221"/>
      <c r="G68" s="1222"/>
      <c r="H68" s="1223"/>
      <c r="I68" s="1223"/>
      <c r="J68" s="1224"/>
      <c r="K68" s="681"/>
      <c r="L68" s="691" t="s">
        <v>1123</v>
      </c>
      <c r="M68" s="692"/>
      <c r="N68" s="692"/>
      <c r="O68" s="692"/>
      <c r="P68" s="324">
        <v>1444366</v>
      </c>
      <c r="Q68" s="775"/>
      <c r="R68" s="691"/>
      <c r="S68" s="692"/>
      <c r="T68" s="692"/>
      <c r="U68" s="1225"/>
      <c r="V68" s="1226"/>
      <c r="W68" s="1201"/>
      <c r="X68" s="1227"/>
      <c r="Y68" s="1228"/>
      <c r="Z68" s="1229"/>
      <c r="AA68" s="1227"/>
      <c r="AB68" s="1228"/>
      <c r="AC68" s="1229"/>
    </row>
    <row r="69" spans="1:29" ht="17.25" thickBot="1" thickTop="1">
      <c r="A69" s="745" t="s">
        <v>784</v>
      </c>
      <c r="B69" s="746"/>
      <c r="C69" s="747"/>
      <c r="D69" s="596">
        <f>SUM(D58:D67)</f>
        <v>32372619</v>
      </c>
      <c r="E69" s="597">
        <f>SUM(E58:E67)</f>
        <v>635000</v>
      </c>
      <c r="F69" s="495">
        <f>SUM(D69:E69)</f>
        <v>33007619</v>
      </c>
      <c r="G69" s="1230"/>
      <c r="H69" s="701" t="s">
        <v>63</v>
      </c>
      <c r="I69" s="702"/>
      <c r="J69" s="703"/>
      <c r="K69" s="316">
        <f>SUM(K57:K67)</f>
        <v>192487249</v>
      </c>
      <c r="L69" s="315"/>
      <c r="M69" s="685" t="s">
        <v>64</v>
      </c>
      <c r="N69" s="685"/>
      <c r="O69" s="685"/>
      <c r="P69" s="686"/>
      <c r="Q69" s="316">
        <f>SUM(Q57:Q67)</f>
        <v>7689481</v>
      </c>
      <c r="R69" s="317"/>
      <c r="S69" s="685" t="s">
        <v>65</v>
      </c>
      <c r="T69" s="685"/>
      <c r="U69" s="685"/>
      <c r="V69" s="686"/>
      <c r="W69" s="316">
        <f>SUM(W57:W67)</f>
        <v>45127703</v>
      </c>
      <c r="X69" s="318">
        <f>SUM(X56:X67)</f>
        <v>245304433</v>
      </c>
      <c r="Y69" s="319">
        <f>SUM(Y56:Y67)</f>
        <v>0</v>
      </c>
      <c r="Z69" s="320">
        <f>SUM(X69:Y69)</f>
        <v>245304433</v>
      </c>
      <c r="AA69" s="318">
        <f>X69-D69</f>
        <v>212931814</v>
      </c>
      <c r="AB69" s="321">
        <f>Y69-E69</f>
        <v>-635000</v>
      </c>
      <c r="AC69" s="320">
        <f>SUM(AA69:AB69)</f>
        <v>212296814</v>
      </c>
    </row>
    <row r="70" spans="1:29" ht="20.25" thickBot="1" thickTop="1">
      <c r="A70" s="737" t="s">
        <v>330</v>
      </c>
      <c r="B70" s="738"/>
      <c r="C70" s="739"/>
      <c r="D70" s="278">
        <f>SUM(D69,D43,D35,D53)</f>
        <v>63035867</v>
      </c>
      <c r="E70" s="278">
        <f>SUM(E69,E43,E35,E53)</f>
        <v>787400</v>
      </c>
      <c r="F70" s="420">
        <f>SUM(D70:E70)</f>
        <v>63823267</v>
      </c>
      <c r="G70" s="1231"/>
      <c r="H70" s="1232" t="s">
        <v>66</v>
      </c>
      <c r="I70" s="1233"/>
      <c r="J70" s="1234"/>
      <c r="K70" s="280">
        <f>SUM(K69,K43,K35,K53)</f>
        <v>546487797</v>
      </c>
      <c r="L70" s="279"/>
      <c r="M70" s="1235" t="s">
        <v>67</v>
      </c>
      <c r="N70" s="1235"/>
      <c r="O70" s="1235"/>
      <c r="P70" s="1236"/>
      <c r="Q70" s="280">
        <f>SUM(Q69,Q43,Q35,Q53)</f>
        <v>229486684</v>
      </c>
      <c r="R70" s="281"/>
      <c r="S70" s="1235" t="s">
        <v>68</v>
      </c>
      <c r="T70" s="1235"/>
      <c r="U70" s="1235"/>
      <c r="V70" s="1236"/>
      <c r="W70" s="506">
        <f>SUM(W69,W43,W35,W53)</f>
        <v>1866800316</v>
      </c>
      <c r="X70" s="507">
        <f>SUM(X69,X43,X35,X53)</f>
        <v>1344517488</v>
      </c>
      <c r="Y70" s="282">
        <f>SUM(Y69,Y43,Y35,Y53)</f>
        <v>1298257309</v>
      </c>
      <c r="Z70" s="283">
        <f>SUM(W70+Q70+K70)</f>
        <v>2642774797</v>
      </c>
      <c r="AA70" s="282">
        <f>SUM(AA69,AA43,AA35,AA53)</f>
        <v>1281481621</v>
      </c>
      <c r="AB70" s="282">
        <f>SUM(AB69,AB43,AB35,AB53)</f>
        <v>1297469909</v>
      </c>
      <c r="AC70" s="420">
        <f>SUM(AC69,AC43,AC35,AC53)</f>
        <v>2578951530</v>
      </c>
    </row>
    <row r="71" spans="1:29" ht="19.5" thickTop="1">
      <c r="A71" s="740"/>
      <c r="B71" s="741"/>
      <c r="C71" s="741"/>
      <c r="D71" s="261"/>
      <c r="E71" s="261"/>
      <c r="F71" s="261"/>
      <c r="G71" s="215"/>
      <c r="H71" s="215"/>
      <c r="I71" s="215"/>
      <c r="J71" s="284"/>
      <c r="K71" s="1173"/>
      <c r="L71" s="213"/>
      <c r="M71" s="261"/>
      <c r="N71" s="261"/>
      <c r="O71" s="261"/>
      <c r="P71" s="261"/>
      <c r="Q71" s="261"/>
      <c r="R71" s="213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13"/>
    </row>
    <row r="72" spans="1:29" ht="15.75">
      <c r="A72" s="261"/>
      <c r="B72" s="261"/>
      <c r="C72" s="261"/>
      <c r="D72" s="717" t="s">
        <v>450</v>
      </c>
      <c r="E72" s="1169"/>
      <c r="F72" s="1169"/>
      <c r="G72" s="1163"/>
      <c r="H72" s="1163"/>
      <c r="I72" s="1163"/>
      <c r="J72" s="1139"/>
      <c r="K72" s="1173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717" t="s">
        <v>69</v>
      </c>
      <c r="X72" s="1169"/>
      <c r="Y72" s="1169"/>
      <c r="Z72" s="285"/>
      <c r="AA72" s="717" t="s">
        <v>56</v>
      </c>
      <c r="AB72" s="1169"/>
      <c r="AC72" s="1169"/>
    </row>
    <row r="73" spans="1:29" ht="15.75">
      <c r="A73" s="261"/>
      <c r="B73" s="261"/>
      <c r="C73" s="261"/>
      <c r="D73" s="286" t="s">
        <v>57</v>
      </c>
      <c r="E73" s="286" t="s">
        <v>70</v>
      </c>
      <c r="F73" s="286" t="s">
        <v>58</v>
      </c>
      <c r="G73" s="1163"/>
      <c r="H73" s="1163"/>
      <c r="I73" s="1163"/>
      <c r="J73" s="1139"/>
      <c r="K73" s="1173"/>
      <c r="L73" s="261"/>
      <c r="M73" s="261"/>
      <c r="N73" s="261"/>
      <c r="O73" s="261"/>
      <c r="P73" s="261"/>
      <c r="Q73" s="261"/>
      <c r="R73" s="261"/>
      <c r="S73" s="723"/>
      <c r="T73" s="723"/>
      <c r="U73" s="723"/>
      <c r="V73" s="723"/>
      <c r="W73" s="286" t="s">
        <v>57</v>
      </c>
      <c r="X73" s="286" t="s">
        <v>70</v>
      </c>
      <c r="Y73" s="286" t="s">
        <v>58</v>
      </c>
      <c r="Z73" s="287"/>
      <c r="AA73" s="286" t="s">
        <v>57</v>
      </c>
      <c r="AB73" s="286" t="s">
        <v>70</v>
      </c>
      <c r="AC73" s="286" t="s">
        <v>58</v>
      </c>
    </row>
    <row r="74" spans="1:29" ht="15.75">
      <c r="A74" s="261"/>
      <c r="B74" s="261"/>
      <c r="C74" s="288" t="s">
        <v>71</v>
      </c>
      <c r="D74" s="261"/>
      <c r="E74" s="261"/>
      <c r="F74" s="261"/>
      <c r="G74" s="1163"/>
      <c r="H74" s="1163"/>
      <c r="I74" s="1163"/>
      <c r="J74" s="1139"/>
      <c r="K74" s="1173"/>
      <c r="L74" s="261"/>
      <c r="M74" s="261"/>
      <c r="N74" s="261"/>
      <c r="O74" s="261"/>
      <c r="P74" s="261"/>
      <c r="Q74" s="261"/>
      <c r="R74" s="261"/>
      <c r="S74" s="261"/>
      <c r="T74" s="288" t="s">
        <v>71</v>
      </c>
      <c r="U74" s="261"/>
      <c r="V74" s="717"/>
      <c r="W74" s="1169"/>
      <c r="X74" s="261"/>
      <c r="Y74" s="261"/>
      <c r="Z74" s="261"/>
      <c r="AA74" s="261"/>
      <c r="AB74" s="261"/>
      <c r="AC74" s="261"/>
    </row>
    <row r="75" spans="1:29" ht="15.75">
      <c r="A75" s="261"/>
      <c r="B75" s="261"/>
      <c r="C75" s="261" t="s">
        <v>72</v>
      </c>
      <c r="D75" s="289">
        <f>SUM(D13)</f>
        <v>2156000</v>
      </c>
      <c r="E75" s="289">
        <f>SUM(E13)</f>
        <v>0</v>
      </c>
      <c r="F75" s="289">
        <f>SUM(D75:E75)</f>
        <v>2156000</v>
      </c>
      <c r="G75" s="1163"/>
      <c r="H75" s="1163"/>
      <c r="I75" s="1163"/>
      <c r="J75" s="1139"/>
      <c r="K75" s="1173"/>
      <c r="L75" s="261"/>
      <c r="M75" s="261"/>
      <c r="N75" s="261"/>
      <c r="O75" s="261"/>
      <c r="P75" s="261"/>
      <c r="Q75" s="261"/>
      <c r="R75" s="261"/>
      <c r="S75" s="261"/>
      <c r="T75" s="261" t="s">
        <v>72</v>
      </c>
      <c r="U75" s="261"/>
      <c r="V75" s="261"/>
      <c r="W75" s="289">
        <f>SUM(X20)</f>
        <v>678451545</v>
      </c>
      <c r="X75" s="289">
        <f>Y20</f>
        <v>403672076</v>
      </c>
      <c r="Y75" s="289">
        <f>SUM(W75:X75)</f>
        <v>1082123621</v>
      </c>
      <c r="Z75" s="289"/>
      <c r="AA75" s="289">
        <f aca="true" t="shared" si="0" ref="AA75:AB78">W75-D75</f>
        <v>676295545</v>
      </c>
      <c r="AB75" s="289">
        <f t="shared" si="0"/>
        <v>403672076</v>
      </c>
      <c r="AC75" s="289">
        <f>SUM(AA75:AB75)</f>
        <v>1079967621</v>
      </c>
    </row>
    <row r="76" spans="1:29" ht="15.75">
      <c r="A76" s="261"/>
      <c r="B76" s="261"/>
      <c r="C76" s="261" t="s">
        <v>337</v>
      </c>
      <c r="D76" s="289">
        <f>SUM(D40)</f>
        <v>28507248</v>
      </c>
      <c r="E76" s="289">
        <f>SUM(E40)</f>
        <v>152400</v>
      </c>
      <c r="F76" s="289">
        <f>SUM(D76:E76)</f>
        <v>28659648</v>
      </c>
      <c r="G76" s="1163"/>
      <c r="H76" s="1163"/>
      <c r="I76" s="1163"/>
      <c r="J76" s="1139"/>
      <c r="K76" s="1173"/>
      <c r="L76" s="261"/>
      <c r="M76" s="261"/>
      <c r="N76" s="261"/>
      <c r="O76" s="261"/>
      <c r="P76" s="261"/>
      <c r="Q76" s="261"/>
      <c r="R76" s="261"/>
      <c r="S76" s="261"/>
      <c r="T76" s="261" t="s">
        <v>337</v>
      </c>
      <c r="U76" s="261"/>
      <c r="V76" s="261"/>
      <c r="W76" s="289">
        <f>SUM(X40)</f>
        <v>154131740</v>
      </c>
      <c r="X76" s="289">
        <f>Y40</f>
        <v>0</v>
      </c>
      <c r="Y76" s="289">
        <f>SUM(W76:X76)</f>
        <v>154131740</v>
      </c>
      <c r="Z76" s="289"/>
      <c r="AA76" s="289">
        <f t="shared" si="0"/>
        <v>125624492</v>
      </c>
      <c r="AB76" s="289">
        <f t="shared" si="0"/>
        <v>-152400</v>
      </c>
      <c r="AC76" s="289">
        <f>SUM(AA76:AB76)</f>
        <v>125472092</v>
      </c>
    </row>
    <row r="77" spans="1:29" ht="15.75">
      <c r="A77" s="261"/>
      <c r="B77" s="261"/>
      <c r="C77" s="261" t="s">
        <v>756</v>
      </c>
      <c r="D77" s="289">
        <f>SUM(D47)</f>
        <v>0</v>
      </c>
      <c r="E77" s="289">
        <f>SUM(E47)</f>
        <v>0</v>
      </c>
      <c r="F77" s="289">
        <f>SUM(D77:E77)</f>
        <v>0</v>
      </c>
      <c r="G77" s="1163"/>
      <c r="H77" s="1163"/>
      <c r="I77" s="1163"/>
      <c r="J77" s="1139"/>
      <c r="K77" s="1173"/>
      <c r="L77" s="261"/>
      <c r="M77" s="261"/>
      <c r="N77" s="261"/>
      <c r="O77" s="261"/>
      <c r="P77" s="261"/>
      <c r="Q77" s="261"/>
      <c r="R77" s="261"/>
      <c r="S77" s="261"/>
      <c r="T77" s="261" t="s">
        <v>781</v>
      </c>
      <c r="U77" s="261"/>
      <c r="V77" s="261"/>
      <c r="W77" s="289">
        <f>SUM(X47)</f>
        <v>28366991</v>
      </c>
      <c r="X77" s="289">
        <f>SUM(Y47)</f>
        <v>0</v>
      </c>
      <c r="Y77" s="289">
        <f>SUM(W77:X77)</f>
        <v>28366991</v>
      </c>
      <c r="Z77" s="289"/>
      <c r="AA77" s="289">
        <f>W77-D77</f>
        <v>28366991</v>
      </c>
      <c r="AB77" s="289">
        <f>X77-E77</f>
        <v>0</v>
      </c>
      <c r="AC77" s="289">
        <f>SUM(AA77:AB77)</f>
        <v>28366991</v>
      </c>
    </row>
    <row r="78" spans="1:29" ht="12.75">
      <c r="A78" s="261"/>
      <c r="B78" s="261"/>
      <c r="C78" s="290" t="s">
        <v>73</v>
      </c>
      <c r="D78" s="291">
        <f>SUM(D60)</f>
        <v>32372619</v>
      </c>
      <c r="E78" s="291">
        <f>SUM(E60)</f>
        <v>635000</v>
      </c>
      <c r="F78" s="291">
        <f>SUM(D78:E78)</f>
        <v>33007619</v>
      </c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90" t="s">
        <v>73</v>
      </c>
      <c r="U78" s="292"/>
      <c r="V78" s="292"/>
      <c r="W78" s="291">
        <f>SUM(X60)</f>
        <v>194224864</v>
      </c>
      <c r="X78" s="291">
        <f>Y60</f>
        <v>0</v>
      </c>
      <c r="Y78" s="291">
        <f>SUM(W78:X78)</f>
        <v>194224864</v>
      </c>
      <c r="Z78" s="289"/>
      <c r="AA78" s="291">
        <f t="shared" si="0"/>
        <v>161852245</v>
      </c>
      <c r="AB78" s="291">
        <f t="shared" si="0"/>
        <v>-635000</v>
      </c>
      <c r="AC78" s="291">
        <f>SUM(AA78:AB78)</f>
        <v>161217245</v>
      </c>
    </row>
    <row r="79" spans="1:29" ht="12.75">
      <c r="A79" s="261"/>
      <c r="B79" s="261"/>
      <c r="C79" s="293" t="s">
        <v>329</v>
      </c>
      <c r="D79" s="289">
        <f>SUM(D75:D78)</f>
        <v>63035867</v>
      </c>
      <c r="E79" s="289">
        <f>SUM(E75:E78)</f>
        <v>787400</v>
      </c>
      <c r="F79" s="289">
        <f>SUM(F75:F78)</f>
        <v>63823267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93" t="s">
        <v>329</v>
      </c>
      <c r="U79" s="261"/>
      <c r="V79" s="293"/>
      <c r="W79" s="289">
        <f>SUM(W75:W78)</f>
        <v>1055175140</v>
      </c>
      <c r="X79" s="289">
        <f>SUM(X75:X78)</f>
        <v>403672076</v>
      </c>
      <c r="Y79" s="289">
        <f>SUM(Y75:Y78)</f>
        <v>1458847216</v>
      </c>
      <c r="Z79" s="289"/>
      <c r="AA79" s="289">
        <f>SUM(AA75:AA78)</f>
        <v>992139273</v>
      </c>
      <c r="AB79" s="289">
        <f>SUM(AB75:AB78)</f>
        <v>402884676</v>
      </c>
      <c r="AC79" s="289">
        <f>SUM(AC75:AC78)</f>
        <v>1395023949</v>
      </c>
    </row>
    <row r="80" spans="1:29" ht="12.75">
      <c r="A80" s="261"/>
      <c r="B80" s="261"/>
      <c r="C80" s="293"/>
      <c r="D80" s="289"/>
      <c r="E80" s="289"/>
      <c r="F80" s="289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261"/>
      <c r="AA80" s="261"/>
      <c r="AB80" s="261"/>
      <c r="AC80" s="261"/>
    </row>
    <row r="81" spans="1:29" ht="12.75">
      <c r="A81" s="261"/>
      <c r="B81" s="261"/>
      <c r="C81" s="288" t="s">
        <v>74</v>
      </c>
      <c r="D81" s="289"/>
      <c r="E81" s="289"/>
      <c r="F81" s="289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88" t="s">
        <v>74</v>
      </c>
      <c r="U81" s="261"/>
      <c r="V81" s="288"/>
      <c r="W81" s="294"/>
      <c r="X81" s="294"/>
      <c r="Y81" s="261"/>
      <c r="Z81" s="261"/>
      <c r="AA81" s="261"/>
      <c r="AB81" s="261"/>
      <c r="AC81" s="261"/>
    </row>
    <row r="82" spans="1:29" ht="12.75">
      <c r="A82" s="261"/>
      <c r="B82" s="261"/>
      <c r="C82" s="261" t="s">
        <v>72</v>
      </c>
      <c r="D82" s="289">
        <f>SUM(D29)</f>
        <v>0</v>
      </c>
      <c r="E82" s="289">
        <f>SUM(E29)</f>
        <v>0</v>
      </c>
      <c r="F82" s="289">
        <f>SUM(D82:E82)</f>
        <v>0</v>
      </c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1"/>
      <c r="R82" s="261"/>
      <c r="S82" s="261"/>
      <c r="T82" s="261" t="s">
        <v>72</v>
      </c>
      <c r="U82" s="261"/>
      <c r="V82" s="261"/>
      <c r="W82" s="289">
        <f>SUM(X29)</f>
        <v>197722211</v>
      </c>
      <c r="X82" s="289">
        <f>Y29</f>
        <v>894585233</v>
      </c>
      <c r="Y82" s="289">
        <f>SUM(W82:X82)</f>
        <v>1092307444</v>
      </c>
      <c r="Z82" s="289"/>
      <c r="AA82" s="289">
        <f aca="true" t="shared" si="1" ref="AA82:AB85">W82-D82</f>
        <v>197722211</v>
      </c>
      <c r="AB82" s="289">
        <f t="shared" si="1"/>
        <v>894585233</v>
      </c>
      <c r="AC82" s="289">
        <f>SUM(AA82:AB82)</f>
        <v>1092307444</v>
      </c>
    </row>
    <row r="83" spans="1:29" ht="12.75">
      <c r="A83" s="261"/>
      <c r="B83" s="261"/>
      <c r="C83" s="261" t="s">
        <v>337</v>
      </c>
      <c r="D83" s="289">
        <f>D42</f>
        <v>0</v>
      </c>
      <c r="E83" s="289">
        <v>0</v>
      </c>
      <c r="F83" s="289">
        <f>SUM(D83:E83)</f>
        <v>0</v>
      </c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 t="s">
        <v>337</v>
      </c>
      <c r="U83" s="261"/>
      <c r="V83" s="261"/>
      <c r="W83" s="289">
        <f>SUM(X42)</f>
        <v>4419110</v>
      </c>
      <c r="X83" s="289">
        <v>0</v>
      </c>
      <c r="Y83" s="289">
        <f>SUM(W83:X83)</f>
        <v>4419110</v>
      </c>
      <c r="Z83" s="289"/>
      <c r="AA83" s="289">
        <f t="shared" si="1"/>
        <v>4419110</v>
      </c>
      <c r="AB83" s="289">
        <f t="shared" si="1"/>
        <v>0</v>
      </c>
      <c r="AC83" s="289">
        <f>SUM(AA83:AB83)</f>
        <v>4419110</v>
      </c>
    </row>
    <row r="84" spans="1:29" ht="12.75">
      <c r="A84" s="261"/>
      <c r="B84" s="261"/>
      <c r="C84" s="261" t="s">
        <v>756</v>
      </c>
      <c r="D84" s="289">
        <f>SUM(D50)</f>
        <v>0</v>
      </c>
      <c r="E84" s="289">
        <f>SUM(E50)</f>
        <v>0</v>
      </c>
      <c r="F84" s="289">
        <f>SUM(D84:E84)</f>
        <v>0</v>
      </c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261"/>
      <c r="R84" s="261"/>
      <c r="S84" s="261"/>
      <c r="T84" s="261" t="s">
        <v>781</v>
      </c>
      <c r="U84" s="261"/>
      <c r="V84" s="261"/>
      <c r="W84" s="289">
        <f>X49</f>
        <v>25262612</v>
      </c>
      <c r="X84" s="289">
        <f>Y49</f>
        <v>0</v>
      </c>
      <c r="Y84" s="289">
        <f>SUM(W84:X84)</f>
        <v>25262612</v>
      </c>
      <c r="Z84" s="289"/>
      <c r="AA84" s="289">
        <f>W84-D84</f>
        <v>25262612</v>
      </c>
      <c r="AB84" s="289">
        <f>X84-E84</f>
        <v>0</v>
      </c>
      <c r="AC84" s="289">
        <f>SUM(AA84:AB84)</f>
        <v>25262612</v>
      </c>
    </row>
    <row r="85" spans="1:29" ht="12.75">
      <c r="A85" s="261"/>
      <c r="B85" s="261"/>
      <c r="C85" s="290" t="s">
        <v>73</v>
      </c>
      <c r="D85" s="291">
        <f>SUM(D67)</f>
        <v>0</v>
      </c>
      <c r="E85" s="291">
        <f>E67</f>
        <v>0</v>
      </c>
      <c r="F85" s="291">
        <f>SUM(D85:E85)</f>
        <v>0</v>
      </c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90" t="s">
        <v>73</v>
      </c>
      <c r="U85" s="292"/>
      <c r="V85" s="292"/>
      <c r="W85" s="291">
        <f>SUM(X67)</f>
        <v>51079569</v>
      </c>
      <c r="X85" s="291">
        <v>0</v>
      </c>
      <c r="Y85" s="291">
        <f>SUM(W85:X85)</f>
        <v>51079569</v>
      </c>
      <c r="Z85" s="289"/>
      <c r="AA85" s="291">
        <f t="shared" si="1"/>
        <v>51079569</v>
      </c>
      <c r="AB85" s="291">
        <f t="shared" si="1"/>
        <v>0</v>
      </c>
      <c r="AC85" s="291">
        <f>SUM(AA85:AB85)</f>
        <v>51079569</v>
      </c>
    </row>
    <row r="86" spans="1:29" ht="12.75">
      <c r="A86" s="261"/>
      <c r="B86" s="261"/>
      <c r="C86" s="293" t="s">
        <v>329</v>
      </c>
      <c r="D86" s="289">
        <f>SUM(D82:D85)</f>
        <v>0</v>
      </c>
      <c r="E86" s="289">
        <f>SUM(E82:E85)</f>
        <v>0</v>
      </c>
      <c r="F86" s="289">
        <f>SUM(F82:F85)</f>
        <v>0</v>
      </c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93" t="s">
        <v>329</v>
      </c>
      <c r="U86" s="261"/>
      <c r="V86" s="293"/>
      <c r="W86" s="289">
        <f>SUM(W82:W85)</f>
        <v>278483502</v>
      </c>
      <c r="X86" s="289">
        <f>SUM(X82:X85)</f>
        <v>894585233</v>
      </c>
      <c r="Y86" s="289">
        <f>SUM(Y82:Y85)</f>
        <v>1173068735</v>
      </c>
      <c r="Z86" s="289"/>
      <c r="AA86" s="289">
        <f>SUM(AA82:AA85)</f>
        <v>278483502</v>
      </c>
      <c r="AB86" s="289">
        <f>SUM(AB82:AB85)</f>
        <v>894585233</v>
      </c>
      <c r="AC86" s="289">
        <f>SUM(AC82:AC85)</f>
        <v>1173068735</v>
      </c>
    </row>
    <row r="87" spans="1:29" ht="12.75">
      <c r="A87" s="261"/>
      <c r="B87" s="261"/>
      <c r="C87" s="293"/>
      <c r="D87" s="289"/>
      <c r="E87" s="289"/>
      <c r="F87" s="289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89"/>
      <c r="AB87" s="289"/>
      <c r="AC87" s="261"/>
    </row>
    <row r="88" spans="1:29" ht="12.75">
      <c r="A88" s="261"/>
      <c r="B88" s="261"/>
      <c r="C88" s="288" t="s">
        <v>75</v>
      </c>
      <c r="D88" s="289"/>
      <c r="E88" s="289"/>
      <c r="F88" s="289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88" t="s">
        <v>75</v>
      </c>
      <c r="U88" s="261"/>
      <c r="V88" s="288"/>
      <c r="W88" s="261"/>
      <c r="X88" s="261"/>
      <c r="Y88" s="261"/>
      <c r="Z88" s="261"/>
      <c r="AA88" s="289"/>
      <c r="AB88" s="289"/>
      <c r="AC88" s="261"/>
    </row>
    <row r="89" spans="1:29" ht="12.75">
      <c r="A89" s="261"/>
      <c r="B89" s="261"/>
      <c r="C89" s="261" t="s">
        <v>72</v>
      </c>
      <c r="D89" s="289">
        <f>SUM(D25)</f>
        <v>0</v>
      </c>
      <c r="E89" s="289">
        <f>SUM(E25)</f>
        <v>0</v>
      </c>
      <c r="F89" s="289">
        <f>SUM(D89:E89)</f>
        <v>0</v>
      </c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 t="s">
        <v>72</v>
      </c>
      <c r="U89" s="261"/>
      <c r="V89" s="261"/>
      <c r="W89" s="289">
        <f>SUM(X25)</f>
        <v>10858846</v>
      </c>
      <c r="X89" s="289">
        <v>0</v>
      </c>
      <c r="Y89" s="289">
        <f>SUM(W89:X89)</f>
        <v>10858846</v>
      </c>
      <c r="Z89" s="289"/>
      <c r="AA89" s="289">
        <f aca="true" t="shared" si="2" ref="AA89:AB92">W89-D89</f>
        <v>10858846</v>
      </c>
      <c r="AB89" s="289">
        <f t="shared" si="2"/>
        <v>0</v>
      </c>
      <c r="AC89" s="289">
        <f>SUM(AA89:AB89)</f>
        <v>10858846</v>
      </c>
    </row>
    <row r="90" spans="1:29" ht="12.75">
      <c r="A90" s="261"/>
      <c r="B90" s="261"/>
      <c r="C90" s="261" t="s">
        <v>337</v>
      </c>
      <c r="D90" s="289">
        <v>0</v>
      </c>
      <c r="E90" s="289">
        <v>0</v>
      </c>
      <c r="F90" s="289">
        <f>SUM(D90:E90)</f>
        <v>0</v>
      </c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 t="s">
        <v>337</v>
      </c>
      <c r="U90" s="261"/>
      <c r="V90" s="261"/>
      <c r="W90" s="289">
        <v>0</v>
      </c>
      <c r="X90" s="289">
        <v>0</v>
      </c>
      <c r="Y90" s="289">
        <f>SUM(W90:X90)</f>
        <v>0</v>
      </c>
      <c r="Z90" s="289"/>
      <c r="AA90" s="289">
        <f t="shared" si="2"/>
        <v>0</v>
      </c>
      <c r="AB90" s="289">
        <f t="shared" si="2"/>
        <v>0</v>
      </c>
      <c r="AC90" s="289">
        <f>SUM(AA90:AB90)</f>
        <v>0</v>
      </c>
    </row>
    <row r="91" spans="1:29" ht="12.75">
      <c r="A91" s="261"/>
      <c r="B91" s="261"/>
      <c r="C91" s="261" t="s">
        <v>756</v>
      </c>
      <c r="D91" s="289">
        <v>0</v>
      </c>
      <c r="E91" s="289">
        <v>0</v>
      </c>
      <c r="F91" s="289">
        <f>SUM(D91:E91)</f>
        <v>0</v>
      </c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 t="s">
        <v>781</v>
      </c>
      <c r="U91" s="261"/>
      <c r="V91" s="261"/>
      <c r="W91" s="289">
        <v>0</v>
      </c>
      <c r="X91" s="289">
        <v>0</v>
      </c>
      <c r="Y91" s="289">
        <f>SUM(W91:X91)</f>
        <v>0</v>
      </c>
      <c r="Z91" s="289"/>
      <c r="AA91" s="289">
        <f>W91-D91</f>
        <v>0</v>
      </c>
      <c r="AB91" s="289">
        <f>X91-E91</f>
        <v>0</v>
      </c>
      <c r="AC91" s="289">
        <f>SUM(AA91:AB91)</f>
        <v>0</v>
      </c>
    </row>
    <row r="92" spans="1:29" ht="12.75">
      <c r="A92" s="261"/>
      <c r="B92" s="261"/>
      <c r="C92" s="290" t="s">
        <v>73</v>
      </c>
      <c r="D92" s="291">
        <v>0</v>
      </c>
      <c r="E92" s="291">
        <v>0</v>
      </c>
      <c r="F92" s="291">
        <f>SUM(D92:E92)</f>
        <v>0</v>
      </c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90" t="s">
        <v>73</v>
      </c>
      <c r="U92" s="292"/>
      <c r="V92" s="292"/>
      <c r="W92" s="291">
        <v>0</v>
      </c>
      <c r="X92" s="291">
        <v>0</v>
      </c>
      <c r="Y92" s="291">
        <f>SUM(W92:X92)</f>
        <v>0</v>
      </c>
      <c r="Z92" s="289"/>
      <c r="AA92" s="291">
        <f t="shared" si="2"/>
        <v>0</v>
      </c>
      <c r="AB92" s="291">
        <f t="shared" si="2"/>
        <v>0</v>
      </c>
      <c r="AC92" s="291">
        <f>SUM(AA92:AB92)</f>
        <v>0</v>
      </c>
    </row>
    <row r="93" spans="1:29" ht="12.75">
      <c r="A93" s="261"/>
      <c r="B93" s="261"/>
      <c r="C93" s="293" t="s">
        <v>329</v>
      </c>
      <c r="D93" s="289">
        <f>SUM(D89:D92)</f>
        <v>0</v>
      </c>
      <c r="E93" s="289">
        <f>SUM(E89:E92)</f>
        <v>0</v>
      </c>
      <c r="F93" s="289">
        <f>SUM(F89:F92)</f>
        <v>0</v>
      </c>
      <c r="G93" s="261"/>
      <c r="H93" s="261"/>
      <c r="I93" s="261"/>
      <c r="J93" s="261"/>
      <c r="K93" s="261"/>
      <c r="L93" s="261"/>
      <c r="M93" s="261"/>
      <c r="N93" s="261"/>
      <c r="O93" s="261"/>
      <c r="P93" s="261"/>
      <c r="Q93" s="261"/>
      <c r="R93" s="261"/>
      <c r="S93" s="261"/>
      <c r="T93" s="293" t="s">
        <v>329</v>
      </c>
      <c r="U93" s="261"/>
      <c r="V93" s="293"/>
      <c r="W93" s="289">
        <f>SUM(W89:W92)</f>
        <v>10858846</v>
      </c>
      <c r="X93" s="289">
        <f>SUM(X89:X92)</f>
        <v>0</v>
      </c>
      <c r="Y93" s="289">
        <f>SUM(Y89:Y92)</f>
        <v>10858846</v>
      </c>
      <c r="Z93" s="289"/>
      <c r="AA93" s="289">
        <f>SUM(AA89:AA92)</f>
        <v>10858846</v>
      </c>
      <c r="AB93" s="289">
        <f>SUM(AB89:AB92)</f>
        <v>0</v>
      </c>
      <c r="AC93" s="289">
        <f>SUM(AC89:AC92)</f>
        <v>10858846</v>
      </c>
    </row>
    <row r="94" spans="1:29" ht="12.75">
      <c r="A94" s="261"/>
      <c r="B94" s="261"/>
      <c r="C94" s="293"/>
      <c r="D94" s="261"/>
      <c r="E94" s="261"/>
      <c r="F94" s="261"/>
      <c r="G94" s="261"/>
      <c r="H94" s="261"/>
      <c r="I94" s="261"/>
      <c r="J94" s="261"/>
      <c r="K94" s="261"/>
      <c r="L94" s="261"/>
      <c r="M94" s="261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261"/>
      <c r="AA94" s="289"/>
      <c r="AB94" s="289"/>
      <c r="AC94" s="261"/>
    </row>
    <row r="95" spans="1:29" ht="12.75">
      <c r="A95" s="261"/>
      <c r="B95" s="261"/>
      <c r="C95" s="295" t="s">
        <v>76</v>
      </c>
      <c r="D95" s="296">
        <f>SUM(D93,D86,D79)</f>
        <v>63035867</v>
      </c>
      <c r="E95" s="296">
        <f>SUM(E93,E86,E79)</f>
        <v>787400</v>
      </c>
      <c r="F95" s="296">
        <f>SUM(F93,F86,F79)</f>
        <v>63823267</v>
      </c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 t="s">
        <v>76</v>
      </c>
      <c r="U95" s="295"/>
      <c r="V95" s="295"/>
      <c r="W95" s="296">
        <f>SUM(W93,W86,W79)</f>
        <v>1344517488</v>
      </c>
      <c r="X95" s="296">
        <f>SUM(X93,X86,X79)</f>
        <v>1298257309</v>
      </c>
      <c r="Y95" s="296">
        <f>SUM(Y93,Y86,Y79)</f>
        <v>2642774797</v>
      </c>
      <c r="Z95" s="296"/>
      <c r="AA95" s="296">
        <f>SUM(AA93,AA86,AA79)</f>
        <v>1281481621</v>
      </c>
      <c r="AB95" s="296">
        <f>SUM(AB93,AB86,AB79)</f>
        <v>1297469909</v>
      </c>
      <c r="AC95" s="296">
        <f>SUM(AC93,AC86,AC79)</f>
        <v>2578951530</v>
      </c>
    </row>
    <row r="96" spans="1:29" ht="12.75">
      <c r="A96" s="261"/>
      <c r="B96" s="261"/>
      <c r="C96" s="295"/>
      <c r="D96" s="296"/>
      <c r="E96" s="296"/>
      <c r="F96" s="296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6"/>
      <c r="X96" s="296"/>
      <c r="Y96" s="296"/>
      <c r="Z96" s="190"/>
      <c r="AA96" s="296"/>
      <c r="AB96" s="296"/>
      <c r="AC96" s="296"/>
    </row>
    <row r="97" spans="1:29" ht="12.75">
      <c r="A97" s="261"/>
      <c r="B97" s="261"/>
      <c r="C97" s="295"/>
      <c r="D97" s="296"/>
      <c r="E97" s="296"/>
      <c r="F97" s="296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6"/>
      <c r="X97" s="296"/>
      <c r="Y97" s="296"/>
      <c r="Z97" s="190"/>
      <c r="AA97" s="296"/>
      <c r="AB97" s="296"/>
      <c r="AC97" s="296"/>
    </row>
    <row r="98" spans="1:29" ht="12.75">
      <c r="A98" s="295"/>
      <c r="B98" s="295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261"/>
      <c r="AA98" s="261"/>
      <c r="AB98" s="261"/>
      <c r="AC98" s="207"/>
    </row>
    <row r="99" spans="1:29" ht="15">
      <c r="A99" s="620">
        <v>23</v>
      </c>
      <c r="B99" s="621" t="s">
        <v>1028</v>
      </c>
      <c r="C99" s="24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1"/>
      <c r="Q99" s="261"/>
      <c r="R99" s="261"/>
      <c r="S99" s="261"/>
      <c r="T99" s="261"/>
      <c r="U99" s="261"/>
      <c r="V99" s="261"/>
      <c r="W99" s="261"/>
      <c r="X99" s="261"/>
      <c r="Y99" s="261"/>
      <c r="Z99" s="261"/>
      <c r="AA99" s="261"/>
      <c r="AB99" s="261"/>
      <c r="AC99" s="207"/>
    </row>
    <row r="100" spans="1:3" ht="12.75">
      <c r="A100" s="620">
        <v>24</v>
      </c>
      <c r="B100" s="621" t="s">
        <v>1029</v>
      </c>
      <c r="C100" s="261"/>
    </row>
  </sheetData>
  <sheetProtection/>
  <mergeCells count="207">
    <mergeCell ref="A71:C71"/>
    <mergeCell ref="D72:F72"/>
    <mergeCell ref="W72:Y72"/>
    <mergeCell ref="AA72:AC72"/>
    <mergeCell ref="S73:V73"/>
    <mergeCell ref="V74:W74"/>
    <mergeCell ref="A69:C69"/>
    <mergeCell ref="H69:J69"/>
    <mergeCell ref="M69:P69"/>
    <mergeCell ref="S69:V69"/>
    <mergeCell ref="A70:C70"/>
    <mergeCell ref="H70:J70"/>
    <mergeCell ref="M70:P70"/>
    <mergeCell ref="S70:V70"/>
    <mergeCell ref="X67:X68"/>
    <mergeCell ref="Y67:Y68"/>
    <mergeCell ref="Z67:Z68"/>
    <mergeCell ref="AA67:AA68"/>
    <mergeCell ref="AB67:AB68"/>
    <mergeCell ref="AC67:AC68"/>
    <mergeCell ref="K67:K68"/>
    <mergeCell ref="L67:O67"/>
    <mergeCell ref="Q67:Q68"/>
    <mergeCell ref="R67:U68"/>
    <mergeCell ref="V67:V68"/>
    <mergeCell ref="W67:W68"/>
    <mergeCell ref="L68:O68"/>
    <mergeCell ref="G64:I64"/>
    <mergeCell ref="G65:I65"/>
    <mergeCell ref="G66:I66"/>
    <mergeCell ref="A67:C68"/>
    <mergeCell ref="D67:D68"/>
    <mergeCell ref="E67:E68"/>
    <mergeCell ref="F67:F68"/>
    <mergeCell ref="G67:J68"/>
    <mergeCell ref="G60:I60"/>
    <mergeCell ref="R60:U60"/>
    <mergeCell ref="G61:I61"/>
    <mergeCell ref="R61:U61"/>
    <mergeCell ref="G62:I62"/>
    <mergeCell ref="G63:I63"/>
    <mergeCell ref="K57:K66"/>
    <mergeCell ref="L57:O57"/>
    <mergeCell ref="Q57:Q66"/>
    <mergeCell ref="R57:U57"/>
    <mergeCell ref="W57:W66"/>
    <mergeCell ref="L58:O58"/>
    <mergeCell ref="R58:U58"/>
    <mergeCell ref="D55:F55"/>
    <mergeCell ref="G55:K56"/>
    <mergeCell ref="L55:Q56"/>
    <mergeCell ref="R55:W56"/>
    <mergeCell ref="X55:Z55"/>
    <mergeCell ref="AA55:AC55"/>
    <mergeCell ref="AC49:AC52"/>
    <mergeCell ref="A50:C50"/>
    <mergeCell ref="F51:F52"/>
    <mergeCell ref="L51:O51"/>
    <mergeCell ref="L52:O52"/>
    <mergeCell ref="A53:C53"/>
    <mergeCell ref="H53:J53"/>
    <mergeCell ref="M53:P53"/>
    <mergeCell ref="S53:V53"/>
    <mergeCell ref="W49:W52"/>
    <mergeCell ref="X49:X52"/>
    <mergeCell ref="Y49:Y52"/>
    <mergeCell ref="Z49:Z52"/>
    <mergeCell ref="AA49:AA52"/>
    <mergeCell ref="AB49:AB52"/>
    <mergeCell ref="R47:U47"/>
    <mergeCell ref="R48:U48"/>
    <mergeCell ref="K49:K52"/>
    <mergeCell ref="L49:O50"/>
    <mergeCell ref="P49:P50"/>
    <mergeCell ref="Q49:Q52"/>
    <mergeCell ref="X44:Z44"/>
    <mergeCell ref="AA44:AC44"/>
    <mergeCell ref="G46:I46"/>
    <mergeCell ref="K46:K48"/>
    <mergeCell ref="L46:O47"/>
    <mergeCell ref="P46:P47"/>
    <mergeCell ref="Q46:Q48"/>
    <mergeCell ref="R46:U46"/>
    <mergeCell ref="W46:W48"/>
    <mergeCell ref="G47:I47"/>
    <mergeCell ref="M43:P43"/>
    <mergeCell ref="S43:V43"/>
    <mergeCell ref="A44:C45"/>
    <mergeCell ref="D44:F44"/>
    <mergeCell ref="G44:K45"/>
    <mergeCell ref="L44:Q45"/>
    <mergeCell ref="R44:W45"/>
    <mergeCell ref="AA36:AC36"/>
    <mergeCell ref="G38:I39"/>
    <mergeCell ref="J38:J39"/>
    <mergeCell ref="K38:K41"/>
    <mergeCell ref="L38:O39"/>
    <mergeCell ref="P38:P39"/>
    <mergeCell ref="Q38:Q41"/>
    <mergeCell ref="R38:U39"/>
    <mergeCell ref="V38:V39"/>
    <mergeCell ref="W38:W41"/>
    <mergeCell ref="H35:J35"/>
    <mergeCell ref="M35:P35"/>
    <mergeCell ref="S35:V35"/>
    <mergeCell ref="A36:C37"/>
    <mergeCell ref="D36:F36"/>
    <mergeCell ref="G36:K37"/>
    <mergeCell ref="L36:Q37"/>
    <mergeCell ref="R36:W37"/>
    <mergeCell ref="A29:C29"/>
    <mergeCell ref="L29:O29"/>
    <mergeCell ref="R29:U29"/>
    <mergeCell ref="K30:K34"/>
    <mergeCell ref="L30:O30"/>
    <mergeCell ref="Q30:Q34"/>
    <mergeCell ref="R30:U30"/>
    <mergeCell ref="L31:O31"/>
    <mergeCell ref="L32:O32"/>
    <mergeCell ref="K26:K29"/>
    <mergeCell ref="Q26:Q29"/>
    <mergeCell ref="R26:U26"/>
    <mergeCell ref="W26:W29"/>
    <mergeCell ref="R27:U27"/>
    <mergeCell ref="L28:O28"/>
    <mergeCell ref="R28:U28"/>
    <mergeCell ref="G24:I24"/>
    <mergeCell ref="K24:K25"/>
    <mergeCell ref="Q24:Q25"/>
    <mergeCell ref="B25:C25"/>
    <mergeCell ref="G25:I25"/>
    <mergeCell ref="R25:U25"/>
    <mergeCell ref="G20:I20"/>
    <mergeCell ref="G21:I21"/>
    <mergeCell ref="G22:I22"/>
    <mergeCell ref="K22:K23"/>
    <mergeCell ref="Q22:Q23"/>
    <mergeCell ref="W22:W23"/>
    <mergeCell ref="AA9:AC9"/>
    <mergeCell ref="K11:K21"/>
    <mergeCell ref="L11:O11"/>
    <mergeCell ref="Q11:Q21"/>
    <mergeCell ref="R11:U11"/>
    <mergeCell ref="W11:W21"/>
    <mergeCell ref="R12:U12"/>
    <mergeCell ref="A9:C10"/>
    <mergeCell ref="D9:F9"/>
    <mergeCell ref="G9:K10"/>
    <mergeCell ref="L9:Q10"/>
    <mergeCell ref="R9:W10"/>
    <mergeCell ref="X9:Z9"/>
    <mergeCell ref="R14:U14"/>
    <mergeCell ref="L22:O22"/>
    <mergeCell ref="L19:O19"/>
    <mergeCell ref="R16:U16"/>
    <mergeCell ref="R20:U20"/>
    <mergeCell ref="L21:O21"/>
    <mergeCell ref="R22:U22"/>
    <mergeCell ref="L34:O34"/>
    <mergeCell ref="L20:O20"/>
    <mergeCell ref="L27:O27"/>
    <mergeCell ref="L25:O25"/>
    <mergeCell ref="L24:O24"/>
    <mergeCell ref="L26:O26"/>
    <mergeCell ref="L23:O23"/>
    <mergeCell ref="L33:O33"/>
    <mergeCell ref="W30:W34"/>
    <mergeCell ref="R15:U15"/>
    <mergeCell ref="L12:O12"/>
    <mergeCell ref="G15:I15"/>
    <mergeCell ref="G14:I14"/>
    <mergeCell ref="L13:O13"/>
    <mergeCell ref="G18:I18"/>
    <mergeCell ref="G13:I13"/>
    <mergeCell ref="G19:I19"/>
    <mergeCell ref="G16:I16"/>
    <mergeCell ref="G17:I17"/>
    <mergeCell ref="G12:I12"/>
    <mergeCell ref="G11:I11"/>
    <mergeCell ref="A3:AC3"/>
    <mergeCell ref="A6:AC6"/>
    <mergeCell ref="T1:AB1"/>
    <mergeCell ref="R23:U23"/>
    <mergeCell ref="R21:U21"/>
    <mergeCell ref="L18:O18"/>
    <mergeCell ref="A35:C35"/>
    <mergeCell ref="R59:U59"/>
    <mergeCell ref="G59:I59"/>
    <mergeCell ref="G49:I49"/>
    <mergeCell ref="A60:C60"/>
    <mergeCell ref="A55:C56"/>
    <mergeCell ref="G58:I58"/>
    <mergeCell ref="G57:I57"/>
    <mergeCell ref="B47:C47"/>
    <mergeCell ref="R50:U50"/>
    <mergeCell ref="R40:U40"/>
    <mergeCell ref="G40:I40"/>
    <mergeCell ref="A43:C43"/>
    <mergeCell ref="A42:C42"/>
    <mergeCell ref="R42:U42"/>
    <mergeCell ref="H43:J43"/>
    <mergeCell ref="R41:U41"/>
    <mergeCell ref="B40:C40"/>
    <mergeCell ref="L40:O40"/>
    <mergeCell ref="G41:I41"/>
    <mergeCell ref="L41:O41"/>
    <mergeCell ref="X36:Z3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15" sqref="B115"/>
    </sheetView>
  </sheetViews>
  <sheetFormatPr defaultColWidth="9.00390625" defaultRowHeight="12.75"/>
  <cols>
    <col min="1" max="1" width="37.25390625" style="0" customWidth="1"/>
    <col min="14" max="14" width="9.125" style="89" customWidth="1"/>
  </cols>
  <sheetData>
    <row r="1" spans="8:13" ht="15">
      <c r="H1" s="1"/>
      <c r="I1" s="1"/>
      <c r="J1" s="1"/>
      <c r="K1" s="1"/>
      <c r="L1" s="1"/>
      <c r="M1" s="5" t="s">
        <v>1128</v>
      </c>
    </row>
    <row r="2" spans="8:13" ht="12.75">
      <c r="H2" s="1"/>
      <c r="I2" s="1"/>
      <c r="J2" s="1"/>
      <c r="K2" s="1"/>
      <c r="L2" s="1"/>
      <c r="M2" s="2"/>
    </row>
    <row r="3" spans="8:13" ht="12.75">
      <c r="H3" s="1"/>
      <c r="I3" s="1"/>
      <c r="J3" s="1"/>
      <c r="K3" s="1"/>
      <c r="L3" s="1"/>
      <c r="M3" s="2"/>
    </row>
    <row r="4" spans="1:14" s="32" customFormat="1" ht="14.25" customHeight="1">
      <c r="A4" s="797" t="s">
        <v>486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90"/>
    </row>
    <row r="5" spans="1:14" s="32" customFormat="1" ht="14.25" customHeight="1">
      <c r="A5" s="797" t="s">
        <v>416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90"/>
    </row>
    <row r="6" spans="1:14" s="32" customFormat="1" ht="18" customHeight="1">
      <c r="A6" s="797"/>
      <c r="B6" s="797"/>
      <c r="C6" s="797"/>
      <c r="D6" s="797"/>
      <c r="E6" s="797"/>
      <c r="F6" s="797"/>
      <c r="G6" s="797"/>
      <c r="H6" s="797"/>
      <c r="I6" s="797"/>
      <c r="J6" s="797"/>
      <c r="K6" s="797"/>
      <c r="L6" s="797"/>
      <c r="M6" s="797"/>
      <c r="N6" s="90"/>
    </row>
    <row r="7" spans="1:14" s="31" customFormat="1" ht="12.75">
      <c r="A7" s="77" t="s">
        <v>326</v>
      </c>
      <c r="B7" s="53" t="s">
        <v>309</v>
      </c>
      <c r="C7" s="53" t="s">
        <v>310</v>
      </c>
      <c r="D7" s="53" t="s">
        <v>311</v>
      </c>
      <c r="E7" s="53" t="s">
        <v>312</v>
      </c>
      <c r="F7" s="53" t="s">
        <v>313</v>
      </c>
      <c r="G7" s="53" t="s">
        <v>314</v>
      </c>
      <c r="H7" s="53" t="s">
        <v>315</v>
      </c>
      <c r="I7" s="53" t="s">
        <v>316</v>
      </c>
      <c r="J7" s="53" t="s">
        <v>317</v>
      </c>
      <c r="K7" s="53" t="s">
        <v>318</v>
      </c>
      <c r="L7" s="53" t="s">
        <v>319</v>
      </c>
      <c r="M7" s="53" t="s">
        <v>320</v>
      </c>
      <c r="N7" s="91"/>
    </row>
    <row r="8" spans="1:14" s="34" customFormat="1" ht="22.5" customHeight="1">
      <c r="A8" s="92" t="s">
        <v>716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</row>
    <row r="9" spans="1:14" s="391" customFormat="1" ht="20.25" customHeight="1">
      <c r="A9" s="388" t="s">
        <v>715</v>
      </c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90"/>
    </row>
    <row r="10" spans="1:14" s="33" customFormat="1" ht="12.75">
      <c r="A10" s="81" t="s">
        <v>586</v>
      </c>
      <c r="B10" s="55">
        <v>15</v>
      </c>
      <c r="C10" s="55">
        <v>15</v>
      </c>
      <c r="D10" s="55">
        <v>15</v>
      </c>
      <c r="E10" s="55">
        <v>15</v>
      </c>
      <c r="F10" s="55">
        <v>15</v>
      </c>
      <c r="G10" s="55">
        <v>15</v>
      </c>
      <c r="H10" s="55">
        <v>15</v>
      </c>
      <c r="I10" s="55">
        <v>15</v>
      </c>
      <c r="J10" s="55">
        <v>16</v>
      </c>
      <c r="K10" s="55">
        <v>16</v>
      </c>
      <c r="L10" s="55">
        <v>16</v>
      </c>
      <c r="M10" s="55">
        <v>16</v>
      </c>
      <c r="N10" s="97"/>
    </row>
    <row r="11" spans="1:14" s="33" customFormat="1" ht="12.75" customHeight="1">
      <c r="A11" s="81" t="s">
        <v>587</v>
      </c>
      <c r="B11" s="55">
        <v>2</v>
      </c>
      <c r="C11" s="55">
        <v>2</v>
      </c>
      <c r="D11" s="55">
        <v>2</v>
      </c>
      <c r="E11" s="55">
        <v>2</v>
      </c>
      <c r="F11" s="55">
        <v>2</v>
      </c>
      <c r="G11" s="55">
        <v>2</v>
      </c>
      <c r="H11" s="55">
        <v>2</v>
      </c>
      <c r="I11" s="55">
        <v>2</v>
      </c>
      <c r="J11" s="55">
        <v>2</v>
      </c>
      <c r="K11" s="55">
        <v>2</v>
      </c>
      <c r="L11" s="55">
        <v>2</v>
      </c>
      <c r="M11" s="55">
        <v>2</v>
      </c>
      <c r="N11" s="97"/>
    </row>
    <row r="12" spans="1:14" s="33" customFormat="1" ht="12.75">
      <c r="A12" s="80" t="s">
        <v>588</v>
      </c>
      <c r="B12" s="55">
        <v>8</v>
      </c>
      <c r="C12" s="55">
        <v>8</v>
      </c>
      <c r="D12" s="55">
        <v>8</v>
      </c>
      <c r="E12" s="55">
        <v>8</v>
      </c>
      <c r="F12" s="55">
        <v>8</v>
      </c>
      <c r="G12" s="55">
        <v>8</v>
      </c>
      <c r="H12" s="55">
        <v>8</v>
      </c>
      <c r="I12" s="55">
        <v>8</v>
      </c>
      <c r="J12" s="55">
        <v>9</v>
      </c>
      <c r="K12" s="55">
        <v>9</v>
      </c>
      <c r="L12" s="55">
        <v>9</v>
      </c>
      <c r="M12" s="55">
        <v>8</v>
      </c>
      <c r="N12" s="97"/>
    </row>
    <row r="13" spans="1:14" s="33" customFormat="1" ht="12.75">
      <c r="A13" s="81" t="s">
        <v>589</v>
      </c>
      <c r="B13" s="55">
        <v>1</v>
      </c>
      <c r="C13" s="55">
        <v>1</v>
      </c>
      <c r="D13" s="55">
        <v>1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97"/>
    </row>
    <row r="14" spans="1:14" s="33" customFormat="1" ht="25.5">
      <c r="A14" s="81" t="s">
        <v>786</v>
      </c>
      <c r="B14" s="55">
        <v>1</v>
      </c>
      <c r="C14" s="55">
        <v>1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55">
        <v>1</v>
      </c>
      <c r="M14" s="55">
        <v>1</v>
      </c>
      <c r="N14" s="97"/>
    </row>
    <row r="15" spans="1:14" s="391" customFormat="1" ht="20.25" customHeight="1">
      <c r="A15" s="388" t="s">
        <v>717</v>
      </c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90"/>
    </row>
    <row r="16" spans="1:14" s="33" customFormat="1" ht="12.75">
      <c r="A16" s="81" t="s">
        <v>718</v>
      </c>
      <c r="B16" s="55">
        <v>1</v>
      </c>
      <c r="C16" s="55">
        <v>1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97"/>
    </row>
    <row r="17" spans="1:14" s="33" customFormat="1" ht="12.75">
      <c r="A17" s="81" t="s">
        <v>719</v>
      </c>
      <c r="B17" s="55">
        <v>1</v>
      </c>
      <c r="C17" s="55">
        <v>1</v>
      </c>
      <c r="D17" s="55">
        <v>1</v>
      </c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97"/>
    </row>
    <row r="18" spans="1:14" s="33" customFormat="1" ht="12.75">
      <c r="A18" s="81" t="s">
        <v>720</v>
      </c>
      <c r="B18" s="55">
        <v>1</v>
      </c>
      <c r="C18" s="55">
        <v>1</v>
      </c>
      <c r="D18" s="55">
        <v>1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97"/>
    </row>
    <row r="19" spans="1:14" s="391" customFormat="1" ht="20.25" customHeight="1">
      <c r="A19" s="388" t="s">
        <v>592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90"/>
    </row>
    <row r="20" spans="1:14" s="33" customFormat="1" ht="12.75">
      <c r="A20" s="81" t="s">
        <v>721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97"/>
    </row>
    <row r="21" spans="1:14" s="33" customFormat="1" ht="12.75">
      <c r="A21" s="81" t="s">
        <v>722</v>
      </c>
      <c r="B21" s="55">
        <v>1</v>
      </c>
      <c r="C21" s="55">
        <v>1</v>
      </c>
      <c r="D21" s="55">
        <v>1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97"/>
    </row>
    <row r="22" spans="1:14" s="391" customFormat="1" ht="27" customHeight="1">
      <c r="A22" s="388" t="s">
        <v>548</v>
      </c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90"/>
    </row>
    <row r="23" spans="1:14" s="33" customFormat="1" ht="12.75">
      <c r="A23" s="81" t="s">
        <v>590</v>
      </c>
      <c r="B23" s="55">
        <v>1</v>
      </c>
      <c r="C23" s="55">
        <v>1</v>
      </c>
      <c r="D23" s="55">
        <v>1</v>
      </c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97"/>
    </row>
    <row r="24" spans="1:14" s="33" customFormat="1" ht="12.75">
      <c r="A24" s="81" t="s">
        <v>723</v>
      </c>
      <c r="B24" s="55">
        <v>3</v>
      </c>
      <c r="C24" s="55">
        <v>3</v>
      </c>
      <c r="D24" s="55">
        <v>3</v>
      </c>
      <c r="E24" s="55">
        <v>3</v>
      </c>
      <c r="F24" s="55">
        <v>3</v>
      </c>
      <c r="G24" s="55">
        <v>3</v>
      </c>
      <c r="H24" s="55">
        <v>3</v>
      </c>
      <c r="I24" s="55">
        <v>3</v>
      </c>
      <c r="J24" s="55">
        <v>3</v>
      </c>
      <c r="K24" s="55">
        <v>3</v>
      </c>
      <c r="L24" s="55">
        <v>3</v>
      </c>
      <c r="M24" s="55">
        <v>3</v>
      </c>
      <c r="N24" s="97"/>
    </row>
    <row r="25" spans="1:14" s="33" customFormat="1" ht="25.5">
      <c r="A25" s="81" t="s">
        <v>724</v>
      </c>
      <c r="B25" s="55">
        <v>0.5</v>
      </c>
      <c r="C25" s="55">
        <v>0.5</v>
      </c>
      <c r="D25" s="55">
        <v>0.5</v>
      </c>
      <c r="E25" s="55">
        <v>0.5</v>
      </c>
      <c r="F25" s="55">
        <v>0.5</v>
      </c>
      <c r="G25" s="55">
        <v>0.5</v>
      </c>
      <c r="H25" s="55">
        <v>0.5</v>
      </c>
      <c r="I25" s="55">
        <v>0.5</v>
      </c>
      <c r="J25" s="55">
        <v>0.5</v>
      </c>
      <c r="K25" s="55">
        <v>0.5</v>
      </c>
      <c r="L25" s="55">
        <v>0.5</v>
      </c>
      <c r="M25" s="55">
        <v>0.5</v>
      </c>
      <c r="N25" s="97"/>
    </row>
    <row r="26" spans="1:14" s="391" customFormat="1" ht="29.25" customHeight="1">
      <c r="A26" s="388" t="s">
        <v>666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90"/>
    </row>
    <row r="27" spans="1:14" s="33" customFormat="1" ht="25.5">
      <c r="A27" s="81" t="s">
        <v>725</v>
      </c>
      <c r="B27" s="55">
        <v>0.5</v>
      </c>
      <c r="C27" s="55">
        <v>0.5</v>
      </c>
      <c r="D27" s="55">
        <v>0.5</v>
      </c>
      <c r="E27" s="55">
        <v>0.5</v>
      </c>
      <c r="F27" s="55">
        <v>0.5</v>
      </c>
      <c r="G27" s="55">
        <v>0.5</v>
      </c>
      <c r="H27" s="55">
        <v>0.5</v>
      </c>
      <c r="I27" s="55">
        <v>0.5</v>
      </c>
      <c r="J27" s="55">
        <v>0.5</v>
      </c>
      <c r="K27" s="55">
        <v>0.5</v>
      </c>
      <c r="L27" s="55">
        <v>0.5</v>
      </c>
      <c r="M27" s="55">
        <v>0.5</v>
      </c>
      <c r="N27" s="97"/>
    </row>
    <row r="28" spans="1:14" s="33" customFormat="1" ht="12.75">
      <c r="A28" s="81" t="s">
        <v>591</v>
      </c>
      <c r="B28" s="55">
        <v>3</v>
      </c>
      <c r="C28" s="55">
        <v>3</v>
      </c>
      <c r="D28" s="55">
        <v>3</v>
      </c>
      <c r="E28" s="55">
        <v>4</v>
      </c>
      <c r="F28" s="55">
        <v>4</v>
      </c>
      <c r="G28" s="55">
        <v>4</v>
      </c>
      <c r="H28" s="55">
        <v>4</v>
      </c>
      <c r="I28" s="55">
        <v>4</v>
      </c>
      <c r="J28" s="55">
        <v>4</v>
      </c>
      <c r="K28" s="55">
        <v>4</v>
      </c>
      <c r="L28" s="55">
        <v>4</v>
      </c>
      <c r="M28" s="55">
        <v>4</v>
      </c>
      <c r="N28" s="97"/>
    </row>
    <row r="29" spans="1:14" s="33" customFormat="1" ht="12.75">
      <c r="A29" s="81" t="s">
        <v>951</v>
      </c>
      <c r="B29" s="55">
        <v>1</v>
      </c>
      <c r="C29" s="55">
        <v>1</v>
      </c>
      <c r="D29" s="55">
        <v>1</v>
      </c>
      <c r="E29" s="55">
        <v>2</v>
      </c>
      <c r="F29" s="55">
        <v>2</v>
      </c>
      <c r="G29" s="55">
        <v>2</v>
      </c>
      <c r="H29" s="55">
        <v>2</v>
      </c>
      <c r="I29" s="55">
        <v>2</v>
      </c>
      <c r="J29" s="55">
        <v>2</v>
      </c>
      <c r="K29" s="55">
        <v>2</v>
      </c>
      <c r="L29" s="55">
        <v>2</v>
      </c>
      <c r="M29" s="55">
        <v>2</v>
      </c>
      <c r="N29" s="97"/>
    </row>
    <row r="30" spans="1:14" s="33" customFormat="1" ht="25.5">
      <c r="A30" s="81" t="s">
        <v>962</v>
      </c>
      <c r="B30" s="55">
        <v>2</v>
      </c>
      <c r="C30" s="55">
        <v>2</v>
      </c>
      <c r="D30" s="55">
        <v>2</v>
      </c>
      <c r="E30" s="55">
        <v>2</v>
      </c>
      <c r="F30" s="55">
        <v>2</v>
      </c>
      <c r="G30" s="55">
        <v>2</v>
      </c>
      <c r="H30" s="55">
        <v>2</v>
      </c>
      <c r="I30" s="55">
        <v>2</v>
      </c>
      <c r="J30" s="55">
        <v>2</v>
      </c>
      <c r="K30" s="55">
        <v>2</v>
      </c>
      <c r="L30" s="55">
        <v>2</v>
      </c>
      <c r="M30" s="55">
        <v>2</v>
      </c>
      <c r="N30" s="97"/>
    </row>
    <row r="31" spans="1:14" ht="25.5">
      <c r="A31" s="93" t="s">
        <v>952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/>
    </row>
    <row r="32" spans="1:14" ht="12.75">
      <c r="A32" s="80" t="s">
        <v>953</v>
      </c>
      <c r="B32" s="55">
        <v>1</v>
      </c>
      <c r="C32" s="55">
        <v>1</v>
      </c>
      <c r="D32" s="55">
        <v>1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/>
    </row>
    <row r="33" spans="1:14" ht="12.75">
      <c r="A33" s="80" t="s">
        <v>954</v>
      </c>
      <c r="B33" s="55">
        <v>0.5</v>
      </c>
      <c r="C33" s="55">
        <v>0.5</v>
      </c>
      <c r="D33" s="55">
        <v>0.5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/>
    </row>
    <row r="34" spans="1:14" ht="38.25">
      <c r="A34" s="93" t="s">
        <v>942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/>
    </row>
    <row r="35" spans="1:14" ht="12.75">
      <c r="A35" s="80" t="s">
        <v>955</v>
      </c>
      <c r="B35" s="55">
        <v>1</v>
      </c>
      <c r="C35" s="55">
        <v>1</v>
      </c>
      <c r="D35" s="55">
        <v>1</v>
      </c>
      <c r="E35" s="55">
        <v>1</v>
      </c>
      <c r="F35" s="55">
        <v>1</v>
      </c>
      <c r="G35" s="55">
        <v>1</v>
      </c>
      <c r="H35" s="55">
        <v>1</v>
      </c>
      <c r="I35" s="55">
        <v>1</v>
      </c>
      <c r="J35" s="55">
        <v>1</v>
      </c>
      <c r="K35" s="55">
        <v>1</v>
      </c>
      <c r="L35" s="55">
        <v>1</v>
      </c>
      <c r="M35" s="55">
        <v>1</v>
      </c>
      <c r="N35"/>
    </row>
    <row r="36" spans="1:14" ht="12.75">
      <c r="A36" s="80" t="s">
        <v>956</v>
      </c>
      <c r="B36" s="55">
        <v>1</v>
      </c>
      <c r="C36" s="55">
        <v>1</v>
      </c>
      <c r="D36" s="55">
        <v>1</v>
      </c>
      <c r="E36" s="55">
        <v>1</v>
      </c>
      <c r="F36" s="55">
        <v>1</v>
      </c>
      <c r="G36" s="55">
        <v>1</v>
      </c>
      <c r="H36" s="55">
        <v>1</v>
      </c>
      <c r="I36" s="55">
        <v>1</v>
      </c>
      <c r="J36" s="55">
        <v>1</v>
      </c>
      <c r="K36" s="55">
        <v>1</v>
      </c>
      <c r="L36" s="55">
        <v>1</v>
      </c>
      <c r="M36" s="55">
        <v>1</v>
      </c>
      <c r="N36"/>
    </row>
    <row r="37" spans="1:14" ht="25.5" customHeight="1">
      <c r="A37" s="81" t="s">
        <v>957</v>
      </c>
      <c r="B37" s="55">
        <v>0.075</v>
      </c>
      <c r="C37" s="55">
        <v>0.075</v>
      </c>
      <c r="D37" s="55">
        <v>0.075</v>
      </c>
      <c r="E37" s="55">
        <v>0.075</v>
      </c>
      <c r="F37" s="55">
        <v>0.075</v>
      </c>
      <c r="G37" s="55">
        <v>0.075</v>
      </c>
      <c r="H37" s="55">
        <v>0.075</v>
      </c>
      <c r="I37" s="55">
        <v>0.075</v>
      </c>
      <c r="J37" s="55">
        <v>0.075</v>
      </c>
      <c r="K37" s="55">
        <v>0.075</v>
      </c>
      <c r="L37" s="55">
        <v>0.075</v>
      </c>
      <c r="M37" s="55">
        <v>0.075</v>
      </c>
      <c r="N37"/>
    </row>
    <row r="38" spans="1:14" s="33" customFormat="1" ht="12.75">
      <c r="A38" s="81" t="s">
        <v>958</v>
      </c>
      <c r="B38" s="55">
        <v>0.25</v>
      </c>
      <c r="C38" s="55">
        <v>0.25</v>
      </c>
      <c r="D38" s="55">
        <v>0.25</v>
      </c>
      <c r="E38" s="55">
        <v>0.25</v>
      </c>
      <c r="F38" s="55">
        <v>0.25</v>
      </c>
      <c r="G38" s="55">
        <v>0.25</v>
      </c>
      <c r="H38" s="55">
        <v>0.25</v>
      </c>
      <c r="I38" s="55">
        <v>0.25</v>
      </c>
      <c r="J38" s="55">
        <v>0.25</v>
      </c>
      <c r="K38" s="55">
        <v>0.25</v>
      </c>
      <c r="L38" s="55">
        <v>0.25</v>
      </c>
      <c r="M38" s="55">
        <v>0.25</v>
      </c>
      <c r="N38" s="97"/>
    </row>
    <row r="39" spans="1:14" s="33" customFormat="1" ht="12.75">
      <c r="A39" s="81" t="s">
        <v>959</v>
      </c>
      <c r="B39" s="55">
        <v>0.5</v>
      </c>
      <c r="C39" s="55">
        <v>0.5</v>
      </c>
      <c r="D39" s="55">
        <v>0.5</v>
      </c>
      <c r="E39" s="55">
        <v>0.5</v>
      </c>
      <c r="F39" s="55">
        <v>0.5</v>
      </c>
      <c r="G39" s="55">
        <v>0.5</v>
      </c>
      <c r="H39" s="55">
        <v>0.5</v>
      </c>
      <c r="I39" s="55">
        <v>0.5</v>
      </c>
      <c r="J39" s="55">
        <v>0.5</v>
      </c>
      <c r="K39" s="55">
        <v>0.5</v>
      </c>
      <c r="L39" s="55">
        <v>0.5</v>
      </c>
      <c r="M39" s="55">
        <v>0.5</v>
      </c>
      <c r="N39" s="97"/>
    </row>
    <row r="40" spans="1:14" s="33" customFormat="1" ht="12.75">
      <c r="A40" s="81" t="s">
        <v>960</v>
      </c>
      <c r="B40" s="55">
        <v>0.5</v>
      </c>
      <c r="C40" s="55">
        <v>0.5</v>
      </c>
      <c r="D40" s="55">
        <v>0.5</v>
      </c>
      <c r="E40" s="55">
        <v>0.5</v>
      </c>
      <c r="F40" s="55">
        <v>0.5</v>
      </c>
      <c r="G40" s="55">
        <v>0.5</v>
      </c>
      <c r="H40" s="55">
        <v>0.5</v>
      </c>
      <c r="I40" s="55">
        <v>0.5</v>
      </c>
      <c r="J40" s="55">
        <v>0.5</v>
      </c>
      <c r="K40" s="55">
        <v>0.5</v>
      </c>
      <c r="L40" s="55">
        <v>0.5</v>
      </c>
      <c r="M40" s="55">
        <v>0.5</v>
      </c>
      <c r="N40" s="97"/>
    </row>
    <row r="41" spans="1:14" s="76" customFormat="1" ht="38.25">
      <c r="A41" s="79" t="s">
        <v>755</v>
      </c>
      <c r="B41" s="75">
        <f>SUM(B10:B40)</f>
        <v>47.825</v>
      </c>
      <c r="C41" s="75">
        <f aca="true" t="shared" si="0" ref="C41:M41">SUM(C10:C40)</f>
        <v>47.825</v>
      </c>
      <c r="D41" s="75">
        <f t="shared" si="0"/>
        <v>47.825</v>
      </c>
      <c r="E41" s="75">
        <f t="shared" si="0"/>
        <v>48.325</v>
      </c>
      <c r="F41" s="75">
        <f t="shared" si="0"/>
        <v>48.325</v>
      </c>
      <c r="G41" s="75">
        <f t="shared" si="0"/>
        <v>48.325</v>
      </c>
      <c r="H41" s="75">
        <f t="shared" si="0"/>
        <v>48.325</v>
      </c>
      <c r="I41" s="75">
        <f t="shared" si="0"/>
        <v>48.325</v>
      </c>
      <c r="J41" s="75">
        <f t="shared" si="0"/>
        <v>50.325</v>
      </c>
      <c r="K41" s="75">
        <f t="shared" si="0"/>
        <v>50.325</v>
      </c>
      <c r="L41" s="75">
        <f t="shared" si="0"/>
        <v>50.325</v>
      </c>
      <c r="M41" s="75">
        <f t="shared" si="0"/>
        <v>49.325</v>
      </c>
      <c r="N41" s="98"/>
    </row>
    <row r="42" spans="1:14" s="33" customFormat="1" ht="14.25" customHeight="1">
      <c r="A42" s="78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97"/>
    </row>
    <row r="43" spans="1:14" s="34" customFormat="1" ht="22.5" customHeight="1">
      <c r="A43" s="92" t="s">
        <v>337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6"/>
    </row>
    <row r="44" spans="1:14" s="33" customFormat="1" ht="12.75">
      <c r="A44" s="81" t="s">
        <v>391</v>
      </c>
      <c r="B44" s="55">
        <v>21</v>
      </c>
      <c r="C44" s="55">
        <v>21</v>
      </c>
      <c r="D44" s="55">
        <v>23</v>
      </c>
      <c r="E44" s="55">
        <v>23</v>
      </c>
      <c r="F44" s="55">
        <v>23</v>
      </c>
      <c r="G44" s="55">
        <v>23</v>
      </c>
      <c r="H44" s="55">
        <v>23</v>
      </c>
      <c r="I44" s="55">
        <v>23</v>
      </c>
      <c r="J44" s="55">
        <v>23</v>
      </c>
      <c r="K44" s="55">
        <v>23</v>
      </c>
      <c r="L44" s="55">
        <v>23</v>
      </c>
      <c r="M44" s="55">
        <v>23</v>
      </c>
      <c r="N44" s="97"/>
    </row>
    <row r="45" spans="1:14" s="33" customFormat="1" ht="12.75">
      <c r="A45" s="81" t="s">
        <v>726</v>
      </c>
      <c r="B45" s="55">
        <v>2</v>
      </c>
      <c r="C45" s="55">
        <v>2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97"/>
    </row>
    <row r="46" spans="1:14" s="34" customFormat="1" ht="22.5" customHeight="1">
      <c r="A46" s="92" t="s">
        <v>392</v>
      </c>
      <c r="B46" s="75">
        <f>SUM(B44:B45)</f>
        <v>23</v>
      </c>
      <c r="C46" s="75">
        <f aca="true" t="shared" si="1" ref="C46:M46">SUM(C44:C45)</f>
        <v>23</v>
      </c>
      <c r="D46" s="75">
        <f t="shared" si="1"/>
        <v>23</v>
      </c>
      <c r="E46" s="75">
        <f t="shared" si="1"/>
        <v>23</v>
      </c>
      <c r="F46" s="75">
        <f t="shared" si="1"/>
        <v>23</v>
      </c>
      <c r="G46" s="75">
        <f t="shared" si="1"/>
        <v>23</v>
      </c>
      <c r="H46" s="75">
        <f t="shared" si="1"/>
        <v>23</v>
      </c>
      <c r="I46" s="75">
        <f t="shared" si="1"/>
        <v>23</v>
      </c>
      <c r="J46" s="75">
        <f t="shared" si="1"/>
        <v>23</v>
      </c>
      <c r="K46" s="75">
        <f t="shared" si="1"/>
        <v>23</v>
      </c>
      <c r="L46" s="75">
        <f t="shared" si="1"/>
        <v>23</v>
      </c>
      <c r="M46" s="75">
        <f t="shared" si="1"/>
        <v>23</v>
      </c>
      <c r="N46" s="56"/>
    </row>
    <row r="47" spans="1:13" s="56" customFormat="1" ht="14.25" customHeight="1">
      <c r="A47" s="1237"/>
      <c r="B47" s="1238"/>
      <c r="C47" s="1238"/>
      <c r="D47" s="1238"/>
      <c r="E47" s="1238"/>
      <c r="F47" s="1238"/>
      <c r="G47" s="1238"/>
      <c r="H47" s="1238"/>
      <c r="I47" s="1238"/>
      <c r="J47" s="1238"/>
      <c r="K47" s="1238"/>
      <c r="L47" s="1238"/>
      <c r="M47" s="1238"/>
    </row>
    <row r="48" spans="1:14" s="34" customFormat="1" ht="22.5" customHeight="1">
      <c r="A48" s="92" t="s">
        <v>413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6"/>
    </row>
    <row r="49" spans="1:14" s="96" customFormat="1" ht="15.75" customHeight="1">
      <c r="A49" s="93" t="s">
        <v>727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</row>
    <row r="50" spans="1:14" s="33" customFormat="1" ht="12.75">
      <c r="A50" s="81" t="s">
        <v>593</v>
      </c>
      <c r="B50" s="55">
        <v>1</v>
      </c>
      <c r="C50" s="55">
        <v>1</v>
      </c>
      <c r="D50" s="55">
        <v>1</v>
      </c>
      <c r="E50" s="55">
        <v>1</v>
      </c>
      <c r="F50" s="55">
        <v>1</v>
      </c>
      <c r="G50" s="55">
        <v>1</v>
      </c>
      <c r="H50" s="55">
        <v>1</v>
      </c>
      <c r="I50" s="55">
        <v>1</v>
      </c>
      <c r="J50" s="55">
        <v>1</v>
      </c>
      <c r="K50" s="55">
        <v>1</v>
      </c>
      <c r="L50" s="55">
        <v>1</v>
      </c>
      <c r="M50" s="55">
        <v>1</v>
      </c>
      <c r="N50" s="97"/>
    </row>
    <row r="51" spans="1:14" s="33" customFormat="1" ht="12.75">
      <c r="A51" s="82" t="s">
        <v>594</v>
      </c>
      <c r="B51" s="55">
        <v>1</v>
      </c>
      <c r="C51" s="55">
        <v>1</v>
      </c>
      <c r="D51" s="55">
        <v>1</v>
      </c>
      <c r="E51" s="55">
        <v>1</v>
      </c>
      <c r="F51" s="55">
        <v>1</v>
      </c>
      <c r="G51" s="55">
        <v>1</v>
      </c>
      <c r="H51" s="55">
        <v>1</v>
      </c>
      <c r="I51" s="55">
        <v>1</v>
      </c>
      <c r="J51" s="55">
        <v>1</v>
      </c>
      <c r="K51" s="55">
        <v>1</v>
      </c>
      <c r="L51" s="55">
        <v>1</v>
      </c>
      <c r="M51" s="55">
        <v>1</v>
      </c>
      <c r="N51" s="97"/>
    </row>
    <row r="52" spans="1:14" s="96" customFormat="1" ht="15" customHeight="1">
      <c r="A52" s="93" t="s">
        <v>731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</row>
    <row r="53" spans="1:14" s="33" customFormat="1" ht="25.5">
      <c r="A53" s="81" t="s">
        <v>785</v>
      </c>
      <c r="B53" s="55">
        <v>1</v>
      </c>
      <c r="C53" s="55">
        <v>1</v>
      </c>
      <c r="D53" s="55">
        <v>1</v>
      </c>
      <c r="E53" s="55">
        <v>1</v>
      </c>
      <c r="F53" s="55">
        <v>1</v>
      </c>
      <c r="G53" s="55">
        <v>1</v>
      </c>
      <c r="H53" s="55">
        <v>1</v>
      </c>
      <c r="I53" s="55">
        <v>1</v>
      </c>
      <c r="J53" s="55">
        <v>1</v>
      </c>
      <c r="K53" s="55">
        <v>1</v>
      </c>
      <c r="L53" s="55">
        <v>1</v>
      </c>
      <c r="M53" s="55">
        <v>1</v>
      </c>
      <c r="N53" s="97"/>
    </row>
    <row r="54" spans="1:14" s="96" customFormat="1" ht="15" customHeight="1">
      <c r="A54" s="93" t="s">
        <v>728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5"/>
    </row>
    <row r="55" spans="1:14" s="33" customFormat="1" ht="12.75">
      <c r="A55" s="81" t="s">
        <v>729</v>
      </c>
      <c r="B55" s="55">
        <v>1</v>
      </c>
      <c r="C55" s="55">
        <v>1</v>
      </c>
      <c r="D55" s="55">
        <v>1</v>
      </c>
      <c r="E55" s="55">
        <v>1</v>
      </c>
      <c r="F55" s="55">
        <v>1</v>
      </c>
      <c r="G55" s="55">
        <v>1</v>
      </c>
      <c r="H55" s="55">
        <v>1</v>
      </c>
      <c r="I55" s="55">
        <v>1</v>
      </c>
      <c r="J55" s="55">
        <v>1</v>
      </c>
      <c r="K55" s="55">
        <v>1</v>
      </c>
      <c r="L55" s="55">
        <v>1</v>
      </c>
      <c r="M55" s="55">
        <v>1</v>
      </c>
      <c r="N55" s="97"/>
    </row>
    <row r="56" spans="1:14" s="33" customFormat="1" ht="12.75">
      <c r="A56" s="81" t="s">
        <v>730</v>
      </c>
      <c r="B56" s="55">
        <v>1</v>
      </c>
      <c r="C56" s="55">
        <v>1</v>
      </c>
      <c r="D56" s="55">
        <v>1</v>
      </c>
      <c r="E56" s="55">
        <v>1</v>
      </c>
      <c r="F56" s="55">
        <v>1</v>
      </c>
      <c r="G56" s="55">
        <v>1</v>
      </c>
      <c r="H56" s="55">
        <v>1</v>
      </c>
      <c r="I56" s="55">
        <v>1</v>
      </c>
      <c r="J56" s="55">
        <v>1</v>
      </c>
      <c r="K56" s="55">
        <v>1</v>
      </c>
      <c r="L56" s="55">
        <v>1</v>
      </c>
      <c r="M56" s="55">
        <v>1</v>
      </c>
      <c r="N56" s="97"/>
    </row>
    <row r="57" spans="1:14" s="96" customFormat="1" ht="22.5" customHeight="1">
      <c r="A57" s="93" t="s">
        <v>322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5"/>
    </row>
    <row r="58" spans="1:14" s="33" customFormat="1" ht="12.75">
      <c r="A58" s="80" t="s">
        <v>323</v>
      </c>
      <c r="B58" s="55">
        <v>1</v>
      </c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97"/>
    </row>
    <row r="59" spans="1:14" s="96" customFormat="1" ht="22.5" customHeight="1">
      <c r="A59" s="93" t="s">
        <v>324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5"/>
    </row>
    <row r="60" spans="1:14" s="33" customFormat="1" ht="12.75">
      <c r="A60" s="80" t="s">
        <v>325</v>
      </c>
      <c r="B60" s="55">
        <v>5</v>
      </c>
      <c r="C60" s="55">
        <v>5</v>
      </c>
      <c r="D60" s="55">
        <v>5</v>
      </c>
      <c r="E60" s="55">
        <v>5</v>
      </c>
      <c r="F60" s="55">
        <v>5</v>
      </c>
      <c r="G60" s="55">
        <v>5</v>
      </c>
      <c r="H60" s="55">
        <v>5</v>
      </c>
      <c r="I60" s="55">
        <v>5</v>
      </c>
      <c r="J60" s="55">
        <v>5</v>
      </c>
      <c r="K60" s="55">
        <v>5</v>
      </c>
      <c r="L60" s="55">
        <v>5</v>
      </c>
      <c r="M60" s="55">
        <v>5</v>
      </c>
      <c r="N60" s="97"/>
    </row>
    <row r="61" spans="1:14" ht="51">
      <c r="A61" s="93" t="s">
        <v>933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/>
    </row>
    <row r="62" spans="1:14" ht="19.5" customHeight="1">
      <c r="A62" s="81" t="s">
        <v>963</v>
      </c>
      <c r="B62" s="55">
        <v>0.5</v>
      </c>
      <c r="C62" s="55">
        <v>0.5</v>
      </c>
      <c r="D62" s="55">
        <v>0.5</v>
      </c>
      <c r="E62" s="55">
        <v>0.5</v>
      </c>
      <c r="F62" s="55">
        <v>0.5</v>
      </c>
      <c r="G62" s="55">
        <v>0.5</v>
      </c>
      <c r="H62" s="55">
        <v>0.5</v>
      </c>
      <c r="I62" s="55">
        <v>0.5</v>
      </c>
      <c r="J62" s="55">
        <v>0.5</v>
      </c>
      <c r="K62" s="55">
        <v>0.5</v>
      </c>
      <c r="L62" s="55">
        <v>0.5</v>
      </c>
      <c r="M62" s="55">
        <v>0.5</v>
      </c>
      <c r="N62"/>
    </row>
    <row r="63" spans="1:14" ht="18.75" customHeight="1">
      <c r="A63" s="81" t="s">
        <v>964</v>
      </c>
      <c r="B63" s="55">
        <v>0.5</v>
      </c>
      <c r="C63" s="55">
        <v>0.5</v>
      </c>
      <c r="D63" s="55">
        <v>0.5</v>
      </c>
      <c r="E63" s="55">
        <v>0.5</v>
      </c>
      <c r="F63" s="55">
        <v>0.5</v>
      </c>
      <c r="G63" s="55">
        <v>0.5</v>
      </c>
      <c r="H63" s="55">
        <v>0.5</v>
      </c>
      <c r="I63" s="55">
        <v>0.5</v>
      </c>
      <c r="J63" s="55">
        <v>0.5</v>
      </c>
      <c r="K63" s="55">
        <v>0.5</v>
      </c>
      <c r="L63" s="55">
        <v>0.5</v>
      </c>
      <c r="M63" s="55">
        <v>0.5</v>
      </c>
      <c r="N63"/>
    </row>
    <row r="64" spans="1:14" ht="12.75">
      <c r="A64" s="81" t="s">
        <v>590</v>
      </c>
      <c r="B64" s="55">
        <v>1</v>
      </c>
      <c r="C64" s="55">
        <v>1</v>
      </c>
      <c r="D64" s="55">
        <v>1</v>
      </c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/>
    </row>
    <row r="65" spans="1:14" ht="12.75">
      <c r="A65" s="81" t="s">
        <v>692</v>
      </c>
      <c r="B65" s="55">
        <v>2</v>
      </c>
      <c r="C65" s="55">
        <v>2</v>
      </c>
      <c r="D65" s="55">
        <v>2</v>
      </c>
      <c r="E65" s="55">
        <v>2</v>
      </c>
      <c r="F65" s="55">
        <v>2</v>
      </c>
      <c r="G65" s="55">
        <v>2</v>
      </c>
      <c r="H65" s="55">
        <v>2</v>
      </c>
      <c r="I65" s="55">
        <v>2</v>
      </c>
      <c r="J65" s="55">
        <v>2</v>
      </c>
      <c r="K65" s="55">
        <v>2</v>
      </c>
      <c r="L65" s="55">
        <v>2</v>
      </c>
      <c r="M65" s="55">
        <v>2</v>
      </c>
      <c r="N65"/>
    </row>
    <row r="66" spans="1:14" ht="12.75">
      <c r="A66" s="81" t="s">
        <v>965</v>
      </c>
      <c r="B66" s="55">
        <v>1</v>
      </c>
      <c r="C66" s="55">
        <v>1</v>
      </c>
      <c r="D66" s="55">
        <v>1</v>
      </c>
      <c r="E66" s="55">
        <v>1</v>
      </c>
      <c r="F66" s="55">
        <v>1</v>
      </c>
      <c r="G66" s="55">
        <v>1</v>
      </c>
      <c r="H66" s="55">
        <v>1</v>
      </c>
      <c r="I66" s="55">
        <v>1</v>
      </c>
      <c r="J66" s="55">
        <v>1</v>
      </c>
      <c r="K66" s="55">
        <v>1</v>
      </c>
      <c r="L66" s="55">
        <v>1</v>
      </c>
      <c r="M66" s="55">
        <v>1</v>
      </c>
      <c r="N66"/>
    </row>
    <row r="67" spans="1:14" ht="25.5">
      <c r="A67" s="81" t="s">
        <v>934</v>
      </c>
      <c r="B67" s="55">
        <v>0.5</v>
      </c>
      <c r="C67" s="55">
        <v>0.5</v>
      </c>
      <c r="D67" s="55">
        <v>0.5</v>
      </c>
      <c r="E67" s="55">
        <v>0.5</v>
      </c>
      <c r="F67" s="55">
        <v>0.5</v>
      </c>
      <c r="G67" s="55">
        <v>0.5</v>
      </c>
      <c r="H67" s="55">
        <v>0.5</v>
      </c>
      <c r="I67" s="55">
        <v>0.5</v>
      </c>
      <c r="J67" s="55">
        <v>0.5</v>
      </c>
      <c r="K67" s="55">
        <v>0.5</v>
      </c>
      <c r="L67" s="55">
        <v>0.5</v>
      </c>
      <c r="M67" s="55">
        <v>0.5</v>
      </c>
      <c r="N67"/>
    </row>
    <row r="68" spans="1:14" ht="27" customHeight="1">
      <c r="A68" s="81" t="s">
        <v>966</v>
      </c>
      <c r="B68" s="55">
        <v>1.5</v>
      </c>
      <c r="C68" s="55">
        <v>1.5</v>
      </c>
      <c r="D68" s="55">
        <v>1.5</v>
      </c>
      <c r="E68" s="55">
        <v>1.5</v>
      </c>
      <c r="F68" s="55">
        <v>1.5</v>
      </c>
      <c r="G68" s="55">
        <v>1.5</v>
      </c>
      <c r="H68" s="55">
        <v>1.5</v>
      </c>
      <c r="I68" s="55">
        <v>1.5</v>
      </c>
      <c r="J68" s="55">
        <v>1.5</v>
      </c>
      <c r="K68" s="55">
        <v>1.5</v>
      </c>
      <c r="L68" s="55">
        <v>1.5</v>
      </c>
      <c r="M68" s="55">
        <v>1.5</v>
      </c>
      <c r="N68"/>
    </row>
    <row r="69" spans="1:14" ht="38.25">
      <c r="A69" s="93" t="s">
        <v>935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/>
    </row>
    <row r="70" spans="1:14" ht="12.75">
      <c r="A70" s="80" t="s">
        <v>936</v>
      </c>
      <c r="B70" s="55">
        <v>1</v>
      </c>
      <c r="C70" s="55">
        <v>1</v>
      </c>
      <c r="D70" s="55">
        <v>1</v>
      </c>
      <c r="E70" s="55">
        <v>1</v>
      </c>
      <c r="F70" s="55">
        <v>1</v>
      </c>
      <c r="G70" s="55">
        <v>1</v>
      </c>
      <c r="H70" s="55">
        <v>1</v>
      </c>
      <c r="I70" s="55">
        <v>1</v>
      </c>
      <c r="J70" s="55">
        <v>1</v>
      </c>
      <c r="K70" s="55">
        <v>1</v>
      </c>
      <c r="L70" s="55">
        <v>1</v>
      </c>
      <c r="M70" s="55">
        <v>1</v>
      </c>
      <c r="N70"/>
    </row>
    <row r="71" spans="1:14" ht="12.75">
      <c r="A71" s="80" t="s">
        <v>937</v>
      </c>
      <c r="B71" s="55">
        <v>1</v>
      </c>
      <c r="C71" s="55">
        <v>1</v>
      </c>
      <c r="D71" s="55">
        <v>1</v>
      </c>
      <c r="E71" s="55">
        <v>1</v>
      </c>
      <c r="F71" s="55">
        <v>1</v>
      </c>
      <c r="G71" s="55">
        <v>1</v>
      </c>
      <c r="H71" s="55">
        <v>1</v>
      </c>
      <c r="I71" s="55">
        <v>1</v>
      </c>
      <c r="J71" s="55">
        <v>1</v>
      </c>
      <c r="K71" s="55">
        <v>1</v>
      </c>
      <c r="L71" s="55">
        <v>1</v>
      </c>
      <c r="M71" s="55">
        <v>1</v>
      </c>
      <c r="N71"/>
    </row>
    <row r="72" spans="1:14" ht="12.75">
      <c r="A72" s="80" t="s">
        <v>938</v>
      </c>
      <c r="B72" s="55">
        <v>1</v>
      </c>
      <c r="C72" s="55">
        <v>1</v>
      </c>
      <c r="D72" s="55">
        <v>1</v>
      </c>
      <c r="E72" s="55">
        <v>1</v>
      </c>
      <c r="F72" s="55">
        <v>1</v>
      </c>
      <c r="G72" s="55">
        <v>1</v>
      </c>
      <c r="H72" s="55">
        <v>1</v>
      </c>
      <c r="I72" s="55">
        <v>1</v>
      </c>
      <c r="J72" s="55">
        <v>1</v>
      </c>
      <c r="K72" s="55">
        <v>1</v>
      </c>
      <c r="L72" s="55">
        <v>1</v>
      </c>
      <c r="M72" s="55">
        <v>1</v>
      </c>
      <c r="N72"/>
    </row>
    <row r="73" spans="1:14" ht="12.75">
      <c r="A73" s="80" t="s">
        <v>939</v>
      </c>
      <c r="B73" s="55">
        <v>1</v>
      </c>
      <c r="C73" s="55">
        <v>1</v>
      </c>
      <c r="D73" s="55">
        <v>1</v>
      </c>
      <c r="E73" s="55">
        <v>1</v>
      </c>
      <c r="F73" s="55">
        <v>1</v>
      </c>
      <c r="G73" s="55">
        <v>1</v>
      </c>
      <c r="H73" s="55">
        <v>1</v>
      </c>
      <c r="I73" s="55">
        <v>1</v>
      </c>
      <c r="J73" s="55">
        <v>1</v>
      </c>
      <c r="K73" s="55">
        <v>1</v>
      </c>
      <c r="L73" s="55">
        <v>1</v>
      </c>
      <c r="M73" s="55">
        <v>1</v>
      </c>
      <c r="N73"/>
    </row>
    <row r="74" spans="1:14" ht="12.75">
      <c r="A74" s="80" t="s">
        <v>1125</v>
      </c>
      <c r="B74" s="55">
        <v>0.5</v>
      </c>
      <c r="C74" s="55">
        <v>0.5</v>
      </c>
      <c r="D74" s="55">
        <v>0.5</v>
      </c>
      <c r="E74" s="55">
        <v>0.5</v>
      </c>
      <c r="F74" s="55">
        <v>0.5</v>
      </c>
      <c r="G74" s="55">
        <v>0.5</v>
      </c>
      <c r="H74" s="55">
        <v>0.5</v>
      </c>
      <c r="I74" s="55">
        <v>0.5</v>
      </c>
      <c r="J74" s="55">
        <v>0.5</v>
      </c>
      <c r="K74" s="55">
        <v>0.5</v>
      </c>
      <c r="L74" s="55">
        <v>0.5</v>
      </c>
      <c r="M74" s="55">
        <v>0.5</v>
      </c>
      <c r="N74"/>
    </row>
    <row r="75" spans="1:14" ht="12.75">
      <c r="A75" s="80" t="s">
        <v>1126</v>
      </c>
      <c r="B75" s="55">
        <v>2.5</v>
      </c>
      <c r="C75" s="55">
        <v>2.5</v>
      </c>
      <c r="D75" s="55">
        <v>2.5</v>
      </c>
      <c r="E75" s="55">
        <v>2.5</v>
      </c>
      <c r="F75" s="55">
        <v>2.5</v>
      </c>
      <c r="G75" s="55">
        <v>2.5</v>
      </c>
      <c r="H75" s="55">
        <v>2.5</v>
      </c>
      <c r="I75" s="55">
        <v>2.5</v>
      </c>
      <c r="J75" s="55">
        <v>2.5</v>
      </c>
      <c r="K75" s="55">
        <v>2.5</v>
      </c>
      <c r="L75" s="55">
        <v>2.5</v>
      </c>
      <c r="M75" s="55">
        <v>2.5</v>
      </c>
      <c r="N75"/>
    </row>
    <row r="76" spans="1:14" ht="25.5">
      <c r="A76" s="93" t="s">
        <v>940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/>
    </row>
    <row r="77" spans="1:13" s="590" customFormat="1" ht="12.75">
      <c r="A77" s="80" t="s">
        <v>941</v>
      </c>
      <c r="B77" s="55">
        <v>1</v>
      </c>
      <c r="C77" s="55">
        <v>1</v>
      </c>
      <c r="D77" s="55">
        <v>1</v>
      </c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</row>
    <row r="78" spans="1:14" ht="38.25">
      <c r="A78" s="93" t="s">
        <v>942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/>
    </row>
    <row r="79" spans="1:13" s="590" customFormat="1" ht="12.75">
      <c r="A79" s="80" t="s">
        <v>967</v>
      </c>
      <c r="B79" s="55">
        <v>0.25</v>
      </c>
      <c r="C79" s="55">
        <v>0.25</v>
      </c>
      <c r="D79" s="55">
        <v>0.25</v>
      </c>
      <c r="E79" s="55">
        <v>0.25</v>
      </c>
      <c r="F79" s="55">
        <v>0.25</v>
      </c>
      <c r="G79" s="55">
        <v>0.25</v>
      </c>
      <c r="H79" s="55">
        <v>0.25</v>
      </c>
      <c r="I79" s="55">
        <v>0.25</v>
      </c>
      <c r="J79" s="55">
        <v>0.25</v>
      </c>
      <c r="K79" s="55">
        <v>0.25</v>
      </c>
      <c r="L79" s="55">
        <v>0.25</v>
      </c>
      <c r="M79" s="55">
        <v>0.25</v>
      </c>
    </row>
    <row r="80" spans="1:13" s="590" customFormat="1" ht="12.75">
      <c r="A80" s="80" t="s">
        <v>968</v>
      </c>
      <c r="B80" s="55">
        <v>0.5</v>
      </c>
      <c r="C80" s="55">
        <v>0.5</v>
      </c>
      <c r="D80" s="55">
        <v>0.5</v>
      </c>
      <c r="E80" s="55">
        <v>0.5</v>
      </c>
      <c r="F80" s="55">
        <v>0.5</v>
      </c>
      <c r="G80" s="55">
        <v>0.5</v>
      </c>
      <c r="H80" s="55">
        <v>0.5</v>
      </c>
      <c r="I80" s="55">
        <v>0.5</v>
      </c>
      <c r="J80" s="55">
        <v>0.5</v>
      </c>
      <c r="K80" s="55">
        <v>0.5</v>
      </c>
      <c r="L80" s="55">
        <v>0.5</v>
      </c>
      <c r="M80" s="55">
        <v>0.5</v>
      </c>
    </row>
    <row r="81" spans="1:14" ht="12.75">
      <c r="A81" s="92" t="s">
        <v>356</v>
      </c>
      <c r="B81" s="75">
        <f>SUM(B50:B80)</f>
        <v>26.75</v>
      </c>
      <c r="C81" s="75">
        <f aca="true" t="shared" si="2" ref="C81:M81">SUM(C50:C80)</f>
        <v>25.75</v>
      </c>
      <c r="D81" s="75">
        <f t="shared" si="2"/>
        <v>25.75</v>
      </c>
      <c r="E81" s="75">
        <f t="shared" si="2"/>
        <v>25.75</v>
      </c>
      <c r="F81" s="75">
        <f t="shared" si="2"/>
        <v>25.75</v>
      </c>
      <c r="G81" s="75">
        <f t="shared" si="2"/>
        <v>25.75</v>
      </c>
      <c r="H81" s="75">
        <f t="shared" si="2"/>
        <v>25.75</v>
      </c>
      <c r="I81" s="75">
        <f t="shared" si="2"/>
        <v>25.75</v>
      </c>
      <c r="J81" s="75">
        <f t="shared" si="2"/>
        <v>25.75</v>
      </c>
      <c r="K81" s="75">
        <f t="shared" si="2"/>
        <v>25.75</v>
      </c>
      <c r="L81" s="75">
        <f t="shared" si="2"/>
        <v>25.75</v>
      </c>
      <c r="M81" s="75">
        <f t="shared" si="2"/>
        <v>25.75</v>
      </c>
      <c r="N81"/>
    </row>
    <row r="82" spans="1:14" s="33" customFormat="1" ht="14.25" customHeight="1">
      <c r="A82" s="78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97"/>
    </row>
    <row r="83" spans="1:14" s="34" customFormat="1" ht="22.5" customHeight="1">
      <c r="A83" s="92" t="s">
        <v>779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6"/>
    </row>
    <row r="84" spans="1:14" s="33" customFormat="1" ht="12.75">
      <c r="A84" s="81" t="s">
        <v>732</v>
      </c>
      <c r="B84" s="55">
        <v>1</v>
      </c>
      <c r="C84" s="55">
        <v>1</v>
      </c>
      <c r="D84" s="55">
        <v>1</v>
      </c>
      <c r="E84" s="55">
        <v>1</v>
      </c>
      <c r="F84" s="55">
        <v>1</v>
      </c>
      <c r="G84" s="55">
        <v>1</v>
      </c>
      <c r="H84" s="55">
        <v>1</v>
      </c>
      <c r="I84" s="55">
        <v>1</v>
      </c>
      <c r="J84" s="55">
        <v>1</v>
      </c>
      <c r="K84" s="55">
        <v>1</v>
      </c>
      <c r="L84" s="55">
        <v>1</v>
      </c>
      <c r="M84" s="55">
        <v>1</v>
      </c>
      <c r="N84" s="97"/>
    </row>
    <row r="85" spans="1:14" s="33" customFormat="1" ht="12.75">
      <c r="A85" s="81" t="s">
        <v>733</v>
      </c>
      <c r="B85" s="55">
        <v>1</v>
      </c>
      <c r="C85" s="55">
        <v>1</v>
      </c>
      <c r="D85" s="55">
        <v>1</v>
      </c>
      <c r="E85" s="55">
        <v>1</v>
      </c>
      <c r="F85" s="55">
        <v>1</v>
      </c>
      <c r="G85" s="55">
        <v>1</v>
      </c>
      <c r="H85" s="55">
        <v>1</v>
      </c>
      <c r="I85" s="55">
        <v>1</v>
      </c>
      <c r="J85" s="55">
        <v>1</v>
      </c>
      <c r="K85" s="55">
        <v>1</v>
      </c>
      <c r="L85" s="55">
        <v>1</v>
      </c>
      <c r="M85" s="55">
        <v>1</v>
      </c>
      <c r="N85" s="97"/>
    </row>
    <row r="86" spans="1:14" s="33" customFormat="1" ht="12.75">
      <c r="A86" s="81" t="s">
        <v>734</v>
      </c>
      <c r="B86" s="55">
        <v>1</v>
      </c>
      <c r="C86" s="55">
        <v>1</v>
      </c>
      <c r="D86" s="55">
        <v>1</v>
      </c>
      <c r="E86" s="55">
        <v>1</v>
      </c>
      <c r="F86" s="55">
        <v>1</v>
      </c>
      <c r="G86" s="55">
        <v>1</v>
      </c>
      <c r="H86" s="55">
        <v>1</v>
      </c>
      <c r="I86" s="55">
        <v>1</v>
      </c>
      <c r="J86" s="55">
        <v>1</v>
      </c>
      <c r="K86" s="55">
        <v>1</v>
      </c>
      <c r="L86" s="55">
        <v>1</v>
      </c>
      <c r="M86" s="55">
        <v>1</v>
      </c>
      <c r="N86" s="97"/>
    </row>
    <row r="87" spans="1:14" s="33" customFormat="1" ht="12.75">
      <c r="A87" s="81" t="s">
        <v>735</v>
      </c>
      <c r="B87" s="55">
        <v>1</v>
      </c>
      <c r="C87" s="55">
        <v>1</v>
      </c>
      <c r="D87" s="55">
        <v>1</v>
      </c>
      <c r="E87" s="55">
        <v>1</v>
      </c>
      <c r="F87" s="55">
        <v>1</v>
      </c>
      <c r="G87" s="55">
        <v>1</v>
      </c>
      <c r="H87" s="55">
        <v>1</v>
      </c>
      <c r="I87" s="55">
        <v>1</v>
      </c>
      <c r="J87" s="55">
        <v>1</v>
      </c>
      <c r="K87" s="55">
        <v>1</v>
      </c>
      <c r="L87" s="55">
        <v>1</v>
      </c>
      <c r="M87" s="55">
        <v>1</v>
      </c>
      <c r="N87" s="97"/>
    </row>
    <row r="88" spans="1:14" ht="25.5">
      <c r="A88" s="93" t="s">
        <v>943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/>
    </row>
    <row r="89" spans="1:14" ht="12.75">
      <c r="A89" s="80" t="s">
        <v>936</v>
      </c>
      <c r="B89" s="55">
        <v>0.5</v>
      </c>
      <c r="C89" s="55">
        <v>0.5</v>
      </c>
      <c r="D89" s="55">
        <v>0.5</v>
      </c>
      <c r="E89" s="55">
        <v>0.5</v>
      </c>
      <c r="F89" s="55">
        <v>0.5</v>
      </c>
      <c r="G89" s="55">
        <v>0.5</v>
      </c>
      <c r="H89" s="55">
        <v>0.5</v>
      </c>
      <c r="I89" s="55">
        <v>0.5</v>
      </c>
      <c r="J89" s="55">
        <v>0.5</v>
      </c>
      <c r="K89" s="55">
        <v>0.5</v>
      </c>
      <c r="L89" s="55">
        <v>0.5</v>
      </c>
      <c r="M89" s="55">
        <v>0.5</v>
      </c>
      <c r="N89"/>
    </row>
    <row r="90" spans="1:14" s="34" customFormat="1" ht="30" customHeight="1">
      <c r="A90" s="79" t="s">
        <v>780</v>
      </c>
      <c r="B90" s="75">
        <f>SUM(B84:B89)</f>
        <v>4.5</v>
      </c>
      <c r="C90" s="75">
        <f aca="true" t="shared" si="3" ref="C90:M90">SUM(C84:C89)</f>
        <v>4.5</v>
      </c>
      <c r="D90" s="75">
        <f t="shared" si="3"/>
        <v>4.5</v>
      </c>
      <c r="E90" s="75">
        <f t="shared" si="3"/>
        <v>4.5</v>
      </c>
      <c r="F90" s="75">
        <f t="shared" si="3"/>
        <v>4.5</v>
      </c>
      <c r="G90" s="75">
        <f t="shared" si="3"/>
        <v>4.5</v>
      </c>
      <c r="H90" s="75">
        <f t="shared" si="3"/>
        <v>4.5</v>
      </c>
      <c r="I90" s="75">
        <f t="shared" si="3"/>
        <v>4.5</v>
      </c>
      <c r="J90" s="75">
        <f t="shared" si="3"/>
        <v>4.5</v>
      </c>
      <c r="K90" s="75">
        <f t="shared" si="3"/>
        <v>4.5</v>
      </c>
      <c r="L90" s="75">
        <f t="shared" si="3"/>
        <v>4.5</v>
      </c>
      <c r="M90" s="75">
        <f t="shared" si="3"/>
        <v>4.5</v>
      </c>
      <c r="N90" s="56"/>
    </row>
    <row r="91" spans="1:14" s="34" customFormat="1" ht="30.75" customHeight="1">
      <c r="A91" s="83" t="s">
        <v>393</v>
      </c>
      <c r="B91" s="302">
        <f aca="true" t="shared" si="4" ref="B91:M91">SUM(B90,B81,B46,B41)</f>
        <v>102.075</v>
      </c>
      <c r="C91" s="302">
        <f t="shared" si="4"/>
        <v>101.075</v>
      </c>
      <c r="D91" s="302">
        <f t="shared" si="4"/>
        <v>101.075</v>
      </c>
      <c r="E91" s="302">
        <f t="shared" si="4"/>
        <v>101.575</v>
      </c>
      <c r="F91" s="302">
        <f t="shared" si="4"/>
        <v>101.575</v>
      </c>
      <c r="G91" s="302">
        <f t="shared" si="4"/>
        <v>101.575</v>
      </c>
      <c r="H91" s="302">
        <f t="shared" si="4"/>
        <v>101.575</v>
      </c>
      <c r="I91" s="302">
        <f t="shared" si="4"/>
        <v>101.575</v>
      </c>
      <c r="J91" s="302">
        <f t="shared" si="4"/>
        <v>103.575</v>
      </c>
      <c r="K91" s="302">
        <f t="shared" si="4"/>
        <v>103.575</v>
      </c>
      <c r="L91" s="302">
        <f t="shared" si="4"/>
        <v>103.575</v>
      </c>
      <c r="M91" s="302">
        <f t="shared" si="4"/>
        <v>102.575</v>
      </c>
      <c r="N91" s="56"/>
    </row>
    <row r="92" spans="1:14" s="33" customFormat="1" ht="6" customHeight="1">
      <c r="A92" s="78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97"/>
    </row>
    <row r="93" spans="1:14" s="34" customFormat="1" ht="25.5" customHeight="1">
      <c r="A93" s="92" t="s">
        <v>321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6"/>
    </row>
    <row r="94" spans="1:14" s="391" customFormat="1" ht="42" customHeight="1">
      <c r="A94" s="388" t="s">
        <v>944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90"/>
    </row>
    <row r="95" spans="1:14" s="33" customFormat="1" ht="27" customHeight="1">
      <c r="A95" s="300" t="s">
        <v>736</v>
      </c>
      <c r="B95" s="301">
        <v>11</v>
      </c>
      <c r="C95" s="301">
        <v>11</v>
      </c>
      <c r="D95" s="301">
        <v>0</v>
      </c>
      <c r="E95" s="301">
        <v>0</v>
      </c>
      <c r="F95" s="301">
        <v>0</v>
      </c>
      <c r="G95" s="301">
        <v>0</v>
      </c>
      <c r="H95" s="301">
        <v>0</v>
      </c>
      <c r="I95" s="301">
        <v>0</v>
      </c>
      <c r="J95" s="301">
        <v>0</v>
      </c>
      <c r="K95" s="301">
        <v>0</v>
      </c>
      <c r="L95" s="301">
        <v>0</v>
      </c>
      <c r="M95" s="301">
        <v>0</v>
      </c>
      <c r="N95" s="97"/>
    </row>
    <row r="96" spans="1:14" s="33" customFormat="1" ht="26.25" customHeight="1">
      <c r="A96" s="300" t="s">
        <v>737</v>
      </c>
      <c r="B96" s="301">
        <v>11</v>
      </c>
      <c r="C96" s="301">
        <v>11</v>
      </c>
      <c r="D96" s="301">
        <v>0</v>
      </c>
      <c r="E96" s="301">
        <v>0</v>
      </c>
      <c r="F96" s="301">
        <v>0</v>
      </c>
      <c r="G96" s="301">
        <v>0</v>
      </c>
      <c r="H96" s="301">
        <v>0</v>
      </c>
      <c r="I96" s="301">
        <v>0</v>
      </c>
      <c r="J96" s="301">
        <v>0</v>
      </c>
      <c r="K96" s="301">
        <v>0</v>
      </c>
      <c r="L96" s="301">
        <v>0</v>
      </c>
      <c r="M96" s="301">
        <v>0</v>
      </c>
      <c r="N96" s="97"/>
    </row>
    <row r="97" spans="1:14" s="33" customFormat="1" ht="26.25" customHeight="1">
      <c r="A97" s="300" t="s">
        <v>738</v>
      </c>
      <c r="B97" s="301">
        <v>11</v>
      </c>
      <c r="C97" s="301">
        <v>11</v>
      </c>
      <c r="D97" s="301">
        <v>0</v>
      </c>
      <c r="E97" s="301">
        <v>0</v>
      </c>
      <c r="F97" s="301">
        <v>0</v>
      </c>
      <c r="G97" s="301">
        <v>0</v>
      </c>
      <c r="H97" s="301">
        <v>0</v>
      </c>
      <c r="I97" s="301">
        <v>0</v>
      </c>
      <c r="J97" s="301">
        <v>0</v>
      </c>
      <c r="K97" s="301">
        <v>0</v>
      </c>
      <c r="L97" s="301">
        <v>0</v>
      </c>
      <c r="M97" s="301">
        <v>0</v>
      </c>
      <c r="N97" s="97"/>
    </row>
    <row r="98" spans="1:14" s="33" customFormat="1" ht="30" customHeight="1">
      <c r="A98" s="300" t="s">
        <v>945</v>
      </c>
      <c r="B98" s="301">
        <v>5</v>
      </c>
      <c r="C98" s="301">
        <v>5</v>
      </c>
      <c r="D98" s="301">
        <v>0</v>
      </c>
      <c r="E98" s="301">
        <v>0</v>
      </c>
      <c r="F98" s="301">
        <v>0</v>
      </c>
      <c r="G98" s="301">
        <v>0</v>
      </c>
      <c r="H98" s="301">
        <v>0</v>
      </c>
      <c r="I98" s="301">
        <v>0</v>
      </c>
      <c r="J98" s="301">
        <v>0</v>
      </c>
      <c r="K98" s="301">
        <v>0</v>
      </c>
      <c r="L98" s="301">
        <v>0</v>
      </c>
      <c r="M98" s="301">
        <v>0</v>
      </c>
      <c r="N98" s="97"/>
    </row>
    <row r="99" spans="1:14" s="391" customFormat="1" ht="42" customHeight="1">
      <c r="A99" s="388" t="s">
        <v>946</v>
      </c>
      <c r="B99" s="389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90"/>
    </row>
    <row r="100" spans="1:14" s="33" customFormat="1" ht="27.75" customHeight="1">
      <c r="A100" s="300" t="s">
        <v>969</v>
      </c>
      <c r="B100" s="301">
        <v>20</v>
      </c>
      <c r="C100" s="301">
        <v>20</v>
      </c>
      <c r="D100" s="301">
        <v>0</v>
      </c>
      <c r="E100" s="301">
        <v>0</v>
      </c>
      <c r="F100" s="301">
        <v>0</v>
      </c>
      <c r="G100" s="301">
        <v>0</v>
      </c>
      <c r="H100" s="301">
        <v>0</v>
      </c>
      <c r="I100" s="301">
        <v>0</v>
      </c>
      <c r="J100" s="301">
        <v>0</v>
      </c>
      <c r="K100" s="301">
        <v>0</v>
      </c>
      <c r="L100" s="301">
        <v>0</v>
      </c>
      <c r="M100" s="301">
        <v>0</v>
      </c>
      <c r="N100" s="97"/>
    </row>
    <row r="101" spans="1:14" s="33" customFormat="1" ht="24" customHeight="1">
      <c r="A101" s="300" t="s">
        <v>947</v>
      </c>
      <c r="B101" s="301">
        <v>23</v>
      </c>
      <c r="C101" s="301">
        <v>23</v>
      </c>
      <c r="D101" s="301">
        <v>0</v>
      </c>
      <c r="E101" s="301">
        <v>0</v>
      </c>
      <c r="F101" s="301">
        <v>0</v>
      </c>
      <c r="G101" s="301">
        <v>0</v>
      </c>
      <c r="H101" s="301">
        <v>0</v>
      </c>
      <c r="I101" s="301">
        <v>0</v>
      </c>
      <c r="J101" s="301">
        <v>0</v>
      </c>
      <c r="K101" s="301">
        <v>0</v>
      </c>
      <c r="L101" s="301">
        <v>0</v>
      </c>
      <c r="M101" s="301">
        <v>0</v>
      </c>
      <c r="N101" s="97"/>
    </row>
    <row r="102" spans="1:14" ht="38.25">
      <c r="A102" s="388" t="s">
        <v>1002</v>
      </c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/>
    </row>
    <row r="103" spans="1:14" ht="12.75">
      <c r="A103" s="300" t="s">
        <v>1004</v>
      </c>
      <c r="B103" s="301">
        <v>0</v>
      </c>
      <c r="C103" s="301">
        <v>0</v>
      </c>
      <c r="D103" s="301">
        <v>15</v>
      </c>
      <c r="E103" s="301">
        <v>15</v>
      </c>
      <c r="F103" s="301">
        <v>15</v>
      </c>
      <c r="G103" s="301">
        <v>15</v>
      </c>
      <c r="H103" s="301">
        <v>15</v>
      </c>
      <c r="I103" s="301">
        <v>15</v>
      </c>
      <c r="J103" s="301">
        <v>15</v>
      </c>
      <c r="K103" s="301">
        <v>15</v>
      </c>
      <c r="L103" s="301">
        <v>15</v>
      </c>
      <c r="M103" s="301">
        <v>15</v>
      </c>
      <c r="N103"/>
    </row>
    <row r="104" spans="1:14" ht="38.25">
      <c r="A104" s="388" t="s">
        <v>1001</v>
      </c>
      <c r="B104" s="389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/>
    </row>
    <row r="105" spans="1:14" ht="12.75">
      <c r="A105" s="300" t="s">
        <v>1003</v>
      </c>
      <c r="B105" s="301">
        <v>0</v>
      </c>
      <c r="C105" s="301">
        <v>0</v>
      </c>
      <c r="D105" s="301">
        <v>48</v>
      </c>
      <c r="E105" s="301">
        <v>48</v>
      </c>
      <c r="F105" s="301">
        <v>48</v>
      </c>
      <c r="G105" s="301">
        <v>48</v>
      </c>
      <c r="H105" s="301">
        <v>48</v>
      </c>
      <c r="I105" s="301">
        <v>48</v>
      </c>
      <c r="J105" s="301">
        <v>48</v>
      </c>
      <c r="K105" s="301">
        <v>48</v>
      </c>
      <c r="L105" s="301">
        <v>48</v>
      </c>
      <c r="M105" s="301">
        <v>48</v>
      </c>
      <c r="N105"/>
    </row>
    <row r="106" spans="1:14" s="34" customFormat="1" ht="32.25" customHeight="1">
      <c r="A106" s="83" t="s">
        <v>485</v>
      </c>
      <c r="B106" s="302">
        <f>SUM(B94:B105)</f>
        <v>81</v>
      </c>
      <c r="C106" s="302">
        <f aca="true" t="shared" si="5" ref="C106:M106">SUM(C94:C105)</f>
        <v>81</v>
      </c>
      <c r="D106" s="302">
        <f t="shared" si="5"/>
        <v>63</v>
      </c>
      <c r="E106" s="302">
        <f t="shared" si="5"/>
        <v>63</v>
      </c>
      <c r="F106" s="302">
        <f t="shared" si="5"/>
        <v>63</v>
      </c>
      <c r="G106" s="302">
        <f t="shared" si="5"/>
        <v>63</v>
      </c>
      <c r="H106" s="302">
        <f t="shared" si="5"/>
        <v>63</v>
      </c>
      <c r="I106" s="302">
        <f t="shared" si="5"/>
        <v>63</v>
      </c>
      <c r="J106" s="302">
        <f t="shared" si="5"/>
        <v>63</v>
      </c>
      <c r="K106" s="302">
        <f t="shared" si="5"/>
        <v>63</v>
      </c>
      <c r="L106" s="302">
        <f t="shared" si="5"/>
        <v>63</v>
      </c>
      <c r="M106" s="302">
        <f t="shared" si="5"/>
        <v>63</v>
      </c>
      <c r="N106" s="56"/>
    </row>
    <row r="107" spans="1:13" ht="12.75">
      <c r="A107" s="1239"/>
      <c r="B107" s="1240"/>
      <c r="C107" s="1240"/>
      <c r="D107" s="1240"/>
      <c r="E107" s="1240"/>
      <c r="F107" s="1240"/>
      <c r="G107" s="1240"/>
      <c r="H107" s="1240"/>
      <c r="I107" s="1240"/>
      <c r="J107" s="1240"/>
      <c r="K107" s="1240"/>
      <c r="L107" s="1240"/>
      <c r="M107" s="1241"/>
    </row>
    <row r="108" spans="1:13" ht="12.75">
      <c r="A108" s="1242" t="s">
        <v>1110</v>
      </c>
      <c r="B108" s="1243"/>
      <c r="C108" s="1243"/>
      <c r="D108" s="1243"/>
      <c r="E108" s="1243"/>
      <c r="F108" s="1243"/>
      <c r="G108" s="1243"/>
      <c r="H108" s="1243"/>
      <c r="I108" s="1243"/>
      <c r="J108" s="1243"/>
      <c r="K108" s="1243"/>
      <c r="L108" s="1243"/>
      <c r="M108" s="1244"/>
    </row>
    <row r="109" spans="1:13" ht="25.5">
      <c r="A109" s="1245" t="s">
        <v>716</v>
      </c>
      <c r="B109" s="1246">
        <v>0</v>
      </c>
      <c r="C109" s="1246">
        <v>0</v>
      </c>
      <c r="D109" s="1246">
        <v>0</v>
      </c>
      <c r="E109" s="1246">
        <v>0</v>
      </c>
      <c r="F109" s="1246">
        <v>0</v>
      </c>
      <c r="G109" s="1246">
        <v>0</v>
      </c>
      <c r="H109" s="1246">
        <v>6</v>
      </c>
      <c r="I109" s="1246">
        <v>5</v>
      </c>
      <c r="J109" s="1246">
        <v>0</v>
      </c>
      <c r="K109" s="1246">
        <v>0</v>
      </c>
      <c r="L109" s="1246">
        <v>0</v>
      </c>
      <c r="M109" s="1246">
        <v>0</v>
      </c>
    </row>
    <row r="110" spans="1:13" ht="25.5">
      <c r="A110" s="1245" t="s">
        <v>779</v>
      </c>
      <c r="B110" s="1246">
        <v>0</v>
      </c>
      <c r="C110" s="1246">
        <v>0</v>
      </c>
      <c r="D110" s="1246">
        <v>0</v>
      </c>
      <c r="E110" s="1246">
        <v>0</v>
      </c>
      <c r="F110" s="1246">
        <v>0</v>
      </c>
      <c r="G110" s="1246">
        <v>0</v>
      </c>
      <c r="H110" s="1246">
        <v>1</v>
      </c>
      <c r="I110" s="1246">
        <v>1</v>
      </c>
      <c r="J110" s="1246">
        <v>0</v>
      </c>
      <c r="K110" s="1246">
        <v>0</v>
      </c>
      <c r="L110" s="1246">
        <v>0</v>
      </c>
      <c r="M110" s="1246">
        <v>0</v>
      </c>
    </row>
    <row r="111" spans="1:13" ht="25.5">
      <c r="A111" s="1247" t="s">
        <v>1127</v>
      </c>
      <c r="B111" s="302">
        <f>SUM(B109:B110)</f>
        <v>0</v>
      </c>
      <c r="C111" s="302">
        <f aca="true" t="shared" si="6" ref="C111:M111">SUM(C109:C110)</f>
        <v>0</v>
      </c>
      <c r="D111" s="302">
        <f t="shared" si="6"/>
        <v>0</v>
      </c>
      <c r="E111" s="302">
        <f t="shared" si="6"/>
        <v>0</v>
      </c>
      <c r="F111" s="302">
        <f t="shared" si="6"/>
        <v>0</v>
      </c>
      <c r="G111" s="302">
        <f t="shared" si="6"/>
        <v>0</v>
      </c>
      <c r="H111" s="302">
        <f t="shared" si="6"/>
        <v>7</v>
      </c>
      <c r="I111" s="302">
        <f t="shared" si="6"/>
        <v>6</v>
      </c>
      <c r="J111" s="302">
        <f t="shared" si="6"/>
        <v>0</v>
      </c>
      <c r="K111" s="302">
        <f t="shared" si="6"/>
        <v>0</v>
      </c>
      <c r="L111" s="302">
        <f t="shared" si="6"/>
        <v>0</v>
      </c>
      <c r="M111" s="302">
        <f t="shared" si="6"/>
        <v>0</v>
      </c>
    </row>
    <row r="114" spans="1:5" ht="15">
      <c r="A114" s="620">
        <v>25</v>
      </c>
      <c r="B114" s="621" t="s">
        <v>1028</v>
      </c>
      <c r="C114" s="24"/>
      <c r="D114" s="108"/>
      <c r="E114" s="108"/>
    </row>
    <row r="115" spans="1:2" ht="12.75">
      <c r="A115" s="1248">
        <v>26</v>
      </c>
      <c r="B115" s="621" t="s">
        <v>1029</v>
      </c>
    </row>
  </sheetData>
  <sheetProtection/>
  <mergeCells count="5">
    <mergeCell ref="A4:M4"/>
    <mergeCell ref="A5:M5"/>
    <mergeCell ref="A6:M6"/>
    <mergeCell ref="A107:M107"/>
    <mergeCell ref="A108:M108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4" r:id="rId1"/>
  <rowBreaks count="3" manualBreakCount="3">
    <brk id="33" max="12" man="1"/>
    <brk id="60" max="12" man="1"/>
    <brk id="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78"/>
  <sheetViews>
    <sheetView zoomScaleSheetLayoutView="100" zoomScalePageLayoutView="0" workbookViewId="0" topLeftCell="A1">
      <selection activeCell="B78" sqref="B78"/>
    </sheetView>
  </sheetViews>
  <sheetFormatPr defaultColWidth="8.875" defaultRowHeight="12.75"/>
  <cols>
    <col min="1" max="1" width="4.125" style="36" bestFit="1" customWidth="1"/>
    <col min="2" max="2" width="2.375" style="3" customWidth="1"/>
    <col min="3" max="3" width="88.625" style="3" customWidth="1"/>
    <col min="4" max="4" width="17.25390625" style="3" bestFit="1" customWidth="1"/>
    <col min="5" max="16384" width="8.875" style="3" customWidth="1"/>
  </cols>
  <sheetData>
    <row r="1" spans="3:5" ht="18">
      <c r="C1" s="671" t="s">
        <v>1129</v>
      </c>
      <c r="D1" s="799"/>
      <c r="E1" s="35"/>
    </row>
    <row r="2" spans="3:5" ht="15">
      <c r="C2" s="5"/>
      <c r="D2" s="88"/>
      <c r="E2" s="35"/>
    </row>
    <row r="3" spans="2:4" ht="15.75">
      <c r="B3" s="800" t="s">
        <v>856</v>
      </c>
      <c r="C3" s="800"/>
      <c r="D3" s="800"/>
    </row>
    <row r="4" spans="2:4" ht="15">
      <c r="B4" s="102"/>
      <c r="C4" s="102"/>
      <c r="D4" s="102"/>
    </row>
    <row r="5" ht="15.75" thickBot="1">
      <c r="D5" s="5"/>
    </row>
    <row r="6" spans="1:4" s="4" customFormat="1" ht="14.25">
      <c r="A6" s="1250" t="s">
        <v>405</v>
      </c>
      <c r="B6" s="1251" t="s">
        <v>326</v>
      </c>
      <c r="C6" s="1252"/>
      <c r="D6" s="1253" t="s">
        <v>339</v>
      </c>
    </row>
    <row r="7" spans="1:4" s="46" customFormat="1" ht="12">
      <c r="A7" s="1254"/>
      <c r="B7" s="1255" t="s">
        <v>399</v>
      </c>
      <c r="C7" s="1255"/>
      <c r="D7" s="1256" t="s">
        <v>400</v>
      </c>
    </row>
    <row r="8" spans="1:4" s="4" customFormat="1" ht="14.25">
      <c r="A8" s="1257">
        <v>1</v>
      </c>
      <c r="B8" s="1258" t="s">
        <v>332</v>
      </c>
      <c r="C8" s="1259"/>
      <c r="D8" s="1260"/>
    </row>
    <row r="9" spans="1:4" s="6" customFormat="1" ht="15">
      <c r="A9" s="1257">
        <v>2</v>
      </c>
      <c r="B9" s="1261" t="s">
        <v>413</v>
      </c>
      <c r="C9" s="1262"/>
      <c r="D9" s="1263"/>
    </row>
    <row r="10" spans="1:4" ht="27.75" customHeight="1">
      <c r="A10" s="1257">
        <v>3</v>
      </c>
      <c r="B10" s="1264" t="s">
        <v>340</v>
      </c>
      <c r="C10" s="1265" t="s">
        <v>864</v>
      </c>
      <c r="D10" s="1266">
        <f>252435231-23410448</f>
        <v>229024783</v>
      </c>
    </row>
    <row r="11" spans="1:4" ht="33" customHeight="1">
      <c r="A11" s="1257">
        <v>4</v>
      </c>
      <c r="B11" s="1264" t="s">
        <v>340</v>
      </c>
      <c r="C11" s="1265" t="s">
        <v>865</v>
      </c>
      <c r="D11" s="1266">
        <v>196302400</v>
      </c>
    </row>
    <row r="12" spans="1:4" ht="27.75" customHeight="1">
      <c r="A12" s="1257">
        <v>5</v>
      </c>
      <c r="B12" s="1264" t="s">
        <v>340</v>
      </c>
      <c r="C12" s="1265" t="s">
        <v>866</v>
      </c>
      <c r="D12" s="1266">
        <v>429750000</v>
      </c>
    </row>
    <row r="13" spans="1:4" ht="27.75" customHeight="1">
      <c r="A13" s="1257">
        <v>6</v>
      </c>
      <c r="B13" s="1264" t="s">
        <v>340</v>
      </c>
      <c r="C13" s="1265" t="s">
        <v>691</v>
      </c>
      <c r="D13" s="1266">
        <v>12223750</v>
      </c>
    </row>
    <row r="14" spans="1:4" ht="27.75" customHeight="1">
      <c r="A14" s="1257">
        <v>7</v>
      </c>
      <c r="B14" s="1264" t="s">
        <v>340</v>
      </c>
      <c r="C14" s="1265" t="s">
        <v>858</v>
      </c>
      <c r="D14" s="1266">
        <v>4500000</v>
      </c>
    </row>
    <row r="15" spans="1:4" ht="18.75" customHeight="1">
      <c r="A15" s="1257">
        <v>8</v>
      </c>
      <c r="B15" s="1264" t="s">
        <v>340</v>
      </c>
      <c r="C15" s="1265" t="s">
        <v>867</v>
      </c>
      <c r="D15" s="1266">
        <v>106361800</v>
      </c>
    </row>
    <row r="16" spans="1:4" ht="18.75" customHeight="1">
      <c r="A16" s="1257">
        <v>9</v>
      </c>
      <c r="B16" s="1264" t="s">
        <v>340</v>
      </c>
      <c r="C16" s="1265" t="s">
        <v>861</v>
      </c>
      <c r="D16" s="1266">
        <v>600000</v>
      </c>
    </row>
    <row r="17" spans="1:4" ht="22.5" customHeight="1">
      <c r="A17" s="1257">
        <v>10</v>
      </c>
      <c r="B17" s="1264" t="s">
        <v>340</v>
      </c>
      <c r="C17" s="1265" t="s">
        <v>860</v>
      </c>
      <c r="D17" s="1266">
        <v>289870</v>
      </c>
    </row>
    <row r="18" spans="1:4" ht="22.5" customHeight="1">
      <c r="A18" s="1257">
        <v>11</v>
      </c>
      <c r="B18" s="1264" t="s">
        <v>340</v>
      </c>
      <c r="C18" s="1265" t="s">
        <v>1005</v>
      </c>
      <c r="D18" s="1266">
        <v>138684</v>
      </c>
    </row>
    <row r="19" spans="1:4" ht="36" customHeight="1">
      <c r="A19" s="1257">
        <v>12</v>
      </c>
      <c r="B19" s="1264" t="s">
        <v>340</v>
      </c>
      <c r="C19" s="1265" t="s">
        <v>869</v>
      </c>
      <c r="D19" s="1266">
        <v>510500</v>
      </c>
    </row>
    <row r="20" spans="1:4" ht="27.75" customHeight="1">
      <c r="A20" s="1257">
        <v>13</v>
      </c>
      <c r="B20" s="1264" t="s">
        <v>340</v>
      </c>
      <c r="C20" s="1265" t="s">
        <v>873</v>
      </c>
      <c r="D20" s="1266">
        <v>6223000</v>
      </c>
    </row>
    <row r="21" spans="1:4" ht="20.25" customHeight="1">
      <c r="A21" s="1257">
        <v>14</v>
      </c>
      <c r="B21" s="1264" t="s">
        <v>340</v>
      </c>
      <c r="C21" s="1265" t="s">
        <v>874</v>
      </c>
      <c r="D21" s="1266">
        <v>600000</v>
      </c>
    </row>
    <row r="22" spans="1:4" ht="27.75" customHeight="1">
      <c r="A22" s="1257">
        <v>15</v>
      </c>
      <c r="B22" s="1264" t="s">
        <v>340</v>
      </c>
      <c r="C22" s="1265" t="s">
        <v>875</v>
      </c>
      <c r="D22" s="1266">
        <v>700000</v>
      </c>
    </row>
    <row r="23" spans="1:4" ht="21" customHeight="1">
      <c r="A23" s="1257">
        <v>16</v>
      </c>
      <c r="B23" s="1264" t="s">
        <v>340</v>
      </c>
      <c r="C23" s="1265" t="s">
        <v>877</v>
      </c>
      <c r="D23" s="1266">
        <v>11411381</v>
      </c>
    </row>
    <row r="24" spans="1:4" ht="21" customHeight="1">
      <c r="A24" s="1257">
        <v>17</v>
      </c>
      <c r="B24" s="1264" t="s">
        <v>340</v>
      </c>
      <c r="C24" s="1265" t="s">
        <v>878</v>
      </c>
      <c r="D24" s="1266">
        <v>4797591</v>
      </c>
    </row>
    <row r="25" spans="1:4" ht="21" customHeight="1">
      <c r="A25" s="1257">
        <v>18</v>
      </c>
      <c r="B25" s="1264" t="s">
        <v>340</v>
      </c>
      <c r="C25" s="1265" t="s">
        <v>1006</v>
      </c>
      <c r="D25" s="1266">
        <v>779383</v>
      </c>
    </row>
    <row r="26" spans="1:4" ht="28.5" customHeight="1">
      <c r="A26" s="1257">
        <v>19</v>
      </c>
      <c r="B26" s="1264" t="s">
        <v>340</v>
      </c>
      <c r="C26" s="1265" t="s">
        <v>868</v>
      </c>
      <c r="D26" s="1266">
        <v>6400548</v>
      </c>
    </row>
    <row r="27" spans="1:4" ht="28.5" customHeight="1">
      <c r="A27" s="1257">
        <v>20</v>
      </c>
      <c r="B27" s="1264" t="s">
        <v>340</v>
      </c>
      <c r="C27" s="1265" t="s">
        <v>973</v>
      </c>
      <c r="D27" s="1266">
        <v>1000000</v>
      </c>
    </row>
    <row r="28" spans="1:4" s="23" customFormat="1" ht="15">
      <c r="A28" s="1257">
        <v>21</v>
      </c>
      <c r="B28" s="1264" t="s">
        <v>340</v>
      </c>
      <c r="C28" s="1265" t="s">
        <v>1130</v>
      </c>
      <c r="D28" s="1266">
        <v>620000</v>
      </c>
    </row>
    <row r="29" spans="1:4" s="23" customFormat="1" ht="30">
      <c r="A29" s="1257">
        <v>22</v>
      </c>
      <c r="B29" s="1264" t="s">
        <v>340</v>
      </c>
      <c r="C29" s="1265" t="s">
        <v>1131</v>
      </c>
      <c r="D29" s="1266">
        <v>1578000</v>
      </c>
    </row>
    <row r="30" spans="1:4" ht="18.75" customHeight="1">
      <c r="A30" s="1257">
        <v>23</v>
      </c>
      <c r="B30" s="1264" t="s">
        <v>340</v>
      </c>
      <c r="C30" s="1265" t="s">
        <v>1132</v>
      </c>
      <c r="D30" s="1266">
        <v>109120</v>
      </c>
    </row>
    <row r="31" spans="1:4" s="23" customFormat="1" ht="15">
      <c r="A31" s="1257">
        <v>24</v>
      </c>
      <c r="B31" s="1264"/>
      <c r="C31" s="1267" t="s">
        <v>356</v>
      </c>
      <c r="D31" s="1268">
        <f>SUM(D10:D30)</f>
        <v>1013920810</v>
      </c>
    </row>
    <row r="32" spans="1:4" s="23" customFormat="1" ht="15">
      <c r="A32" s="1257">
        <v>25</v>
      </c>
      <c r="B32" s="1269" t="s">
        <v>337</v>
      </c>
      <c r="C32" s="1270"/>
      <c r="D32" s="1271"/>
    </row>
    <row r="33" spans="1:4" ht="18.75" customHeight="1">
      <c r="A33" s="1257">
        <v>26</v>
      </c>
      <c r="B33" s="1264" t="s">
        <v>340</v>
      </c>
      <c r="C33" s="1265" t="s">
        <v>880</v>
      </c>
      <c r="D33" s="1266">
        <v>1016000</v>
      </c>
    </row>
    <row r="34" spans="1:4" ht="18.75" customHeight="1">
      <c r="A34" s="1257">
        <v>27</v>
      </c>
      <c r="B34" s="1272"/>
      <c r="C34" s="1267" t="s">
        <v>462</v>
      </c>
      <c r="D34" s="1268">
        <f>SUM(D33:D33)</f>
        <v>1016000</v>
      </c>
    </row>
    <row r="35" spans="1:4" s="23" customFormat="1" ht="15">
      <c r="A35" s="1257">
        <v>28</v>
      </c>
      <c r="B35" s="1269" t="s">
        <v>779</v>
      </c>
      <c r="C35" s="1270"/>
      <c r="D35" s="1271"/>
    </row>
    <row r="36" spans="1:4" s="23" customFormat="1" ht="15">
      <c r="A36" s="1257">
        <v>29</v>
      </c>
      <c r="B36" s="1264" t="s">
        <v>340</v>
      </c>
      <c r="C36" s="1265" t="s">
        <v>881</v>
      </c>
      <c r="D36" s="1266">
        <v>635000</v>
      </c>
    </row>
    <row r="37" spans="1:4" ht="32.25" customHeight="1">
      <c r="A37" s="1257">
        <v>30</v>
      </c>
      <c r="B37" s="1264" t="s">
        <v>340</v>
      </c>
      <c r="C37" s="1265" t="s">
        <v>885</v>
      </c>
      <c r="D37" s="1266">
        <v>2497100</v>
      </c>
    </row>
    <row r="38" spans="1:4" ht="18.75" customHeight="1">
      <c r="A38" s="1257">
        <v>31</v>
      </c>
      <c r="B38" s="1272"/>
      <c r="C38" s="1267" t="s">
        <v>780</v>
      </c>
      <c r="D38" s="1268">
        <f>SUM(D36:D37)</f>
        <v>3132100</v>
      </c>
    </row>
    <row r="39" spans="1:4" ht="15">
      <c r="A39" s="1257">
        <v>32</v>
      </c>
      <c r="B39" s="1269" t="s">
        <v>716</v>
      </c>
      <c r="C39" s="1270"/>
      <c r="D39" s="1271"/>
    </row>
    <row r="40" spans="1:4" s="23" customFormat="1" ht="30">
      <c r="A40" s="1257">
        <v>33</v>
      </c>
      <c r="B40" s="1264" t="s">
        <v>340</v>
      </c>
      <c r="C40" s="1265" t="s">
        <v>882</v>
      </c>
      <c r="D40" s="1266">
        <v>552450</v>
      </c>
    </row>
    <row r="41" spans="1:4" s="4" customFormat="1" ht="15">
      <c r="A41" s="1257">
        <v>34</v>
      </c>
      <c r="B41" s="1264" t="s">
        <v>340</v>
      </c>
      <c r="C41" s="1273" t="s">
        <v>883</v>
      </c>
      <c r="D41" s="1266">
        <v>152400</v>
      </c>
    </row>
    <row r="42" spans="1:4" ht="30">
      <c r="A42" s="1257">
        <v>35</v>
      </c>
      <c r="B42" s="1264" t="s">
        <v>340</v>
      </c>
      <c r="C42" s="1273" t="s">
        <v>884</v>
      </c>
      <c r="D42" s="1266">
        <v>241300</v>
      </c>
    </row>
    <row r="43" spans="1:4" s="6" customFormat="1" ht="15">
      <c r="A43" s="1257">
        <v>36</v>
      </c>
      <c r="B43" s="1264" t="s">
        <v>340</v>
      </c>
      <c r="C43" s="1273" t="s">
        <v>1133</v>
      </c>
      <c r="D43" s="1266">
        <v>36576</v>
      </c>
    </row>
    <row r="44" spans="1:4" ht="18.75" customHeight="1">
      <c r="A44" s="1257">
        <v>37</v>
      </c>
      <c r="B44" s="1272"/>
      <c r="C44" s="1267" t="s">
        <v>970</v>
      </c>
      <c r="D44" s="1268">
        <f>SUM(D40:D43)</f>
        <v>982726</v>
      </c>
    </row>
    <row r="45" spans="1:4" ht="18.75" customHeight="1" thickBot="1">
      <c r="A45" s="1274">
        <v>38</v>
      </c>
      <c r="B45" s="1275" t="s">
        <v>329</v>
      </c>
      <c r="C45" s="1275"/>
      <c r="D45" s="1276">
        <f>SUM(D44+D38+D34+D31)</f>
        <v>1019051636</v>
      </c>
    </row>
    <row r="46" spans="1:4" s="23" customFormat="1" ht="29.25" customHeight="1">
      <c r="A46" s="1277">
        <v>39</v>
      </c>
      <c r="B46" s="1278" t="s">
        <v>338</v>
      </c>
      <c r="C46" s="1278"/>
      <c r="D46" s="1279"/>
    </row>
    <row r="47" spans="1:4" s="23" customFormat="1" ht="29.25" customHeight="1">
      <c r="A47" s="1257">
        <v>40</v>
      </c>
      <c r="B47" s="1280" t="s">
        <v>413</v>
      </c>
      <c r="C47" s="1281"/>
      <c r="D47" s="1282"/>
    </row>
    <row r="48" spans="1:4" s="23" customFormat="1" ht="29.25" customHeight="1">
      <c r="A48" s="1257">
        <v>41</v>
      </c>
      <c r="B48" s="1264" t="s">
        <v>340</v>
      </c>
      <c r="C48" s="1265" t="s">
        <v>572</v>
      </c>
      <c r="D48" s="1266">
        <v>500000</v>
      </c>
    </row>
    <row r="49" spans="1:4" s="23" customFormat="1" ht="29.25" customHeight="1">
      <c r="A49" s="1257">
        <v>42</v>
      </c>
      <c r="B49" s="1264" t="s">
        <v>340</v>
      </c>
      <c r="C49" s="1265" t="s">
        <v>859</v>
      </c>
      <c r="D49" s="1266">
        <v>7850000</v>
      </c>
    </row>
    <row r="50" spans="1:4" ht="25.5" customHeight="1">
      <c r="A50" s="1257">
        <v>43</v>
      </c>
      <c r="B50" s="1264" t="s">
        <v>340</v>
      </c>
      <c r="C50" s="1265" t="s">
        <v>863</v>
      </c>
      <c r="D50" s="1266">
        <v>47550000</v>
      </c>
    </row>
    <row r="51" spans="1:4" ht="18.75" customHeight="1">
      <c r="A51" s="1257">
        <v>44</v>
      </c>
      <c r="B51" s="1264" t="s">
        <v>340</v>
      </c>
      <c r="C51" s="1265" t="s">
        <v>1134</v>
      </c>
      <c r="D51" s="1266">
        <v>829010</v>
      </c>
    </row>
    <row r="52" spans="1:4" ht="30">
      <c r="A52" s="1257">
        <v>45</v>
      </c>
      <c r="B52" s="1264" t="s">
        <v>340</v>
      </c>
      <c r="C52" s="1265" t="s">
        <v>871</v>
      </c>
      <c r="D52" s="1266">
        <v>6575332</v>
      </c>
    </row>
    <row r="53" spans="1:4" s="6" customFormat="1" ht="15">
      <c r="A53" s="1257">
        <v>46</v>
      </c>
      <c r="B53" s="1264" t="s">
        <v>340</v>
      </c>
      <c r="C53" s="1265" t="s">
        <v>870</v>
      </c>
      <c r="D53" s="1266">
        <v>97606050</v>
      </c>
    </row>
    <row r="54" spans="1:4" ht="30">
      <c r="A54" s="1257">
        <v>47</v>
      </c>
      <c r="B54" s="1264" t="s">
        <v>340</v>
      </c>
      <c r="C54" s="1265" t="s">
        <v>879</v>
      </c>
      <c r="D54" s="1266">
        <v>522139</v>
      </c>
    </row>
    <row r="55" spans="1:4" ht="30">
      <c r="A55" s="1257">
        <v>48</v>
      </c>
      <c r="B55" s="1264" t="s">
        <v>340</v>
      </c>
      <c r="C55" s="1265" t="s">
        <v>872</v>
      </c>
      <c r="D55" s="1266">
        <v>6462419</v>
      </c>
    </row>
    <row r="56" spans="1:4" s="6" customFormat="1" ht="15">
      <c r="A56" s="1257">
        <v>49</v>
      </c>
      <c r="B56" s="1264" t="s">
        <v>340</v>
      </c>
      <c r="C56" s="1265" t="s">
        <v>876</v>
      </c>
      <c r="D56" s="1266">
        <v>19957013</v>
      </c>
    </row>
    <row r="57" spans="1:4" s="23" customFormat="1" ht="20.25" customHeight="1">
      <c r="A57" s="1257">
        <v>50</v>
      </c>
      <c r="B57" s="1264" t="s">
        <v>340</v>
      </c>
      <c r="C57" s="1265" t="s">
        <v>1135</v>
      </c>
      <c r="D57" s="1266">
        <f>1600000+29999998</f>
        <v>31599998</v>
      </c>
    </row>
    <row r="58" spans="1:4" ht="18.75" customHeight="1">
      <c r="A58" s="1257">
        <v>51</v>
      </c>
      <c r="B58" s="1283"/>
      <c r="C58" s="1284" t="s">
        <v>356</v>
      </c>
      <c r="D58" s="1285">
        <f>SUM(D46:D57)</f>
        <v>219451961</v>
      </c>
    </row>
    <row r="59" spans="1:4" s="4" customFormat="1" ht="15">
      <c r="A59" s="1257">
        <v>52</v>
      </c>
      <c r="B59" s="1269" t="s">
        <v>716</v>
      </c>
      <c r="C59" s="1270"/>
      <c r="D59" s="1271"/>
    </row>
    <row r="60" spans="1:4" ht="15" customHeight="1" hidden="1">
      <c r="A60" s="1257">
        <v>53</v>
      </c>
      <c r="B60" s="1264" t="s">
        <v>340</v>
      </c>
      <c r="C60" s="1265" t="s">
        <v>1136</v>
      </c>
      <c r="D60" s="1266">
        <v>273095</v>
      </c>
    </row>
    <row r="61" spans="1:4" s="6" customFormat="1" ht="15" customHeight="1" hidden="1">
      <c r="A61" s="1257">
        <v>54</v>
      </c>
      <c r="B61" s="1286"/>
      <c r="C61" s="1267" t="s">
        <v>970</v>
      </c>
      <c r="D61" s="1268">
        <f>SUM(D60)</f>
        <v>273095</v>
      </c>
    </row>
    <row r="62" spans="1:4" s="4" customFormat="1" ht="15" customHeight="1" hidden="1" thickBot="1">
      <c r="A62" s="1274">
        <v>55</v>
      </c>
      <c r="B62" s="1287" t="s">
        <v>329</v>
      </c>
      <c r="C62" s="1275"/>
      <c r="D62" s="1288">
        <f>SUM(D58+D61)</f>
        <v>219725056</v>
      </c>
    </row>
    <row r="63" spans="1:4" ht="15">
      <c r="A63" s="1257">
        <v>56</v>
      </c>
      <c r="B63" s="1278" t="s">
        <v>79</v>
      </c>
      <c r="C63" s="1278"/>
      <c r="D63" s="1279"/>
    </row>
    <row r="64" spans="1:4" ht="15">
      <c r="A64" s="1257">
        <v>57</v>
      </c>
      <c r="B64" s="1289" t="s">
        <v>413</v>
      </c>
      <c r="C64" s="1281"/>
      <c r="D64" s="1290"/>
    </row>
    <row r="65" spans="1:4" s="4" customFormat="1" ht="15">
      <c r="A65" s="1257">
        <v>58</v>
      </c>
      <c r="B65" s="1264" t="s">
        <v>340</v>
      </c>
      <c r="C65" s="1265" t="s">
        <v>395</v>
      </c>
      <c r="D65" s="1291">
        <v>449520</v>
      </c>
    </row>
    <row r="66" spans="1:4" ht="21" customHeight="1">
      <c r="A66" s="1257">
        <v>59</v>
      </c>
      <c r="B66" s="1264" t="s">
        <v>340</v>
      </c>
      <c r="C66" s="1265" t="s">
        <v>862</v>
      </c>
      <c r="D66" s="1266">
        <f>5000000+5000000</f>
        <v>10000000</v>
      </c>
    </row>
    <row r="67" spans="1:4" ht="15.75" thickBot="1">
      <c r="A67" s="1274">
        <v>60</v>
      </c>
      <c r="B67" s="1292" t="s">
        <v>329</v>
      </c>
      <c r="C67" s="1275"/>
      <c r="D67" s="1293">
        <f>SUM(D65:D66)</f>
        <v>10449520</v>
      </c>
    </row>
    <row r="68" spans="1:4" ht="21" customHeight="1">
      <c r="A68" s="1277">
        <v>45</v>
      </c>
      <c r="B68" s="1278" t="s">
        <v>396</v>
      </c>
      <c r="C68" s="1278"/>
      <c r="D68" s="1279"/>
    </row>
    <row r="69" spans="1:4" ht="15">
      <c r="A69" s="1257">
        <v>46</v>
      </c>
      <c r="B69" s="1264"/>
      <c r="C69" s="1294"/>
      <c r="D69" s="1295"/>
    </row>
    <row r="70" spans="1:4" ht="15.75" thickBot="1">
      <c r="A70" s="1257">
        <v>47</v>
      </c>
      <c r="B70" s="1292" t="s">
        <v>329</v>
      </c>
      <c r="C70" s="1275"/>
      <c r="D70" s="1296">
        <f>SUM(D69:D69)</f>
        <v>0</v>
      </c>
    </row>
    <row r="71" spans="1:4" ht="15">
      <c r="A71" s="1257">
        <v>61</v>
      </c>
      <c r="B71" s="1278" t="s">
        <v>397</v>
      </c>
      <c r="C71" s="1278"/>
      <c r="D71" s="1279"/>
    </row>
    <row r="72" spans="1:4" ht="15">
      <c r="A72" s="1257">
        <v>62</v>
      </c>
      <c r="B72" s="1289" t="s">
        <v>413</v>
      </c>
      <c r="C72" s="1297"/>
      <c r="D72" s="1298"/>
    </row>
    <row r="73" spans="1:4" ht="15.75" thickBot="1">
      <c r="A73" s="1274">
        <v>63</v>
      </c>
      <c r="B73" s="1292" t="s">
        <v>329</v>
      </c>
      <c r="C73" s="1275"/>
      <c r="D73" s="1293">
        <v>0</v>
      </c>
    </row>
    <row r="74" spans="1:4" ht="15.75" thickBot="1">
      <c r="A74" s="1274">
        <v>64</v>
      </c>
      <c r="B74" s="1299" t="s">
        <v>330</v>
      </c>
      <c r="C74" s="1292"/>
      <c r="D74" s="1293">
        <f>SUM(D73+D67+D62+D45)</f>
        <v>1249226212</v>
      </c>
    </row>
    <row r="76" spans="2:4" ht="15">
      <c r="B76" s="798"/>
      <c r="C76" s="798"/>
      <c r="D76" s="798"/>
    </row>
    <row r="77" spans="1:7" ht="15">
      <c r="A77" s="620">
        <v>27</v>
      </c>
      <c r="B77" s="621" t="s">
        <v>1028</v>
      </c>
      <c r="C77" s="24"/>
      <c r="D77" s="108"/>
      <c r="E77" s="108"/>
      <c r="F77"/>
      <c r="G77"/>
    </row>
    <row r="78" spans="1:8" ht="15">
      <c r="A78" s="1249">
        <v>28</v>
      </c>
      <c r="B78" s="621" t="s">
        <v>1029</v>
      </c>
      <c r="H78" s="37"/>
    </row>
  </sheetData>
  <sheetProtection/>
  <mergeCells count="14">
    <mergeCell ref="B59:D59"/>
    <mergeCell ref="B68:D68"/>
    <mergeCell ref="B71:D71"/>
    <mergeCell ref="B7:C7"/>
    <mergeCell ref="B32:D32"/>
    <mergeCell ref="B35:D35"/>
    <mergeCell ref="B39:D39"/>
    <mergeCell ref="B46:D46"/>
    <mergeCell ref="A6:A7"/>
    <mergeCell ref="B63:D63"/>
    <mergeCell ref="B76:D76"/>
    <mergeCell ref="C1:D1"/>
    <mergeCell ref="B3:D3"/>
    <mergeCell ref="B6:C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Juhász Anikó</cp:lastModifiedBy>
  <cp:lastPrinted>2019-05-24T06:56:44Z</cp:lastPrinted>
  <dcterms:created xsi:type="dcterms:W3CDTF">2001-11-30T10:27:10Z</dcterms:created>
  <dcterms:modified xsi:type="dcterms:W3CDTF">2019-10-04T12:35:52Z</dcterms:modified>
  <cp:category/>
  <cp:version/>
  <cp:contentType/>
  <cp:contentStatus/>
</cp:coreProperties>
</file>