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-20" yWindow="6410" windowWidth="14520" windowHeight="6420" firstSheet="24" activeTab="30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-2 mell.össz" sheetId="36" r:id="rId12"/>
    <sheet name="10.sz.mell" sheetId="17" r:id="rId13"/>
    <sheet name="10.1.sz.mell" sheetId="21" r:id="rId14"/>
    <sheet name="10.2.sz.mell" sheetId="19" r:id="rId15"/>
    <sheet name="11.sz.mell" sheetId="18" r:id="rId16"/>
    <sheet name="11.1.sz.mell" sheetId="22" r:id="rId17"/>
    <sheet name="11.2.sz.mell" sheetId="20" r:id="rId18"/>
    <sheet name="12.sz.mell" sheetId="23" r:id="rId19"/>
    <sheet name="13.sz.mell" sheetId="26" r:id="rId20"/>
    <sheet name="14.sz.mell" sheetId="29" r:id="rId21"/>
    <sheet name="15.sz.mell" sheetId="25" r:id="rId22"/>
    <sheet name="16.sz.mell" sheetId="28" r:id="rId23"/>
    <sheet name="17.sz.mell" sheetId="24" r:id="rId24"/>
    <sheet name="18.sz.mell" sheetId="30" r:id="rId25"/>
    <sheet name="19. sz.mell" sheetId="31" r:id="rId26"/>
    <sheet name="20.sz.mell" sheetId="35" r:id="rId27"/>
    <sheet name="21.sz.mell." sheetId="38" r:id="rId28"/>
    <sheet name="22.sz.mell" sheetId="37" r:id="rId29"/>
    <sheet name="23.sz.mell" sheetId="39" r:id="rId30"/>
    <sheet name="24.szmell" sheetId="40" r:id="rId31"/>
    <sheet name="25.sz.mell" sheetId="41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1Excel_BuiltIn_Print_Area_1_1" localSheetId="13">#REF!</definedName>
    <definedName name="_1Excel_BuiltIn_Print_Area_1_1" localSheetId="14">#REF!</definedName>
    <definedName name="_1Excel_BuiltIn_Print_Area_1_1" localSheetId="16">#REF!</definedName>
    <definedName name="_1Excel_BuiltIn_Print_Area_1_1" localSheetId="17">#REF!</definedName>
    <definedName name="_1Excel_BuiltIn_Print_Area_1_1" localSheetId="15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3">#REF!,#REF!</definedName>
    <definedName name="Állami" localSheetId="14">#REF!,#REF!</definedName>
    <definedName name="Állami" localSheetId="16">#REF!,#REF!</definedName>
    <definedName name="Állami" localSheetId="17">#REF!,#REF!</definedName>
    <definedName name="Állami" localSheetId="15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3">#REF!</definedName>
    <definedName name="anyád" localSheetId="14">#REF!</definedName>
    <definedName name="anyád" localSheetId="16">#REF!</definedName>
    <definedName name="anyád" localSheetId="17">#REF!</definedName>
    <definedName name="anyád" localSheetId="15">#REF!</definedName>
    <definedName name="anyád" localSheetId="5">#REF!</definedName>
    <definedName name="anyád" localSheetId="10">#REF!</definedName>
    <definedName name="anyád">#REF!</definedName>
    <definedName name="apád" localSheetId="13">#REF!</definedName>
    <definedName name="apád" localSheetId="14">#REF!</definedName>
    <definedName name="apád" localSheetId="16">#REF!</definedName>
    <definedName name="apád" localSheetId="17">#REF!</definedName>
    <definedName name="apád" localSheetId="15">#REF!</definedName>
    <definedName name="apád" localSheetId="5">#REF!</definedName>
    <definedName name="apád" localSheetId="10">#REF!</definedName>
    <definedName name="apád">#REF!</definedName>
    <definedName name="b" localSheetId="13">#REF!</definedName>
    <definedName name="b" localSheetId="14">#REF!</definedName>
    <definedName name="b" localSheetId="16">#REF!</definedName>
    <definedName name="b" localSheetId="17">#REF!</definedName>
    <definedName name="b" localSheetId="15">#REF!</definedName>
    <definedName name="b" localSheetId="5">#REF!</definedName>
    <definedName name="b" localSheetId="10">#REF!</definedName>
    <definedName name="b">#REF!</definedName>
    <definedName name="bbbbbb" localSheetId="13">#REF!</definedName>
    <definedName name="bbbbbb" localSheetId="14">#REF!</definedName>
    <definedName name="bbbbbb" localSheetId="16">#REF!</definedName>
    <definedName name="bbbbbb" localSheetId="17">#REF!</definedName>
    <definedName name="bbbbbb" localSheetId="15">#REF!</definedName>
    <definedName name="bbbbbb" localSheetId="5">#REF!</definedName>
    <definedName name="bbbbbb" localSheetId="10">#REF!</definedName>
    <definedName name="bbbbbb">#REF!</definedName>
    <definedName name="bbbbbbbbbbbbbbbbbb" localSheetId="13">#REF!</definedName>
    <definedName name="bbbbbbbbbbbbbbbbbb" localSheetId="14">#REF!</definedName>
    <definedName name="bbbbbbbbbbbbbbbbbb" localSheetId="16">#REF!</definedName>
    <definedName name="bbbbbbbbbbbbbbbbbb" localSheetId="17">#REF!</definedName>
    <definedName name="bbbbbbbbbbbbbbbbbb" localSheetId="15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3">#REF!</definedName>
    <definedName name="bhgtz" localSheetId="14">#REF!</definedName>
    <definedName name="bhgtz" localSheetId="16">#REF!</definedName>
    <definedName name="bhgtz" localSheetId="17">#REF!</definedName>
    <definedName name="bhgtz" localSheetId="15">#REF!</definedName>
    <definedName name="bhgtz" localSheetId="5">#REF!</definedName>
    <definedName name="bhgtz" localSheetId="10">#REF!</definedName>
    <definedName name="bhgtz">#REF!</definedName>
    <definedName name="cccc" localSheetId="13">#REF!</definedName>
    <definedName name="cccc" localSheetId="14">#REF!</definedName>
    <definedName name="cccc" localSheetId="16">#REF!</definedName>
    <definedName name="cccc" localSheetId="17">#REF!</definedName>
    <definedName name="cccc" localSheetId="15">#REF!</definedName>
    <definedName name="cccc" localSheetId="5">#REF!</definedName>
    <definedName name="cccc" localSheetId="10">#REF!</definedName>
    <definedName name="cccc">#REF!</definedName>
    <definedName name="css" localSheetId="13">#REF!</definedName>
    <definedName name="css" localSheetId="14">#REF!</definedName>
    <definedName name="css" localSheetId="16">#REF!</definedName>
    <definedName name="css" localSheetId="17">#REF!</definedName>
    <definedName name="css" localSheetId="15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3">#REF!</definedName>
    <definedName name="css_k_" localSheetId="14">#REF!</definedName>
    <definedName name="css_k_" localSheetId="16">#REF!</definedName>
    <definedName name="css_k_" localSheetId="17">#REF!</definedName>
    <definedName name="css_k_" localSheetId="15">#REF!</definedName>
    <definedName name="css_k_" localSheetId="5">#REF!</definedName>
    <definedName name="css_k_" localSheetId="10">#REF!</definedName>
    <definedName name="css_k_">#REF!</definedName>
    <definedName name="dddd" localSheetId="13">#REF!</definedName>
    <definedName name="dddd" localSheetId="14">#REF!</definedName>
    <definedName name="dddd" localSheetId="16">#REF!</definedName>
    <definedName name="dddd" localSheetId="17">#REF!</definedName>
    <definedName name="dddd" localSheetId="15">#REF!</definedName>
    <definedName name="dddd" localSheetId="5">#REF!</definedName>
    <definedName name="dddd" localSheetId="10">#REF!</definedName>
    <definedName name="dddd">#REF!</definedName>
    <definedName name="ddddd" localSheetId="13">#REF!,#REF!</definedName>
    <definedName name="ddddd" localSheetId="14">#REF!,#REF!</definedName>
    <definedName name="ddddd" localSheetId="16">#REF!,#REF!</definedName>
    <definedName name="ddddd" localSheetId="17">#REF!,#REF!</definedName>
    <definedName name="ddddd" localSheetId="15">#REF!,#REF!</definedName>
    <definedName name="ddddd" localSheetId="5">#REF!,#REF!</definedName>
    <definedName name="ddddd" localSheetId="10">#REF!,#REF!</definedName>
    <definedName name="ddddd">#REF!,#REF!</definedName>
    <definedName name="dddddd" localSheetId="13">#REF!</definedName>
    <definedName name="dddddd" localSheetId="14">#REF!</definedName>
    <definedName name="dddddd" localSheetId="16">#REF!</definedName>
    <definedName name="dddddd" localSheetId="17">#REF!</definedName>
    <definedName name="dddddd" localSheetId="15">#REF!</definedName>
    <definedName name="dddddd" localSheetId="5">#REF!</definedName>
    <definedName name="dddddd" localSheetId="10">#REF!</definedName>
    <definedName name="dddddd">#REF!</definedName>
    <definedName name="ddddddd" localSheetId="13">#REF!</definedName>
    <definedName name="ddddddd" localSheetId="14">#REF!</definedName>
    <definedName name="ddddddd" localSheetId="16">#REF!</definedName>
    <definedName name="ddddddd" localSheetId="17">#REF!</definedName>
    <definedName name="ddddddd" localSheetId="15">#REF!</definedName>
    <definedName name="ddddddd" localSheetId="5">#REF!</definedName>
    <definedName name="ddddddd" localSheetId="10">#REF!</definedName>
    <definedName name="ddddddd">#REF!</definedName>
    <definedName name="dfghhhhhjjdjertje" localSheetId="13">#REF!,#REF!</definedName>
    <definedName name="dfghhhhhjjdjertje" localSheetId="14">#REF!,#REF!</definedName>
    <definedName name="dfghhhhhjjdjertje" localSheetId="16">#REF!,#REF!</definedName>
    <definedName name="dfghhhhhjjdjertje" localSheetId="17">#REF!,#REF!</definedName>
    <definedName name="dfghhhhhjjdjertje" localSheetId="15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3">#REF!</definedName>
    <definedName name="dsgjsg" localSheetId="14">#REF!</definedName>
    <definedName name="dsgjsg" localSheetId="16">#REF!</definedName>
    <definedName name="dsgjsg" localSheetId="17">#REF!</definedName>
    <definedName name="dsgjsg" localSheetId="15">#REF!</definedName>
    <definedName name="dsgjsg" localSheetId="5">#REF!</definedName>
    <definedName name="dsgjsg" localSheetId="10">#REF!</definedName>
    <definedName name="dsgjsg">#REF!</definedName>
    <definedName name="edba" localSheetId="13">#REF!</definedName>
    <definedName name="edba" localSheetId="14">#REF!</definedName>
    <definedName name="edba" localSheetId="16">#REF!</definedName>
    <definedName name="edba" localSheetId="17">#REF!</definedName>
    <definedName name="edba" localSheetId="15">#REF!</definedName>
    <definedName name="edba" localSheetId="5">#REF!</definedName>
    <definedName name="edba" localSheetId="10">#REF!</definedName>
    <definedName name="edba">#REF!</definedName>
    <definedName name="edcvfrtgb" localSheetId="13">#REF!</definedName>
    <definedName name="edcvfrtgb" localSheetId="14">#REF!</definedName>
    <definedName name="edcvfrtgb" localSheetId="16">#REF!</definedName>
    <definedName name="edcvfrtgb" localSheetId="17">#REF!</definedName>
    <definedName name="edcvfrtgb" localSheetId="15">#REF!</definedName>
    <definedName name="edcvfrtgb" localSheetId="5">#REF!</definedName>
    <definedName name="edcvfrtgb" localSheetId="10">#REF!</definedName>
    <definedName name="edcvfrtgb">#REF!</definedName>
    <definedName name="EDSE" localSheetId="13">#REF!</definedName>
    <definedName name="EDSE" localSheetId="14">#REF!</definedName>
    <definedName name="EDSE" localSheetId="16">#REF!</definedName>
    <definedName name="EDSE" localSheetId="17">#REF!</definedName>
    <definedName name="EDSE" localSheetId="15">#REF!</definedName>
    <definedName name="EDSE" localSheetId="5">#REF!</definedName>
    <definedName name="EDSE" localSheetId="10">#REF!</definedName>
    <definedName name="EDSE">#REF!</definedName>
    <definedName name="ee" localSheetId="13">#REF!</definedName>
    <definedName name="ee" localSheetId="14">#REF!</definedName>
    <definedName name="ee" localSheetId="16">#REF!</definedName>
    <definedName name="ee" localSheetId="17">#REF!</definedName>
    <definedName name="ee" localSheetId="15">#REF!</definedName>
    <definedName name="ee" localSheetId="5">#REF!</definedName>
    <definedName name="ee" localSheetId="10">#REF!</definedName>
    <definedName name="ee">#REF!</definedName>
    <definedName name="eee" localSheetId="13">#REF!</definedName>
    <definedName name="eee" localSheetId="14">#REF!</definedName>
    <definedName name="eee" localSheetId="16">#REF!</definedName>
    <definedName name="eee" localSheetId="17">#REF!</definedName>
    <definedName name="eee" localSheetId="15">#REF!</definedName>
    <definedName name="eee" localSheetId="5">#REF!</definedName>
    <definedName name="eee" localSheetId="10">#REF!</definedName>
    <definedName name="eee">#REF!</definedName>
    <definedName name="ééééééééé" localSheetId="13">#REF!</definedName>
    <definedName name="ééééééééé" localSheetId="14">#REF!</definedName>
    <definedName name="ééééééééé" localSheetId="16">#REF!</definedName>
    <definedName name="ééééééééé" localSheetId="17">#REF!</definedName>
    <definedName name="ééééééééé" localSheetId="15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3">#REF!</definedName>
    <definedName name="eus" localSheetId="14">#REF!</definedName>
    <definedName name="eus" localSheetId="16">#REF!</definedName>
    <definedName name="eus" localSheetId="17">#REF!</definedName>
    <definedName name="eus" localSheetId="15">#REF!</definedName>
    <definedName name="eus" localSheetId="5">#REF!</definedName>
    <definedName name="eus" localSheetId="10">#REF!</definedName>
    <definedName name="eus">#REF!</definedName>
    <definedName name="excel" localSheetId="13">#REF!,#REF!</definedName>
    <definedName name="excel" localSheetId="14">#REF!,#REF!</definedName>
    <definedName name="excel" localSheetId="16">#REF!,#REF!</definedName>
    <definedName name="excel" localSheetId="17">#REF!,#REF!</definedName>
    <definedName name="excel" localSheetId="15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3">#REF!</definedName>
    <definedName name="Excel_BuiltIn_Print_Area_1" localSheetId="14">#REF!</definedName>
    <definedName name="Excel_BuiltIn_Print_Area_1" localSheetId="16">#REF!</definedName>
    <definedName name="Excel_BuiltIn_Print_Area_1" localSheetId="17">#REF!</definedName>
    <definedName name="Excel_BuiltIn_Print_Area_1" localSheetId="15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3">#REF!,#REF!</definedName>
    <definedName name="Excel_BuiltIn_Print_Titles_26" localSheetId="14">#REF!,#REF!</definedName>
    <definedName name="Excel_BuiltIn_Print_Titles_26" localSheetId="16">#REF!,#REF!</definedName>
    <definedName name="Excel_BuiltIn_Print_Titles_26" localSheetId="17">#REF!,#REF!</definedName>
    <definedName name="Excel_BuiltIn_Print_Titles_26" localSheetId="15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3">#REF!</definedName>
    <definedName name="ff" localSheetId="14">#REF!</definedName>
    <definedName name="ff" localSheetId="16">#REF!</definedName>
    <definedName name="ff" localSheetId="17">#REF!</definedName>
    <definedName name="ff" localSheetId="15">#REF!</definedName>
    <definedName name="ff" localSheetId="5">#REF!</definedName>
    <definedName name="ff" localSheetId="10">#REF!</definedName>
    <definedName name="ff">#REF!</definedName>
    <definedName name="ffd" localSheetId="13">#REF!,#REF!</definedName>
    <definedName name="ffd" localSheetId="14">#REF!,#REF!</definedName>
    <definedName name="ffd" localSheetId="16">#REF!,#REF!</definedName>
    <definedName name="ffd" localSheetId="17">#REF!,#REF!</definedName>
    <definedName name="ffd" localSheetId="15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3">#REF!</definedName>
    <definedName name="ffff" localSheetId="14">#REF!</definedName>
    <definedName name="ffff" localSheetId="16">#REF!</definedName>
    <definedName name="ffff" localSheetId="17">#REF!</definedName>
    <definedName name="ffff" localSheetId="15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3">#REF!,#REF!</definedName>
    <definedName name="fghigh_jifj" localSheetId="14">#REF!,#REF!</definedName>
    <definedName name="fghigh_jifj" localSheetId="16">#REF!,#REF!</definedName>
    <definedName name="fghigh_jifj" localSheetId="17">#REF!,#REF!</definedName>
    <definedName name="fghigh_jifj" localSheetId="15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3">#REF!</definedName>
    <definedName name="Fiumei" localSheetId="14">#REF!</definedName>
    <definedName name="Fiumei" localSheetId="16">#REF!</definedName>
    <definedName name="Fiumei" localSheetId="17">#REF!</definedName>
    <definedName name="Fiumei" localSheetId="15">#REF!</definedName>
    <definedName name="Fiumei" localSheetId="5">#REF!</definedName>
    <definedName name="Fiumei" localSheetId="10">#REF!</definedName>
    <definedName name="Fiumei">#REF!</definedName>
    <definedName name="fjkfjkdhdhdghdghj" localSheetId="13">#REF!,#REF!</definedName>
    <definedName name="fjkfjkdhdhdghdghj" localSheetId="14">#REF!,#REF!</definedName>
    <definedName name="fjkfjkdhdhdghdghj" localSheetId="16">#REF!,#REF!</definedName>
    <definedName name="fjkfjkdhdhdghdghj" localSheetId="17">#REF!,#REF!</definedName>
    <definedName name="fjkfjkdhdhdghdghj" localSheetId="15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3">#REF!</definedName>
    <definedName name="gaga" localSheetId="14">#REF!</definedName>
    <definedName name="gaga" localSheetId="16">#REF!</definedName>
    <definedName name="gaga" localSheetId="17">#REF!</definedName>
    <definedName name="gaga" localSheetId="15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3">#REF!,#REF!</definedName>
    <definedName name="ggg" localSheetId="14">#REF!,#REF!</definedName>
    <definedName name="ggg" localSheetId="16">#REF!,#REF!</definedName>
    <definedName name="ggg" localSheetId="17">#REF!,#REF!</definedName>
    <definedName name="ggg" localSheetId="15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3">#REF!,#REF!</definedName>
    <definedName name="ggggggggggggggg" localSheetId="14">#REF!,#REF!</definedName>
    <definedName name="ggggggggggggggg" localSheetId="16">#REF!,#REF!</definedName>
    <definedName name="ggggggggggggggg" localSheetId="17">#REF!,#REF!</definedName>
    <definedName name="ggggggggggggggg" localSheetId="15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3">#REF!</definedName>
    <definedName name="gh" localSheetId="14">#REF!</definedName>
    <definedName name="gh" localSheetId="16">#REF!</definedName>
    <definedName name="gh" localSheetId="17">#REF!</definedName>
    <definedName name="gh" localSheetId="15">#REF!</definedName>
    <definedName name="gh" localSheetId="5">#REF!</definedName>
    <definedName name="gh" localSheetId="10">#REF!</definedName>
    <definedName name="gh">#REF!</definedName>
    <definedName name="gyj" localSheetId="13">#REF!</definedName>
    <definedName name="gyj" localSheetId="14">#REF!</definedName>
    <definedName name="gyj" localSheetId="16">#REF!</definedName>
    <definedName name="gyj" localSheetId="17">#REF!</definedName>
    <definedName name="gyj" localSheetId="15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3">#REF!</definedName>
    <definedName name="gyj_k_" localSheetId="14">#REF!</definedName>
    <definedName name="gyj_k_" localSheetId="16">#REF!</definedName>
    <definedName name="gyj_k_" localSheetId="17">#REF!</definedName>
    <definedName name="gyj_k_" localSheetId="15">#REF!</definedName>
    <definedName name="gyj_k_" localSheetId="5">#REF!</definedName>
    <definedName name="gyj_k_" localSheetId="10">#REF!</definedName>
    <definedName name="gyj_k_">#REF!</definedName>
    <definedName name="gyjk" localSheetId="13">#REF!</definedName>
    <definedName name="gyjk" localSheetId="14">#REF!</definedName>
    <definedName name="gyjk" localSheetId="16">#REF!</definedName>
    <definedName name="gyjk" localSheetId="17">#REF!</definedName>
    <definedName name="gyjk" localSheetId="15">#REF!</definedName>
    <definedName name="gyjk" localSheetId="5">#REF!</definedName>
    <definedName name="gyjk" localSheetId="10">#REF!</definedName>
    <definedName name="gyjk">#REF!</definedName>
    <definedName name="hh" localSheetId="13">#REF!</definedName>
    <definedName name="hh" localSheetId="14">#REF!</definedName>
    <definedName name="hh" localSheetId="16">#REF!</definedName>
    <definedName name="hh" localSheetId="17">#REF!</definedName>
    <definedName name="hh" localSheetId="15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3">#REF!</definedName>
    <definedName name="jj" localSheetId="14">#REF!</definedName>
    <definedName name="jj" localSheetId="16">#REF!</definedName>
    <definedName name="jj" localSheetId="17">#REF!</definedName>
    <definedName name="jj" localSheetId="15">#REF!</definedName>
    <definedName name="jj" localSheetId="5">#REF!</definedName>
    <definedName name="jj" localSheetId="10">#REF!</definedName>
    <definedName name="jj">#REF!</definedName>
    <definedName name="jjjjj" localSheetId="13">#REF!,#REF!</definedName>
    <definedName name="jjjjj" localSheetId="14">#REF!,#REF!</definedName>
    <definedName name="jjjjj" localSheetId="16">#REF!,#REF!</definedName>
    <definedName name="jjjjj" localSheetId="17">#REF!,#REF!</definedName>
    <definedName name="jjjjj" localSheetId="15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3">#REF!</definedName>
    <definedName name="jjjjjjjjjjjjjjjjjjjjjj" localSheetId="14">#REF!</definedName>
    <definedName name="jjjjjjjjjjjjjjjjjjjjjj" localSheetId="16">#REF!</definedName>
    <definedName name="jjjjjjjjjjjjjjjjjjjjjj" localSheetId="17">#REF!</definedName>
    <definedName name="jjjjjjjjjjjjjjjjjjjjjj" localSheetId="15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3">#REF!</definedName>
    <definedName name="k" localSheetId="14">#REF!</definedName>
    <definedName name="k" localSheetId="16">#REF!</definedName>
    <definedName name="k" localSheetId="17">#REF!</definedName>
    <definedName name="k" localSheetId="15">#REF!</definedName>
    <definedName name="k" localSheetId="5">#REF!</definedName>
    <definedName name="k" localSheetId="10">#REF!</definedName>
    <definedName name="k">#REF!</definedName>
    <definedName name="kill" localSheetId="13">#REF!</definedName>
    <definedName name="kill" localSheetId="14">#REF!</definedName>
    <definedName name="kill" localSheetId="16">#REF!</definedName>
    <definedName name="kill" localSheetId="17">#REF!</definedName>
    <definedName name="kill" localSheetId="15">#REF!</definedName>
    <definedName name="kill" localSheetId="5">#REF!</definedName>
    <definedName name="kill" localSheetId="10">#REF!</definedName>
    <definedName name="kill">#REF!</definedName>
    <definedName name="kiskuta" localSheetId="13">#REF!</definedName>
    <definedName name="kiskuta" localSheetId="14">#REF!</definedName>
    <definedName name="kiskuta" localSheetId="16">#REF!</definedName>
    <definedName name="kiskuta" localSheetId="17">#REF!</definedName>
    <definedName name="kiskuta" localSheetId="15">#REF!</definedName>
    <definedName name="kiskuta" localSheetId="5">#REF!</definedName>
    <definedName name="kiskuta" localSheetId="10">#REF!</definedName>
    <definedName name="kiskuta">#REF!</definedName>
    <definedName name="kistérség" localSheetId="13">#REF!</definedName>
    <definedName name="kistérség" localSheetId="14">#REF!</definedName>
    <definedName name="kistérség" localSheetId="16">#REF!</definedName>
    <definedName name="kistérség" localSheetId="17">#REF!</definedName>
    <definedName name="kistérség" localSheetId="15">#REF!</definedName>
    <definedName name="kistérség" localSheetId="5">#REF!</definedName>
    <definedName name="kistérség" localSheetId="10">#REF!</definedName>
    <definedName name="kistérség">#REF!</definedName>
    <definedName name="kjz" localSheetId="13">#REF!</definedName>
    <definedName name="kjz" localSheetId="14">#REF!</definedName>
    <definedName name="kjz" localSheetId="16">#REF!</definedName>
    <definedName name="kjz" localSheetId="17">#REF!</definedName>
    <definedName name="kjz" localSheetId="15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3">#REF!</definedName>
    <definedName name="kjz_k_" localSheetId="14">#REF!</definedName>
    <definedName name="kjz_k_" localSheetId="16">#REF!</definedName>
    <definedName name="kjz_k_" localSheetId="17">#REF!</definedName>
    <definedName name="kjz_k_" localSheetId="15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3">#REF!</definedName>
    <definedName name="klll" localSheetId="14">#REF!</definedName>
    <definedName name="klll" localSheetId="16">#REF!</definedName>
    <definedName name="klll" localSheetId="17">#REF!</definedName>
    <definedName name="klll" localSheetId="15">#REF!</definedName>
    <definedName name="klll" localSheetId="5">#REF!</definedName>
    <definedName name="klll" localSheetId="10">#REF!</definedName>
    <definedName name="klll">#REF!</definedName>
    <definedName name="Kodály" localSheetId="13">#REF!</definedName>
    <definedName name="Kodály" localSheetId="14">#REF!</definedName>
    <definedName name="Kodály" localSheetId="16">#REF!</definedName>
    <definedName name="Kodály" localSheetId="17">#REF!</definedName>
    <definedName name="Kodály" localSheetId="15">#REF!</definedName>
    <definedName name="Kodály" localSheetId="5">#REF!</definedName>
    <definedName name="Kodály" localSheetId="10">#REF!</definedName>
    <definedName name="Kodály">#REF!</definedName>
    <definedName name="l" localSheetId="13">#REF!</definedName>
    <definedName name="l" localSheetId="14">#REF!</definedName>
    <definedName name="l" localSheetId="16">#REF!</definedName>
    <definedName name="l" localSheetId="17">#REF!</definedName>
    <definedName name="l" localSheetId="15">#REF!</definedName>
    <definedName name="l" localSheetId="5">#REF!</definedName>
    <definedName name="l" localSheetId="10">#REF!</definedName>
    <definedName name="l">#REF!</definedName>
    <definedName name="lkjjghdk" localSheetId="13">#REF!</definedName>
    <definedName name="lkjjghdk" localSheetId="14">#REF!</definedName>
    <definedName name="lkjjghdk" localSheetId="16">#REF!</definedName>
    <definedName name="lkjjghdk" localSheetId="17">#REF!</definedName>
    <definedName name="lkjjghdk" localSheetId="15">#REF!</definedName>
    <definedName name="lkjjghdk" localSheetId="5">#REF!</definedName>
    <definedName name="lkjjghdk" localSheetId="10">#REF!</definedName>
    <definedName name="lkjjghdk">#REF!</definedName>
    <definedName name="llllll" localSheetId="13">#REF!</definedName>
    <definedName name="llllll" localSheetId="14">#REF!</definedName>
    <definedName name="llllll" localSheetId="16">#REF!</definedName>
    <definedName name="llllll" localSheetId="17">#REF!</definedName>
    <definedName name="llllll" localSheetId="15">#REF!</definedName>
    <definedName name="llllll" localSheetId="5">#REF!</definedName>
    <definedName name="llllll" localSheetId="10">#REF!</definedName>
    <definedName name="llllll">#REF!</definedName>
    <definedName name="llllllll" localSheetId="13">#REF!</definedName>
    <definedName name="llllllll" localSheetId="14">#REF!</definedName>
    <definedName name="llllllll" localSheetId="16">#REF!</definedName>
    <definedName name="llllllll" localSheetId="17">#REF!</definedName>
    <definedName name="llllllll" localSheetId="15">#REF!</definedName>
    <definedName name="llllllll" localSheetId="5">#REF!</definedName>
    <definedName name="llllllll" localSheetId="10">#REF!</definedName>
    <definedName name="llllllll">#REF!</definedName>
    <definedName name="lllllllllll" localSheetId="13">#REF!,#REF!</definedName>
    <definedName name="lllllllllll" localSheetId="14">#REF!,#REF!</definedName>
    <definedName name="lllllllllll" localSheetId="16">#REF!,#REF!</definedName>
    <definedName name="lllllllllll" localSheetId="17">#REF!,#REF!</definedName>
    <definedName name="lllllllllll" localSheetId="15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3">#REF!</definedName>
    <definedName name="llllllllllllllll" localSheetId="14">#REF!</definedName>
    <definedName name="llllllllllllllll" localSheetId="16">#REF!</definedName>
    <definedName name="llllllllllllllll" localSheetId="17">#REF!</definedName>
    <definedName name="llllllllllllllll" localSheetId="15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3">#REF!</definedName>
    <definedName name="m" localSheetId="14">#REF!</definedName>
    <definedName name="m" localSheetId="16">#REF!</definedName>
    <definedName name="m" localSheetId="17">#REF!</definedName>
    <definedName name="m" localSheetId="15">#REF!</definedName>
    <definedName name="m" localSheetId="5">#REF!</definedName>
    <definedName name="m" localSheetId="10">#REF!</definedName>
    <definedName name="m">#REF!</definedName>
    <definedName name="más" localSheetId="13">#REF!,#REF!</definedName>
    <definedName name="más" localSheetId="14">#REF!,#REF!</definedName>
    <definedName name="más" localSheetId="16">#REF!,#REF!</definedName>
    <definedName name="más" localSheetId="17">#REF!,#REF!</definedName>
    <definedName name="más" localSheetId="15">#REF!,#REF!</definedName>
    <definedName name="más" localSheetId="5">#REF!,#REF!</definedName>
    <definedName name="más" localSheetId="10">#REF!,#REF!</definedName>
    <definedName name="más">#REF!,#REF!</definedName>
    <definedName name="másik" localSheetId="13">#REF!,#REF!</definedName>
    <definedName name="másik" localSheetId="14">#REF!,#REF!</definedName>
    <definedName name="másik" localSheetId="16">#REF!,#REF!</definedName>
    <definedName name="másik" localSheetId="17">#REF!,#REF!</definedName>
    <definedName name="másik" localSheetId="15">#REF!,#REF!</definedName>
    <definedName name="másik" localSheetId="5">#REF!,#REF!</definedName>
    <definedName name="másik" localSheetId="10">#REF!,#REF!</definedName>
    <definedName name="másik">#REF!,#REF!</definedName>
    <definedName name="mmm" localSheetId="13">#REF!</definedName>
    <definedName name="mmm" localSheetId="14">#REF!</definedName>
    <definedName name="mmm" localSheetId="16">#REF!</definedName>
    <definedName name="mmm" localSheetId="17">#REF!</definedName>
    <definedName name="mmm" localSheetId="15">#REF!</definedName>
    <definedName name="mmm" localSheetId="5">#REF!</definedName>
    <definedName name="mmm" localSheetId="10">#REF!</definedName>
    <definedName name="mmm">#REF!</definedName>
    <definedName name="mnb" localSheetId="13">#REF!</definedName>
    <definedName name="mnb" localSheetId="14">#REF!</definedName>
    <definedName name="mnb" localSheetId="16">#REF!</definedName>
    <definedName name="mnb" localSheetId="17">#REF!</definedName>
    <definedName name="mnb" localSheetId="15">#REF!</definedName>
    <definedName name="mnb" localSheetId="5">#REF!</definedName>
    <definedName name="mnb" localSheetId="10">#REF!</definedName>
    <definedName name="mnb">#REF!</definedName>
    <definedName name="mnbvc" localSheetId="13">#REF!</definedName>
    <definedName name="mnbvc" localSheetId="14">#REF!</definedName>
    <definedName name="mnbvc" localSheetId="16">#REF!</definedName>
    <definedName name="mnbvc" localSheetId="17">#REF!</definedName>
    <definedName name="mnbvc" localSheetId="15">#REF!</definedName>
    <definedName name="mnbvc" localSheetId="5">#REF!</definedName>
    <definedName name="mnbvc" localSheetId="10">#REF!</definedName>
    <definedName name="mnbvc">#REF!</definedName>
    <definedName name="mskfas" localSheetId="13">#REF!,#REF!</definedName>
    <definedName name="mskfas" localSheetId="14">#REF!,#REF!</definedName>
    <definedName name="mskfas" localSheetId="16">#REF!,#REF!</definedName>
    <definedName name="mskfas" localSheetId="17">#REF!,#REF!</definedName>
    <definedName name="mskfas" localSheetId="15">#REF!,#REF!</definedName>
    <definedName name="mskfas" localSheetId="5">#REF!,#REF!</definedName>
    <definedName name="mskfas" localSheetId="10">#REF!,#REF!</definedName>
    <definedName name="mskfas">#REF!,#REF!</definedName>
    <definedName name="n" localSheetId="13">#REF!</definedName>
    <definedName name="n" localSheetId="14">#REF!</definedName>
    <definedName name="n" localSheetId="16">#REF!</definedName>
    <definedName name="n" localSheetId="17">#REF!</definedName>
    <definedName name="n" localSheetId="15">#REF!</definedName>
    <definedName name="n" localSheetId="5">#REF!</definedName>
    <definedName name="n" localSheetId="10">#REF!</definedName>
    <definedName name="n">#REF!</definedName>
    <definedName name="nb" localSheetId="13">#REF!</definedName>
    <definedName name="nb" localSheetId="14">#REF!</definedName>
    <definedName name="nb" localSheetId="16">#REF!</definedName>
    <definedName name="nb" localSheetId="17">#REF!</definedName>
    <definedName name="nb" localSheetId="15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3">#REF!</definedName>
    <definedName name="nev_c" localSheetId="14">#REF!</definedName>
    <definedName name="nev_c" localSheetId="16">#REF!</definedName>
    <definedName name="nev_c" localSheetId="17">#REF!</definedName>
    <definedName name="nev_c" localSheetId="15">#REF!</definedName>
    <definedName name="nev_c" localSheetId="5">#REF!</definedName>
    <definedName name="nev_c" localSheetId="10">#REF!</definedName>
    <definedName name="nev_c">#REF!</definedName>
    <definedName name="nev_g" localSheetId="13">#REF!</definedName>
    <definedName name="nev_g" localSheetId="14">#REF!</definedName>
    <definedName name="nev_g" localSheetId="16">#REF!</definedName>
    <definedName name="nev_g" localSheetId="17">#REF!</definedName>
    <definedName name="nev_g" localSheetId="15">#REF!</definedName>
    <definedName name="nev_g" localSheetId="5">#REF!</definedName>
    <definedName name="nev_g" localSheetId="10">#REF!</definedName>
    <definedName name="nev_g">#REF!</definedName>
    <definedName name="nev_k" localSheetId="13">#REF!</definedName>
    <definedName name="nev_k" localSheetId="14">#REF!</definedName>
    <definedName name="nev_k" localSheetId="16">#REF!</definedName>
    <definedName name="nev_k" localSheetId="17">#REF!</definedName>
    <definedName name="nev_k" localSheetId="15">#REF!</definedName>
    <definedName name="nev_k" localSheetId="5">#REF!</definedName>
    <definedName name="nev_k" localSheetId="10">#REF!</definedName>
    <definedName name="nev_k">#REF!</definedName>
    <definedName name="név_k" localSheetId="13">#REF!</definedName>
    <definedName name="név_k" localSheetId="14">#REF!</definedName>
    <definedName name="név_k" localSheetId="16">#REF!</definedName>
    <definedName name="név_k" localSheetId="17">#REF!</definedName>
    <definedName name="név_k" localSheetId="15">#REF!</definedName>
    <definedName name="név_k" localSheetId="5">#REF!</definedName>
    <definedName name="név_k" localSheetId="10">#REF!</definedName>
    <definedName name="név_k">#REF!</definedName>
    <definedName name="nnn" localSheetId="13">#REF!</definedName>
    <definedName name="nnn" localSheetId="14">#REF!</definedName>
    <definedName name="nnn" localSheetId="16">#REF!</definedName>
    <definedName name="nnn" localSheetId="17">#REF!</definedName>
    <definedName name="nnn" localSheetId="15">#REF!</definedName>
    <definedName name="nnn" localSheetId="5">#REF!</definedName>
    <definedName name="nnn" localSheetId="10">#REF!</definedName>
    <definedName name="nnn">#REF!</definedName>
    <definedName name="nnnnnnnnnnnnnnnnnnnnnnnnnnnnnnnnnnnnn" localSheetId="13">#REF!</definedName>
    <definedName name="nnnnnnnnnnnnnnnnnnnnnnnnnnnnnnnnnnnnn" localSheetId="14">#REF!</definedName>
    <definedName name="nnnnnnnnnnnnnnnnnnnnnnnnnnnnnnnnnnnnn" localSheetId="16">#REF!</definedName>
    <definedName name="nnnnnnnnnnnnnnnnnnnnnnnnnnnnnnnnnnnnn" localSheetId="17">#REF!</definedName>
    <definedName name="nnnnnnnnnnnnnnnnnnnnnnnnnnnnnnnnnnnnn" localSheetId="15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0">'9.sz.mell.'!$4:$5</definedName>
    <definedName name="_xlnm.Print_Area" localSheetId="12">'10.sz.mell'!$A$1:$K$60</definedName>
    <definedName name="_xlnm.Print_Area" localSheetId="21">'15.sz.mell'!$A$1:$C$16</definedName>
    <definedName name="_xlnm.Print_Area" localSheetId="2">'2.1.sz.mell  '!$A$1:$M$23</definedName>
    <definedName name="_xlnm.Print_Area" localSheetId="3">'2.2.sz.mell  '!$A$1:$M$22</definedName>
    <definedName name="_xlnm.Print_Area" localSheetId="31">'25.sz.mell'!$A$1:$F$25</definedName>
    <definedName name="_xlnm.Print_Area" localSheetId="5">'4. sz.mell'!$A$1:$N$30</definedName>
    <definedName name="_xlnm.Print_Area" localSheetId="7">'6.sz.mell'!$A$1:$G$21</definedName>
    <definedName name="_xlnm.Print_Area" localSheetId="11">'9.1-2 mell.össz'!$A$1:$F$59</definedName>
    <definedName name="okod">[9]kd!$F$2:$I$3368</definedName>
    <definedName name="oooooooooooooooooooooo" localSheetId="13">#REF!</definedName>
    <definedName name="oooooooooooooooooooooo" localSheetId="14">#REF!</definedName>
    <definedName name="oooooooooooooooooooooo" localSheetId="16">#REF!</definedName>
    <definedName name="oooooooooooooooooooooo" localSheetId="17">#REF!</definedName>
    <definedName name="oooooooooooooooooooooo" localSheetId="15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3">#REF!</definedName>
    <definedName name="ovi" localSheetId="14">#REF!</definedName>
    <definedName name="ovi" localSheetId="16">#REF!</definedName>
    <definedName name="ovi" localSheetId="17">#REF!</definedName>
    <definedName name="ovi" localSheetId="15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3">#REF!</definedName>
    <definedName name="ő" localSheetId="14">#REF!</definedName>
    <definedName name="ő" localSheetId="16">#REF!</definedName>
    <definedName name="ő" localSheetId="17">#REF!</definedName>
    <definedName name="ő" localSheetId="15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3">#REF!</definedName>
    <definedName name="őőőőőőőőőőőőő" localSheetId="14">#REF!</definedName>
    <definedName name="őőőőőőőőőőőőő" localSheetId="16">#REF!</definedName>
    <definedName name="őőőőőőőőőőőőő" localSheetId="17">#REF!</definedName>
    <definedName name="őőőőőőőőőőőőő" localSheetId="15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3">#REF!</definedName>
    <definedName name="őpoiuztr" localSheetId="14">#REF!</definedName>
    <definedName name="őpoiuztr" localSheetId="16">#REF!</definedName>
    <definedName name="őpoiuztr" localSheetId="17">#REF!</definedName>
    <definedName name="őpoiuztr" localSheetId="15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3">#REF!,#REF!</definedName>
    <definedName name="ppppppppppppppp" localSheetId="14">#REF!,#REF!</definedName>
    <definedName name="ppppppppppppppp" localSheetId="16">#REF!,#REF!</definedName>
    <definedName name="ppppppppppppppp" localSheetId="17">#REF!,#REF!</definedName>
    <definedName name="ppppppppppppppp" localSheetId="15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3">#REF!</definedName>
    <definedName name="Q" localSheetId="14">#REF!</definedName>
    <definedName name="Q" localSheetId="16">#REF!</definedName>
    <definedName name="Q" localSheetId="17">#REF!</definedName>
    <definedName name="Q" localSheetId="15">#REF!</definedName>
    <definedName name="Q" localSheetId="5">#REF!</definedName>
    <definedName name="Q" localSheetId="10">#REF!</definedName>
    <definedName name="Q">#REF!</definedName>
    <definedName name="qaywsx" localSheetId="13">#REF!,#REF!</definedName>
    <definedName name="qaywsx" localSheetId="14">#REF!,#REF!</definedName>
    <definedName name="qaywsx" localSheetId="16">#REF!,#REF!</definedName>
    <definedName name="qaywsx" localSheetId="17">#REF!,#REF!</definedName>
    <definedName name="qaywsx" localSheetId="15">#REF!,#REF!</definedName>
    <definedName name="qaywsx" localSheetId="5">#REF!,#REF!</definedName>
    <definedName name="qaywsx" localSheetId="10">#REF!,#REF!</definedName>
    <definedName name="qaywsx">#REF!,#REF!</definedName>
    <definedName name="QQ" localSheetId="13">#REF!</definedName>
    <definedName name="QQ" localSheetId="14">#REF!</definedName>
    <definedName name="QQ" localSheetId="16">#REF!</definedName>
    <definedName name="QQ" localSheetId="17">#REF!</definedName>
    <definedName name="QQ" localSheetId="15">#REF!</definedName>
    <definedName name="QQ" localSheetId="5">#REF!</definedName>
    <definedName name="QQ" localSheetId="10">#REF!</definedName>
    <definedName name="QQ">#REF!</definedName>
    <definedName name="qqqq" localSheetId="13">#REF!</definedName>
    <definedName name="qqqq" localSheetId="14">#REF!</definedName>
    <definedName name="qqqq" localSheetId="16">#REF!</definedName>
    <definedName name="qqqq" localSheetId="17">#REF!</definedName>
    <definedName name="qqqq" localSheetId="15">#REF!</definedName>
    <definedName name="qqqq" localSheetId="5">#REF!</definedName>
    <definedName name="qqqq" localSheetId="10">#REF!</definedName>
    <definedName name="qqqq">#REF!</definedName>
    <definedName name="qqqqq" localSheetId="13">#REF!</definedName>
    <definedName name="qqqqq" localSheetId="14">#REF!</definedName>
    <definedName name="qqqqq" localSheetId="16">#REF!</definedName>
    <definedName name="qqqqq" localSheetId="17">#REF!</definedName>
    <definedName name="qqqqq" localSheetId="15">#REF!</definedName>
    <definedName name="qqqqq" localSheetId="5">#REF!</definedName>
    <definedName name="qqqqq" localSheetId="10">#REF!</definedName>
    <definedName name="qqqqq">#REF!</definedName>
    <definedName name="qqqqqq" localSheetId="13">#REF!,#REF!</definedName>
    <definedName name="qqqqqq" localSheetId="14">#REF!,#REF!</definedName>
    <definedName name="qqqqqq" localSheetId="16">#REF!,#REF!</definedName>
    <definedName name="qqqqqq" localSheetId="17">#REF!,#REF!</definedName>
    <definedName name="qqqqqq" localSheetId="15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3">#REF!</definedName>
    <definedName name="qqqqqqqq" localSheetId="14">#REF!</definedName>
    <definedName name="qqqqqqqq" localSheetId="16">#REF!</definedName>
    <definedName name="qqqqqqqq" localSheetId="17">#REF!</definedName>
    <definedName name="qqqqqqqq" localSheetId="15">#REF!</definedName>
    <definedName name="qqqqqqqq" localSheetId="5">#REF!</definedName>
    <definedName name="qqqqqqqq" localSheetId="10">#REF!</definedName>
    <definedName name="qqqqqqqq">#REF!</definedName>
    <definedName name="qqqqqqqqq" localSheetId="13">#REF!</definedName>
    <definedName name="qqqqqqqqq" localSheetId="14">#REF!</definedName>
    <definedName name="qqqqqqqqq" localSheetId="16">#REF!</definedName>
    <definedName name="qqqqqqqqq" localSheetId="17">#REF!</definedName>
    <definedName name="qqqqqqqqq" localSheetId="15">#REF!</definedName>
    <definedName name="qqqqqqqqq" localSheetId="5">#REF!</definedName>
    <definedName name="qqqqqqqqq" localSheetId="10">#REF!</definedName>
    <definedName name="qqqqqqqqq">#REF!</definedName>
    <definedName name="qqqqqqqqqq" localSheetId="13">#REF!</definedName>
    <definedName name="qqqqqqqqqq" localSheetId="14">#REF!</definedName>
    <definedName name="qqqqqqqqqq" localSheetId="16">#REF!</definedName>
    <definedName name="qqqqqqqqqq" localSheetId="17">#REF!</definedName>
    <definedName name="qqqqqqqqqq" localSheetId="15">#REF!</definedName>
    <definedName name="qqqqqqqqqq" localSheetId="5">#REF!</definedName>
    <definedName name="qqqqqqqqqq" localSheetId="10">#REF!</definedName>
    <definedName name="qqqqqqqqqq">#REF!</definedName>
    <definedName name="qqqqqqqqqqq" localSheetId="13">#REF!</definedName>
    <definedName name="qqqqqqqqqqq" localSheetId="14">#REF!</definedName>
    <definedName name="qqqqqqqqqqq" localSheetId="16">#REF!</definedName>
    <definedName name="qqqqqqqqqqq" localSheetId="17">#REF!</definedName>
    <definedName name="qqqqqqqqqqq" localSheetId="15">#REF!</definedName>
    <definedName name="qqqqqqqqqqq" localSheetId="5">#REF!</definedName>
    <definedName name="qqqqqqqqqqq" localSheetId="10">#REF!</definedName>
    <definedName name="qqqqqqqqqqq">#REF!</definedName>
    <definedName name="qqqqqqqqqqqqq" localSheetId="13">#REF!</definedName>
    <definedName name="qqqqqqqqqqqqq" localSheetId="14">#REF!</definedName>
    <definedName name="qqqqqqqqqqqqq" localSheetId="16">#REF!</definedName>
    <definedName name="qqqqqqqqqqqqq" localSheetId="17">#REF!</definedName>
    <definedName name="qqqqqqqqqqqqq" localSheetId="15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3">#REF!,#REF!</definedName>
    <definedName name="qqqqqqqqqqqqqqq" localSheetId="14">#REF!,#REF!</definedName>
    <definedName name="qqqqqqqqqqqqqqq" localSheetId="16">#REF!,#REF!</definedName>
    <definedName name="qqqqqqqqqqqqqqq" localSheetId="17">#REF!,#REF!</definedName>
    <definedName name="qqqqqqqqqqqqqqq" localSheetId="15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3">#REF!</definedName>
    <definedName name="qqqqqqqqqqqqqqqq" localSheetId="14">#REF!</definedName>
    <definedName name="qqqqqqqqqqqqqqqq" localSheetId="16">#REF!</definedName>
    <definedName name="qqqqqqqqqqqqqqqq" localSheetId="17">#REF!</definedName>
    <definedName name="qqqqqqqqqqqqqqqq" localSheetId="15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3">#REF!</definedName>
    <definedName name="qqqqqqqqqqqqqqqqq" localSheetId="14">#REF!</definedName>
    <definedName name="qqqqqqqqqqqqqqqqq" localSheetId="16">#REF!</definedName>
    <definedName name="qqqqqqqqqqqqqqqqq" localSheetId="17">#REF!</definedName>
    <definedName name="qqqqqqqqqqqqqqqqq" localSheetId="15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3">#REF!</definedName>
    <definedName name="retzijk" localSheetId="14">#REF!</definedName>
    <definedName name="retzijk" localSheetId="16">#REF!</definedName>
    <definedName name="retzijk" localSheetId="17">#REF!</definedName>
    <definedName name="retzijk" localSheetId="15">#REF!</definedName>
    <definedName name="retzijk" localSheetId="5">#REF!</definedName>
    <definedName name="retzijk" localSheetId="10">#REF!</definedName>
    <definedName name="retzijk">#REF!</definedName>
    <definedName name="rr" localSheetId="13">#REF!</definedName>
    <definedName name="rr" localSheetId="14">#REF!</definedName>
    <definedName name="rr" localSheetId="16">#REF!</definedName>
    <definedName name="rr" localSheetId="17">#REF!</definedName>
    <definedName name="rr" localSheetId="15">#REF!</definedName>
    <definedName name="rr" localSheetId="5">#REF!</definedName>
    <definedName name="rr" localSheetId="10">#REF!</definedName>
    <definedName name="rr">#REF!</definedName>
    <definedName name="rrr" localSheetId="13">#REF!</definedName>
    <definedName name="rrr" localSheetId="14">#REF!</definedName>
    <definedName name="rrr" localSheetId="16">#REF!</definedName>
    <definedName name="rrr" localSheetId="17">#REF!</definedName>
    <definedName name="rrr" localSheetId="15">#REF!</definedName>
    <definedName name="rrr" localSheetId="5">#REF!</definedName>
    <definedName name="rrr" localSheetId="10">#REF!</definedName>
    <definedName name="rrr">#REF!</definedName>
    <definedName name="rrrr" localSheetId="13">#REF!</definedName>
    <definedName name="rrrr" localSheetId="14">#REF!</definedName>
    <definedName name="rrrr" localSheetId="16">#REF!</definedName>
    <definedName name="rrrr" localSheetId="17">#REF!</definedName>
    <definedName name="rrrr" localSheetId="15">#REF!</definedName>
    <definedName name="rrrr" localSheetId="5">#REF!</definedName>
    <definedName name="rrrr" localSheetId="10">#REF!</definedName>
    <definedName name="rrrr">#REF!</definedName>
    <definedName name="rrrrr" localSheetId="13">#REF!</definedName>
    <definedName name="rrrrr" localSheetId="14">#REF!</definedName>
    <definedName name="rrrrr" localSheetId="16">#REF!</definedName>
    <definedName name="rrrrr" localSheetId="17">#REF!</definedName>
    <definedName name="rrrrr" localSheetId="15">#REF!</definedName>
    <definedName name="rrrrr" localSheetId="5">#REF!</definedName>
    <definedName name="rrrrr" localSheetId="10">#REF!</definedName>
    <definedName name="rrrrr">#REF!</definedName>
    <definedName name="rrrrrr" localSheetId="13">#REF!</definedName>
    <definedName name="rrrrrr" localSheetId="14">#REF!</definedName>
    <definedName name="rrrrrr" localSheetId="16">#REF!</definedName>
    <definedName name="rrrrrr" localSheetId="17">#REF!</definedName>
    <definedName name="rrrrrr" localSheetId="15">#REF!</definedName>
    <definedName name="rrrrrr" localSheetId="5">#REF!</definedName>
    <definedName name="rrrrrr" localSheetId="10">#REF!</definedName>
    <definedName name="rrrrrr">#REF!</definedName>
    <definedName name="rrrrrrrr" localSheetId="13">#REF!,#REF!</definedName>
    <definedName name="rrrrrrrr" localSheetId="14">#REF!,#REF!</definedName>
    <definedName name="rrrrrrrr" localSheetId="16">#REF!,#REF!</definedName>
    <definedName name="rrrrrrrr" localSheetId="17">#REF!,#REF!</definedName>
    <definedName name="rrrrrrrr" localSheetId="15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3">#REF!</definedName>
    <definedName name="rrrrrrrrrr" localSheetId="14">#REF!</definedName>
    <definedName name="rrrrrrrrrr" localSheetId="16">#REF!</definedName>
    <definedName name="rrrrrrrrrr" localSheetId="17">#REF!</definedName>
    <definedName name="rrrrrrrrrr" localSheetId="15">#REF!</definedName>
    <definedName name="rrrrrrrrrr" localSheetId="5">#REF!</definedName>
    <definedName name="rrrrrrrrrr" localSheetId="10">#REF!</definedName>
    <definedName name="rrrrrrrrrr">#REF!</definedName>
    <definedName name="rrrrrrrrrrrr" localSheetId="13">#REF!</definedName>
    <definedName name="rrrrrrrrrrrr" localSheetId="14">#REF!</definedName>
    <definedName name="rrrrrrrrrrrr" localSheetId="16">#REF!</definedName>
    <definedName name="rrrrrrrrrrrr" localSheetId="17">#REF!</definedName>
    <definedName name="rrrrrrrrrrrr" localSheetId="15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3">#REF!</definedName>
    <definedName name="ssscx" localSheetId="14">#REF!</definedName>
    <definedName name="ssscx" localSheetId="16">#REF!</definedName>
    <definedName name="ssscx" localSheetId="17">#REF!</definedName>
    <definedName name="ssscx" localSheetId="15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3">#REF!</definedName>
    <definedName name="sue" localSheetId="14">#REF!</definedName>
    <definedName name="sue" localSheetId="16">#REF!</definedName>
    <definedName name="sue" localSheetId="17">#REF!</definedName>
    <definedName name="sue" localSheetId="15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3">#REF!,#REF!</definedName>
    <definedName name="t" localSheetId="14">#REF!,#REF!</definedName>
    <definedName name="t" localSheetId="16">#REF!,#REF!</definedName>
    <definedName name="t" localSheetId="17">#REF!,#REF!</definedName>
    <definedName name="t" localSheetId="15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3">#REF!</definedName>
    <definedName name="újsablon" localSheetId="14">#REF!</definedName>
    <definedName name="újsablon" localSheetId="16">#REF!</definedName>
    <definedName name="újsablon" localSheetId="17">#REF!</definedName>
    <definedName name="újsablon" localSheetId="15">#REF!</definedName>
    <definedName name="újsablon" localSheetId="5">#REF!</definedName>
    <definedName name="újsablon" localSheetId="10">#REF!</definedName>
    <definedName name="újsablon">#REF!</definedName>
    <definedName name="uuuuu" localSheetId="13">#REF!</definedName>
    <definedName name="uuuuu" localSheetId="14">#REF!</definedName>
    <definedName name="uuuuu" localSheetId="16">#REF!</definedName>
    <definedName name="uuuuu" localSheetId="17">#REF!</definedName>
    <definedName name="uuuuu" localSheetId="15">#REF!</definedName>
    <definedName name="uuuuu" localSheetId="5">#REF!</definedName>
    <definedName name="uuuuu" localSheetId="10">#REF!</definedName>
    <definedName name="uuuuu">#REF!</definedName>
    <definedName name="v" localSheetId="13">#REF!</definedName>
    <definedName name="v" localSheetId="14">#REF!</definedName>
    <definedName name="v" localSheetId="16">#REF!</definedName>
    <definedName name="v" localSheetId="17">#REF!</definedName>
    <definedName name="v" localSheetId="15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3">#REF!</definedName>
    <definedName name="vv" localSheetId="14">#REF!</definedName>
    <definedName name="vv" localSheetId="16">#REF!</definedName>
    <definedName name="vv" localSheetId="17">#REF!</definedName>
    <definedName name="vv" localSheetId="15">#REF!</definedName>
    <definedName name="vv" localSheetId="5">#REF!</definedName>
    <definedName name="vv" localSheetId="10">#REF!</definedName>
    <definedName name="vv">#REF!</definedName>
    <definedName name="x" localSheetId="13">#REF!</definedName>
    <definedName name="x" localSheetId="14">#REF!</definedName>
    <definedName name="x" localSheetId="16">#REF!</definedName>
    <definedName name="x" localSheetId="17">#REF!</definedName>
    <definedName name="x" localSheetId="15">#REF!</definedName>
    <definedName name="x" localSheetId="5">#REF!</definedName>
    <definedName name="x" localSheetId="10">#REF!</definedName>
    <definedName name="x">#REF!</definedName>
    <definedName name="xcvbnm" localSheetId="13">#REF!</definedName>
    <definedName name="xcvbnm" localSheetId="14">#REF!</definedName>
    <definedName name="xcvbnm" localSheetId="16">#REF!</definedName>
    <definedName name="xcvbnm" localSheetId="17">#REF!</definedName>
    <definedName name="xcvbnm" localSheetId="15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[14]Háttéradatok!$C$29:$AG$32</definedName>
    <definedName name="xxxxxx_15">[14]Háttéradatok!$C$29:$AG$32</definedName>
    <definedName name="xxxxxx_16">[14]Háttéradatok!$C$29:$AG$32</definedName>
    <definedName name="xxxxxx_18">[5]Háttéradatok!$C$29:$AG$32</definedName>
    <definedName name="xxxxxx_7">[5]Háttéradatok!$C$29:$AG$32</definedName>
    <definedName name="xxxxxxxxxxxxxxxxxxxxxxxxxxx" localSheetId="13">#REF!</definedName>
    <definedName name="xxxxxxxxxxxxxxxxxxxxxxxxxxx" localSheetId="14">#REF!</definedName>
    <definedName name="xxxxxxxxxxxxxxxxxxxxxxxxxxx" localSheetId="16">#REF!</definedName>
    <definedName name="xxxxxxxxxxxxxxxxxxxxxxxxxxx" localSheetId="17">#REF!</definedName>
    <definedName name="xxxxxxxxxxxxxxxxxxxxxxxxxxx" localSheetId="15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3">#REF!,#REF!</definedName>
    <definedName name="y" localSheetId="14">#REF!,#REF!</definedName>
    <definedName name="y" localSheetId="16">#REF!,#REF!</definedName>
    <definedName name="y" localSheetId="17">#REF!,#REF!</definedName>
    <definedName name="y" localSheetId="15">#REF!,#REF!</definedName>
    <definedName name="y" localSheetId="5">#REF!,#REF!</definedName>
    <definedName name="y" localSheetId="10">#REF!,#REF!</definedName>
    <definedName name="y">#REF!,#REF!</definedName>
    <definedName name="ycxd" localSheetId="13">#REF!</definedName>
    <definedName name="ycxd" localSheetId="14">#REF!</definedName>
    <definedName name="ycxd" localSheetId="16">#REF!</definedName>
    <definedName name="ycxd" localSheetId="17">#REF!</definedName>
    <definedName name="ycxd" localSheetId="15">#REF!</definedName>
    <definedName name="ycxd" localSheetId="5">#REF!</definedName>
    <definedName name="ycxd" localSheetId="10">#REF!</definedName>
    <definedName name="ycxd">#REF!</definedName>
    <definedName name="yxc" localSheetId="13">#REF!</definedName>
    <definedName name="yxc" localSheetId="14">#REF!</definedName>
    <definedName name="yxc" localSheetId="16">#REF!</definedName>
    <definedName name="yxc" localSheetId="17">#REF!</definedName>
    <definedName name="yxc" localSheetId="15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45621"/>
</workbook>
</file>

<file path=xl/calcChain.xml><?xml version="1.0" encoding="utf-8"?>
<calcChain xmlns="http://schemas.openxmlformats.org/spreadsheetml/2006/main">
  <c r="N9" i="38" l="1"/>
  <c r="H27" i="9" l="1"/>
  <c r="N40" i="38"/>
  <c r="N39" i="38"/>
  <c r="N29" i="38"/>
  <c r="N44" i="38"/>
  <c r="H44" i="38"/>
  <c r="E44" i="38"/>
  <c r="N16" i="38"/>
  <c r="F22" i="41"/>
  <c r="F10" i="41"/>
  <c r="F9" i="41"/>
  <c r="F6" i="41"/>
  <c r="D19" i="30"/>
  <c r="D10" i="30"/>
  <c r="D11" i="30" s="1"/>
  <c r="G8" i="24"/>
  <c r="F8" i="24"/>
  <c r="H8" i="24"/>
  <c r="I8" i="24"/>
  <c r="H22" i="9"/>
  <c r="G22" i="9"/>
  <c r="E19" i="5"/>
  <c r="F19" i="5"/>
  <c r="D20" i="30" l="1"/>
  <c r="H28" i="9"/>
  <c r="F23" i="41"/>
  <c r="F24" i="41"/>
  <c r="D20" i="41" l="1"/>
  <c r="D19" i="41"/>
  <c r="E19" i="41"/>
  <c r="D18" i="41"/>
  <c r="E18" i="41"/>
  <c r="F18" i="41"/>
  <c r="F17" i="41"/>
  <c r="F16" i="41"/>
  <c r="D15" i="41"/>
  <c r="E15" i="41"/>
  <c r="F14" i="41"/>
  <c r="F15" i="41" s="1"/>
  <c r="F19" i="41" s="1"/>
  <c r="F13" i="41"/>
  <c r="D12" i="41"/>
  <c r="F7" i="41"/>
  <c r="D8" i="41"/>
  <c r="E8" i="41"/>
  <c r="D11" i="41"/>
  <c r="E11" i="41"/>
  <c r="E12" i="41" s="1"/>
  <c r="E20" i="41" s="1"/>
  <c r="F11" i="41"/>
  <c r="C18" i="41"/>
  <c r="C15" i="41"/>
  <c r="C19" i="41" s="1"/>
  <c r="C11" i="41"/>
  <c r="C8" i="41"/>
  <c r="C12" i="41" s="1"/>
  <c r="C21" i="41" s="1"/>
  <c r="F21" i="41" s="1"/>
  <c r="C47" i="35"/>
  <c r="D17" i="40"/>
  <c r="M29" i="39"/>
  <c r="M28" i="39"/>
  <c r="I42" i="39"/>
  <c r="I36" i="39"/>
  <c r="I43" i="39" s="1"/>
  <c r="I27" i="39"/>
  <c r="I23" i="39"/>
  <c r="I18" i="39"/>
  <c r="I13" i="39"/>
  <c r="I30" i="39" s="1"/>
  <c r="I44" i="39" s="1"/>
  <c r="I10" i="39"/>
  <c r="F42" i="39"/>
  <c r="F36" i="39"/>
  <c r="F43" i="39" s="1"/>
  <c r="F27" i="39"/>
  <c r="F23" i="39"/>
  <c r="F18" i="39"/>
  <c r="F13" i="39"/>
  <c r="F30" i="39" s="1"/>
  <c r="F44" i="39" s="1"/>
  <c r="F10" i="39"/>
  <c r="M38" i="39"/>
  <c r="M40" i="39"/>
  <c r="M20" i="39"/>
  <c r="M11" i="39"/>
  <c r="C42" i="39"/>
  <c r="C36" i="39"/>
  <c r="C43" i="39" s="1"/>
  <c r="C27" i="39"/>
  <c r="C23" i="39"/>
  <c r="C18" i="39"/>
  <c r="C13" i="39"/>
  <c r="C30" i="39" s="1"/>
  <c r="C44" i="39" s="1"/>
  <c r="C10" i="39"/>
  <c r="K42" i="39"/>
  <c r="H42" i="39"/>
  <c r="E42" i="39"/>
  <c r="N41" i="39"/>
  <c r="M41" i="39"/>
  <c r="L41" i="39"/>
  <c r="N40" i="39"/>
  <c r="L40" i="39"/>
  <c r="N39" i="39"/>
  <c r="M39" i="39"/>
  <c r="L39" i="39"/>
  <c r="N38" i="39"/>
  <c r="L38" i="39"/>
  <c r="N37" i="39"/>
  <c r="M37" i="39"/>
  <c r="L37" i="39"/>
  <c r="K36" i="39"/>
  <c r="K43" i="39" s="1"/>
  <c r="H36" i="39"/>
  <c r="E36" i="39"/>
  <c r="E43" i="39" s="1"/>
  <c r="N35" i="39"/>
  <c r="M35" i="39"/>
  <c r="L35" i="39"/>
  <c r="N34" i="39"/>
  <c r="L34" i="39"/>
  <c r="N33" i="39"/>
  <c r="M33" i="39"/>
  <c r="L33" i="39"/>
  <c r="N32" i="39"/>
  <c r="M32" i="39"/>
  <c r="L32" i="39"/>
  <c r="N31" i="39"/>
  <c r="M31" i="39"/>
  <c r="L31" i="39"/>
  <c r="N29" i="39"/>
  <c r="L29" i="39"/>
  <c r="N28" i="39"/>
  <c r="L28" i="39"/>
  <c r="K27" i="39"/>
  <c r="H27" i="39"/>
  <c r="E27" i="39"/>
  <c r="N26" i="39"/>
  <c r="M26" i="39"/>
  <c r="L26" i="39"/>
  <c r="N25" i="39"/>
  <c r="L25" i="39"/>
  <c r="N24" i="39"/>
  <c r="N27" i="39" s="1"/>
  <c r="M24" i="39"/>
  <c r="L24" i="39"/>
  <c r="K23" i="39"/>
  <c r="H23" i="39"/>
  <c r="E23" i="39"/>
  <c r="N22" i="39"/>
  <c r="M22" i="39"/>
  <c r="L22" i="39"/>
  <c r="N21" i="39"/>
  <c r="M21" i="39"/>
  <c r="L21" i="39"/>
  <c r="N20" i="39"/>
  <c r="L20" i="39"/>
  <c r="N19" i="39"/>
  <c r="L19" i="39"/>
  <c r="K18" i="39"/>
  <c r="H18" i="39"/>
  <c r="E18" i="39"/>
  <c r="N17" i="39"/>
  <c r="L17" i="39"/>
  <c r="N16" i="39"/>
  <c r="M16" i="39"/>
  <c r="L16" i="39"/>
  <c r="N15" i="39"/>
  <c r="L15" i="39"/>
  <c r="N14" i="39"/>
  <c r="L14" i="39"/>
  <c r="K13" i="39"/>
  <c r="H13" i="39"/>
  <c r="E13" i="39"/>
  <c r="N12" i="39"/>
  <c r="M12" i="39"/>
  <c r="L12" i="39"/>
  <c r="N11" i="39"/>
  <c r="L11" i="39"/>
  <c r="K10" i="39"/>
  <c r="H10" i="39"/>
  <c r="E10" i="39"/>
  <c r="N9" i="39"/>
  <c r="M9" i="39"/>
  <c r="L9" i="39"/>
  <c r="N8" i="39"/>
  <c r="M8" i="39"/>
  <c r="L8" i="39"/>
  <c r="N7" i="39"/>
  <c r="M7" i="39"/>
  <c r="L7" i="39"/>
  <c r="M13" i="39" l="1"/>
  <c r="F8" i="41"/>
  <c r="F12" i="41" s="1"/>
  <c r="F20" i="41" s="1"/>
  <c r="C20" i="41"/>
  <c r="M19" i="39"/>
  <c r="M23" i="39" s="1"/>
  <c r="K30" i="39"/>
  <c r="M34" i="39"/>
  <c r="M36" i="39" s="1"/>
  <c r="M25" i="39"/>
  <c r="M27" i="39" s="1"/>
  <c r="M17" i="39"/>
  <c r="M15" i="39"/>
  <c r="M14" i="39"/>
  <c r="H43" i="39"/>
  <c r="H30" i="39"/>
  <c r="L36" i="39"/>
  <c r="L42" i="39"/>
  <c r="L13" i="39"/>
  <c r="L10" i="39"/>
  <c r="L18" i="39"/>
  <c r="L23" i="39"/>
  <c r="M42" i="39"/>
  <c r="M10" i="39"/>
  <c r="N42" i="39"/>
  <c r="N36" i="39"/>
  <c r="E30" i="39"/>
  <c r="N23" i="39"/>
  <c r="N18" i="39"/>
  <c r="N13" i="39"/>
  <c r="N10" i="39"/>
  <c r="L27" i="39"/>
  <c r="E44" i="39"/>
  <c r="K44" i="39"/>
  <c r="M43" i="39" l="1"/>
  <c r="M18" i="39"/>
  <c r="M30" i="39" s="1"/>
  <c r="L43" i="39"/>
  <c r="H44" i="39"/>
  <c r="L30" i="39"/>
  <c r="L44" i="39" s="1"/>
  <c r="N43" i="39"/>
  <c r="N30" i="39"/>
  <c r="N16" i="37"/>
  <c r="C23" i="37"/>
  <c r="C18" i="37"/>
  <c r="C14" i="37"/>
  <c r="C24" i="37" s="1"/>
  <c r="C79" i="38"/>
  <c r="C75" i="38"/>
  <c r="C71" i="38"/>
  <c r="C67" i="38"/>
  <c r="C61" i="38"/>
  <c r="C62" i="38" s="1"/>
  <c r="C58" i="38"/>
  <c r="C51" i="38"/>
  <c r="C48" i="38"/>
  <c r="C44" i="38"/>
  <c r="I23" i="37"/>
  <c r="I18" i="37"/>
  <c r="I14" i="37"/>
  <c r="I24" i="37" s="1"/>
  <c r="I71" i="38"/>
  <c r="I75" i="38"/>
  <c r="I79" i="38"/>
  <c r="I67" i="38"/>
  <c r="M44" i="39" l="1"/>
  <c r="C52" i="38"/>
  <c r="C80" i="38" s="1"/>
  <c r="N44" i="39"/>
  <c r="M74" i="38" l="1"/>
  <c r="M65" i="38"/>
  <c r="M21" i="37"/>
  <c r="M11" i="37"/>
  <c r="F23" i="37"/>
  <c r="F18" i="37"/>
  <c r="F14" i="37"/>
  <c r="M73" i="38"/>
  <c r="M31" i="38"/>
  <c r="L78" i="38"/>
  <c r="L77" i="38"/>
  <c r="L76" i="38"/>
  <c r="L74" i="38"/>
  <c r="L73" i="38"/>
  <c r="L72" i="38"/>
  <c r="L70" i="38"/>
  <c r="L69" i="38"/>
  <c r="L68" i="38"/>
  <c r="L66" i="38"/>
  <c r="L65" i="38"/>
  <c r="L64" i="38"/>
  <c r="L63" i="38"/>
  <c r="L60" i="38"/>
  <c r="L59" i="38"/>
  <c r="L57" i="38"/>
  <c r="L56" i="38"/>
  <c r="L55" i="38"/>
  <c r="L54" i="38"/>
  <c r="L53" i="38"/>
  <c r="L50" i="38"/>
  <c r="L49" i="38"/>
  <c r="L47" i="38"/>
  <c r="L46" i="38"/>
  <c r="L45" i="38"/>
  <c r="L43" i="38"/>
  <c r="L42" i="38"/>
  <c r="L41" i="38"/>
  <c r="L31" i="38"/>
  <c r="L20" i="38"/>
  <c r="L18" i="38"/>
  <c r="L11" i="38"/>
  <c r="L8" i="38"/>
  <c r="F79" i="38"/>
  <c r="F75" i="38"/>
  <c r="F71" i="38"/>
  <c r="F67" i="38"/>
  <c r="F61" i="38"/>
  <c r="F58" i="38"/>
  <c r="F62" i="38" s="1"/>
  <c r="F51" i="38"/>
  <c r="F48" i="38"/>
  <c r="F44" i="38"/>
  <c r="K79" i="38"/>
  <c r="H79" i="38"/>
  <c r="E79" i="38"/>
  <c r="N78" i="38"/>
  <c r="N79" i="38" s="1"/>
  <c r="M78" i="38"/>
  <c r="M77" i="38"/>
  <c r="K75" i="38"/>
  <c r="H75" i="38"/>
  <c r="E75" i="38"/>
  <c r="N74" i="38"/>
  <c r="N73" i="38"/>
  <c r="N72" i="38"/>
  <c r="M72" i="38"/>
  <c r="K71" i="38"/>
  <c r="H71" i="38"/>
  <c r="E71" i="38"/>
  <c r="N70" i="38"/>
  <c r="M70" i="38"/>
  <c r="N69" i="38"/>
  <c r="M69" i="38"/>
  <c r="N68" i="38"/>
  <c r="M68" i="38"/>
  <c r="K67" i="38"/>
  <c r="H67" i="38"/>
  <c r="E67" i="38"/>
  <c r="N66" i="38"/>
  <c r="M66" i="38"/>
  <c r="N65" i="38"/>
  <c r="N64" i="38"/>
  <c r="M64" i="38"/>
  <c r="N63" i="38"/>
  <c r="M63" i="38"/>
  <c r="K61" i="38"/>
  <c r="J61" i="38"/>
  <c r="I61" i="38"/>
  <c r="L61" i="38" s="1"/>
  <c r="H61" i="38"/>
  <c r="E61" i="38"/>
  <c r="N60" i="38"/>
  <c r="M60" i="38"/>
  <c r="N59" i="38"/>
  <c r="M59" i="38"/>
  <c r="K58" i="38"/>
  <c r="J58" i="38"/>
  <c r="I58" i="38"/>
  <c r="H58" i="38"/>
  <c r="E58" i="38"/>
  <c r="N57" i="38"/>
  <c r="M57" i="38"/>
  <c r="N56" i="38"/>
  <c r="M56" i="38"/>
  <c r="N55" i="38"/>
  <c r="M55" i="38"/>
  <c r="N54" i="38"/>
  <c r="M54" i="38"/>
  <c r="N53" i="38"/>
  <c r="N58" i="38" s="1"/>
  <c r="M53" i="38"/>
  <c r="K51" i="38"/>
  <c r="J51" i="38"/>
  <c r="I51" i="38"/>
  <c r="H51" i="38"/>
  <c r="E51" i="38"/>
  <c r="N50" i="38"/>
  <c r="M50" i="38"/>
  <c r="N49" i="38"/>
  <c r="M49" i="38"/>
  <c r="K48" i="38"/>
  <c r="J48" i="38"/>
  <c r="I48" i="38"/>
  <c r="H48" i="38"/>
  <c r="E48" i="38"/>
  <c r="N47" i="38"/>
  <c r="M47" i="38"/>
  <c r="N46" i="38"/>
  <c r="M46" i="38"/>
  <c r="N45" i="38"/>
  <c r="M45" i="38"/>
  <c r="I44" i="38"/>
  <c r="N43" i="38"/>
  <c r="M43" i="38"/>
  <c r="N42" i="38"/>
  <c r="M42" i="38"/>
  <c r="N41" i="38"/>
  <c r="M41" i="38"/>
  <c r="N31" i="38"/>
  <c r="N20" i="38"/>
  <c r="M20" i="38"/>
  <c r="I19" i="38"/>
  <c r="F19" i="38"/>
  <c r="N18" i="38"/>
  <c r="M18" i="38"/>
  <c r="N11" i="38"/>
  <c r="M11" i="38"/>
  <c r="N8" i="38"/>
  <c r="M8" i="38"/>
  <c r="K23" i="37"/>
  <c r="H23" i="37"/>
  <c r="E23" i="37"/>
  <c r="N22" i="37"/>
  <c r="M22" i="37"/>
  <c r="L22" i="37"/>
  <c r="N21" i="37"/>
  <c r="L21" i="37"/>
  <c r="N20" i="37"/>
  <c r="M20" i="37"/>
  <c r="L20" i="37"/>
  <c r="K18" i="37"/>
  <c r="H18" i="37"/>
  <c r="E18" i="37"/>
  <c r="N17" i="37"/>
  <c r="M17" i="37"/>
  <c r="L17" i="37"/>
  <c r="N18" i="37"/>
  <c r="M16" i="37"/>
  <c r="L16" i="37"/>
  <c r="N15" i="37"/>
  <c r="M15" i="37"/>
  <c r="L15" i="37"/>
  <c r="K14" i="37"/>
  <c r="H14" i="37"/>
  <c r="E14" i="37"/>
  <c r="E24" i="37" s="1"/>
  <c r="N13" i="37"/>
  <c r="L13" i="37"/>
  <c r="N12" i="37"/>
  <c r="M12" i="37"/>
  <c r="L12" i="37"/>
  <c r="N11" i="37"/>
  <c r="L11" i="37"/>
  <c r="N10" i="37"/>
  <c r="M10" i="37"/>
  <c r="L10" i="37"/>
  <c r="N9" i="37"/>
  <c r="M9" i="37"/>
  <c r="L9" i="37"/>
  <c r="N8" i="37"/>
  <c r="M8" i="37"/>
  <c r="L8" i="37"/>
  <c r="L51" i="38" l="1"/>
  <c r="M58" i="38"/>
  <c r="H62" i="38"/>
  <c r="K62" i="38"/>
  <c r="J62" i="38"/>
  <c r="M71" i="38"/>
  <c r="M19" i="38"/>
  <c r="M44" i="38"/>
  <c r="M48" i="38"/>
  <c r="E62" i="38"/>
  <c r="L19" i="38"/>
  <c r="L44" i="38"/>
  <c r="L48" i="38"/>
  <c r="I52" i="38"/>
  <c r="K52" i="38"/>
  <c r="K80" i="38" s="1"/>
  <c r="N48" i="38"/>
  <c r="M51" i="38"/>
  <c r="M61" i="38"/>
  <c r="I62" i="38"/>
  <c r="M79" i="38"/>
  <c r="F52" i="38"/>
  <c r="F80" i="38" s="1"/>
  <c r="L58" i="38"/>
  <c r="L62" i="38" s="1"/>
  <c r="L67" i="38"/>
  <c r="F24" i="37"/>
  <c r="E52" i="38"/>
  <c r="E80" i="38" s="1"/>
  <c r="N51" i="38"/>
  <c r="K24" i="37"/>
  <c r="N23" i="37"/>
  <c r="N67" i="38"/>
  <c r="L71" i="38"/>
  <c r="L75" i="38"/>
  <c r="L79" i="38"/>
  <c r="M13" i="37"/>
  <c r="M14" i="37" s="1"/>
  <c r="M23" i="37"/>
  <c r="M18" i="37"/>
  <c r="N14" i="37"/>
  <c r="H24" i="37"/>
  <c r="L18" i="37"/>
  <c r="L14" i="37"/>
  <c r="L23" i="37"/>
  <c r="N75" i="38"/>
  <c r="M75" i="38"/>
  <c r="N71" i="38"/>
  <c r="M67" i="38"/>
  <c r="H52" i="38"/>
  <c r="H80" i="38" s="1"/>
  <c r="M62" i="38"/>
  <c r="N61" i="38"/>
  <c r="N62" i="38" s="1"/>
  <c r="N52" i="38" l="1"/>
  <c r="N80" i="38" s="1"/>
  <c r="M52" i="38"/>
  <c r="M80" i="38" s="1"/>
  <c r="L52" i="38"/>
  <c r="L80" i="38" s="1"/>
  <c r="I80" i="38"/>
  <c r="N24" i="37"/>
  <c r="L24" i="37"/>
  <c r="M24" i="37"/>
  <c r="C50" i="35" l="1"/>
  <c r="C52" i="35" l="1"/>
  <c r="I38" i="18"/>
  <c r="H63" i="14"/>
  <c r="H57" i="14"/>
  <c r="G7" i="14"/>
  <c r="G8" i="14"/>
  <c r="G9" i="14"/>
  <c r="G10" i="14"/>
  <c r="G114" i="14"/>
  <c r="G108" i="14"/>
  <c r="G91" i="14"/>
  <c r="G98" i="14"/>
  <c r="G60" i="7"/>
  <c r="G75" i="14"/>
  <c r="G74" i="14"/>
  <c r="G67" i="14"/>
  <c r="G68" i="14"/>
  <c r="G65" i="14"/>
  <c r="G66" i="14" s="1"/>
  <c r="G59" i="14"/>
  <c r="G50" i="14"/>
  <c r="G52" i="14"/>
  <c r="G53" i="14"/>
  <c r="G54" i="14"/>
  <c r="G55" i="14"/>
  <c r="G34" i="14"/>
  <c r="G35" i="14"/>
  <c r="G36" i="14"/>
  <c r="G38" i="14"/>
  <c r="G39" i="14"/>
  <c r="G40" i="14"/>
  <c r="G42" i="14"/>
  <c r="G43" i="14"/>
  <c r="G44" i="14"/>
  <c r="G32" i="14"/>
  <c r="G25" i="14"/>
  <c r="G26" i="14"/>
  <c r="G23" i="14"/>
  <c r="G21" i="14"/>
  <c r="G6" i="14"/>
  <c r="D17" i="32"/>
  <c r="D9" i="32"/>
  <c r="F24" i="9"/>
  <c r="F25" i="9"/>
  <c r="F23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20" i="9"/>
  <c r="F21" i="9"/>
  <c r="F5" i="9"/>
  <c r="G56" i="7"/>
  <c r="G57" i="7"/>
  <c r="G47" i="7"/>
  <c r="G49" i="7"/>
  <c r="G50" i="7"/>
  <c r="G52" i="7"/>
  <c r="G34" i="7"/>
  <c r="G36" i="7"/>
  <c r="G39" i="7"/>
  <c r="G41" i="7"/>
  <c r="G42" i="7"/>
  <c r="G44" i="7"/>
  <c r="G24" i="7"/>
  <c r="G26" i="7"/>
  <c r="G27" i="7"/>
  <c r="G29" i="7"/>
  <c r="G7" i="7"/>
  <c r="G8" i="7"/>
  <c r="G9" i="7"/>
  <c r="G10" i="7"/>
  <c r="G11" i="7"/>
  <c r="G12" i="7"/>
  <c r="G13" i="7"/>
  <c r="G14" i="7"/>
  <c r="G16" i="7"/>
  <c r="D16" i="6"/>
  <c r="J10" i="5"/>
  <c r="J11" i="5"/>
  <c r="J12" i="5"/>
  <c r="D17" i="5"/>
  <c r="E98" i="1"/>
  <c r="E97" i="1"/>
  <c r="E84" i="1"/>
  <c r="E92" i="1"/>
  <c r="E93" i="1"/>
  <c r="E95" i="1"/>
  <c r="E73" i="1"/>
  <c r="E74" i="1"/>
  <c r="E75" i="1"/>
  <c r="E67" i="1"/>
  <c r="E65" i="1"/>
  <c r="E64" i="1"/>
  <c r="E46" i="1"/>
  <c r="E26" i="1"/>
  <c r="E23" i="1"/>
  <c r="E16" i="1"/>
  <c r="E18" i="1"/>
  <c r="G69" i="14" l="1"/>
  <c r="N11" i="23"/>
  <c r="N12" i="23" s="1"/>
  <c r="O6" i="23"/>
  <c r="O7" i="23"/>
  <c r="O8" i="23"/>
  <c r="O9" i="23"/>
  <c r="O10" i="23"/>
  <c r="O11" i="23"/>
  <c r="D12" i="23"/>
  <c r="E12" i="23"/>
  <c r="F12" i="23"/>
  <c r="G12" i="23"/>
  <c r="H12" i="23"/>
  <c r="I12" i="23"/>
  <c r="J12" i="23"/>
  <c r="K12" i="23"/>
  <c r="L12" i="23"/>
  <c r="M12" i="23"/>
  <c r="C12" i="23"/>
  <c r="G10" i="26"/>
  <c r="G19" i="9"/>
  <c r="I18" i="7"/>
  <c r="I32" i="7"/>
  <c r="I15" i="7"/>
  <c r="F13" i="5"/>
  <c r="E13" i="5"/>
  <c r="F19" i="9" l="1"/>
  <c r="F22" i="9" s="1"/>
  <c r="G56" i="1"/>
  <c r="F56" i="1"/>
  <c r="G53" i="1"/>
  <c r="F53" i="1"/>
  <c r="G51" i="1"/>
  <c r="F51" i="1"/>
  <c r="E51" i="1" s="1"/>
  <c r="G48" i="1"/>
  <c r="F48" i="1"/>
  <c r="G47" i="1"/>
  <c r="F47" i="1"/>
  <c r="E59" i="36" l="1"/>
  <c r="I76" i="14"/>
  <c r="H76" i="14"/>
  <c r="J75" i="14"/>
  <c r="H117" i="14"/>
  <c r="H100" i="14"/>
  <c r="H18" i="7" l="1"/>
  <c r="G364" i="13"/>
  <c r="G359" i="13"/>
  <c r="G358" i="13"/>
  <c r="F354" i="13"/>
  <c r="E354" i="13"/>
  <c r="D354" i="13"/>
  <c r="C354" i="13"/>
  <c r="B354" i="13"/>
  <c r="G328" i="13"/>
  <c r="G327" i="13"/>
  <c r="G326" i="13"/>
  <c r="G325" i="13"/>
  <c r="F323" i="13"/>
  <c r="E323" i="13"/>
  <c r="D323" i="13"/>
  <c r="C323" i="13"/>
  <c r="G321" i="13"/>
  <c r="G319" i="13"/>
  <c r="G297" i="13"/>
  <c r="G296" i="13"/>
  <c r="G295" i="13"/>
  <c r="G294" i="13"/>
  <c r="F292" i="13"/>
  <c r="E292" i="13"/>
  <c r="D292" i="13"/>
  <c r="C292" i="13"/>
  <c r="G290" i="13"/>
  <c r="G288" i="13"/>
  <c r="G267" i="13"/>
  <c r="G266" i="13"/>
  <c r="G272" i="13" s="1"/>
  <c r="G263" i="13"/>
  <c r="G236" i="13"/>
  <c r="G235" i="13"/>
  <c r="G234" i="13"/>
  <c r="G233" i="13"/>
  <c r="F231" i="13"/>
  <c r="E231" i="13"/>
  <c r="G229" i="13"/>
  <c r="G227" i="13"/>
  <c r="G204" i="13"/>
  <c r="G203" i="13"/>
  <c r="G202" i="13"/>
  <c r="G201" i="13"/>
  <c r="F199" i="13"/>
  <c r="E199" i="13"/>
  <c r="D199" i="13"/>
  <c r="C199" i="13"/>
  <c r="G197" i="13"/>
  <c r="G195" i="13"/>
  <c r="G178" i="13"/>
  <c r="G173" i="13"/>
  <c r="G172" i="13"/>
  <c r="D168" i="13"/>
  <c r="C168" i="13"/>
  <c r="B168" i="13"/>
  <c r="C166" i="13"/>
  <c r="G164" i="13"/>
  <c r="E148" i="13"/>
  <c r="D148" i="13"/>
  <c r="G143" i="13"/>
  <c r="G142" i="13"/>
  <c r="E138" i="13"/>
  <c r="D138" i="13"/>
  <c r="D117" i="13"/>
  <c r="G112" i="13"/>
  <c r="G111" i="13"/>
  <c r="D108" i="13"/>
  <c r="G108" i="13" s="1"/>
  <c r="G82" i="13"/>
  <c r="G81" i="13"/>
  <c r="D77" i="13"/>
  <c r="C77" i="13"/>
  <c r="B77" i="13"/>
  <c r="C75" i="13"/>
  <c r="G73" i="13"/>
  <c r="G57" i="13"/>
  <c r="G52" i="13"/>
  <c r="G51" i="13"/>
  <c r="D47" i="13"/>
  <c r="B47" i="13"/>
  <c r="C45" i="13"/>
  <c r="G43" i="13"/>
  <c r="G27" i="13"/>
  <c r="G22" i="13"/>
  <c r="G21" i="13"/>
  <c r="F17" i="13"/>
  <c r="E17" i="13"/>
  <c r="D17" i="13"/>
  <c r="C17" i="13"/>
  <c r="G15" i="13"/>
  <c r="G13" i="13"/>
  <c r="G148" i="13" l="1"/>
  <c r="G231" i="13"/>
  <c r="G323" i="13"/>
  <c r="G334" i="13"/>
  <c r="G354" i="13"/>
  <c r="G168" i="13"/>
  <c r="G199" i="13"/>
  <c r="G210" i="13"/>
  <c r="G17" i="13"/>
  <c r="G47" i="13"/>
  <c r="G117" i="13"/>
  <c r="G242" i="13"/>
  <c r="G77" i="13"/>
  <c r="G292" i="13"/>
  <c r="G303" i="13"/>
  <c r="G138" i="13"/>
  <c r="F59" i="36" l="1"/>
  <c r="D59" i="36"/>
  <c r="H41" i="14" l="1"/>
  <c r="I41" i="14"/>
  <c r="H37" i="14"/>
  <c r="I37" i="14"/>
  <c r="H33" i="14"/>
  <c r="I33" i="14"/>
  <c r="H24" i="14"/>
  <c r="I24" i="14"/>
  <c r="L11" i="21"/>
  <c r="L12" i="21"/>
  <c r="L13" i="21"/>
  <c r="L14" i="21"/>
  <c r="L15" i="21"/>
  <c r="L16" i="21"/>
  <c r="F18" i="21"/>
  <c r="F17" i="21"/>
  <c r="E15" i="17"/>
  <c r="F15" i="17"/>
  <c r="H15" i="17"/>
  <c r="I15" i="17"/>
  <c r="J15" i="17"/>
  <c r="E10" i="17"/>
  <c r="F10" i="17"/>
  <c r="I10" i="17"/>
  <c r="J10" i="17"/>
  <c r="K7" i="17"/>
  <c r="K10" i="17" l="1"/>
  <c r="G33" i="1"/>
  <c r="G45" i="1" s="1"/>
  <c r="F33" i="1"/>
  <c r="H23" i="1"/>
  <c r="H15" i="1"/>
  <c r="L6" i="22"/>
  <c r="L7" i="22"/>
  <c r="L9" i="22"/>
  <c r="L10" i="22"/>
  <c r="L12" i="22"/>
  <c r="L13" i="22"/>
  <c r="I52" i="18"/>
  <c r="H52" i="18"/>
  <c r="H40" i="18"/>
  <c r="H41" i="18" s="1"/>
  <c r="F45" i="1" l="1"/>
  <c r="J28" i="18"/>
  <c r="G15" i="18"/>
  <c r="H15" i="18"/>
  <c r="I15" i="18"/>
  <c r="J15" i="18"/>
  <c r="E26" i="34"/>
  <c r="I16" i="34"/>
  <c r="G16" i="34"/>
  <c r="E16" i="34"/>
  <c r="H59" i="7" l="1"/>
  <c r="O5" i="23"/>
  <c r="O12" i="23" s="1"/>
  <c r="I117" i="14" l="1"/>
  <c r="H110" i="14"/>
  <c r="I110" i="14"/>
  <c r="I100" i="14"/>
  <c r="J87" i="14"/>
  <c r="J88" i="14"/>
  <c r="J89" i="14"/>
  <c r="J90" i="14"/>
  <c r="J91" i="14"/>
  <c r="J94" i="14"/>
  <c r="J96" i="14"/>
  <c r="J97" i="14"/>
  <c r="J101" i="14"/>
  <c r="J102" i="14"/>
  <c r="J103" i="14"/>
  <c r="J108" i="14"/>
  <c r="J109" i="14"/>
  <c r="J112" i="14"/>
  <c r="J114" i="14"/>
  <c r="J115" i="14"/>
  <c r="J86" i="14"/>
  <c r="H111" i="14" l="1"/>
  <c r="I111" i="14"/>
  <c r="I118" i="14" s="1"/>
  <c r="J76" i="14"/>
  <c r="I69" i="14"/>
  <c r="I66" i="14"/>
  <c r="I63" i="14"/>
  <c r="I57" i="14"/>
  <c r="I45" i="14"/>
  <c r="J40" i="14"/>
  <c r="J41" i="14"/>
  <c r="J42" i="14"/>
  <c r="J44" i="14"/>
  <c r="J46" i="14"/>
  <c r="J47" i="14"/>
  <c r="J48" i="14"/>
  <c r="J49" i="14"/>
  <c r="J50" i="14"/>
  <c r="J51" i="14"/>
  <c r="J53" i="14"/>
  <c r="J55" i="14"/>
  <c r="J56" i="14"/>
  <c r="J59" i="14"/>
  <c r="J60" i="14"/>
  <c r="J65" i="14"/>
  <c r="J67" i="14"/>
  <c r="J68" i="14"/>
  <c r="J72" i="14"/>
  <c r="J73" i="14"/>
  <c r="J74" i="14"/>
  <c r="J23" i="14"/>
  <c r="J24" i="14"/>
  <c r="J26" i="14"/>
  <c r="J33" i="14"/>
  <c r="J34" i="14"/>
  <c r="J35" i="14"/>
  <c r="J36" i="14"/>
  <c r="J37" i="14"/>
  <c r="J38" i="14"/>
  <c r="J14" i="14"/>
  <c r="J16" i="14"/>
  <c r="J18" i="14"/>
  <c r="J19" i="14"/>
  <c r="J20" i="14"/>
  <c r="J7" i="14"/>
  <c r="J8" i="14"/>
  <c r="J9" i="14"/>
  <c r="J10" i="14"/>
  <c r="J6" i="14"/>
  <c r="H118" i="14" l="1"/>
  <c r="D13" i="11"/>
  <c r="F13" i="11"/>
  <c r="H13" i="11"/>
  <c r="L9" i="11"/>
  <c r="L11" i="11"/>
  <c r="G27" i="9"/>
  <c r="F27" i="9"/>
  <c r="F28" i="9" s="1"/>
  <c r="J60" i="7"/>
  <c r="J59" i="7"/>
  <c r="G17" i="32"/>
  <c r="F19" i="32"/>
  <c r="F20" i="32" s="1"/>
  <c r="K17" i="6"/>
  <c r="L17" i="6"/>
  <c r="K12" i="6"/>
  <c r="L12" i="6"/>
  <c r="M7" i="6"/>
  <c r="M8" i="6"/>
  <c r="M13" i="6"/>
  <c r="M6" i="6"/>
  <c r="G7" i="6"/>
  <c r="G8" i="6"/>
  <c r="G14" i="6"/>
  <c r="G15" i="6"/>
  <c r="G16" i="6"/>
  <c r="G6" i="6"/>
  <c r="M7" i="5"/>
  <c r="M8" i="5"/>
  <c r="M9" i="5"/>
  <c r="M10" i="5"/>
  <c r="M11" i="5"/>
  <c r="M16" i="5"/>
  <c r="M6" i="5"/>
  <c r="G15" i="5"/>
  <c r="G17" i="5"/>
  <c r="M17" i="6" l="1"/>
  <c r="K18" i="6"/>
  <c r="M12" i="6"/>
  <c r="K9" i="11"/>
  <c r="I9" i="11"/>
  <c r="G9" i="11"/>
  <c r="E9" i="11"/>
  <c r="C9" i="11"/>
  <c r="F18" i="11"/>
  <c r="D18" i="11"/>
  <c r="L18" i="6"/>
  <c r="K11" i="11"/>
  <c r="I11" i="11"/>
  <c r="G11" i="11"/>
  <c r="E11" i="11"/>
  <c r="C11" i="11"/>
  <c r="G7" i="5"/>
  <c r="G8" i="5"/>
  <c r="G9" i="5"/>
  <c r="G10" i="5"/>
  <c r="G6" i="5"/>
  <c r="F112" i="1"/>
  <c r="G112" i="1"/>
  <c r="F96" i="1"/>
  <c r="G96" i="1"/>
  <c r="H83" i="1"/>
  <c r="H84" i="1"/>
  <c r="H85" i="1"/>
  <c r="H86" i="1"/>
  <c r="H87" i="1"/>
  <c r="H90" i="1"/>
  <c r="H92" i="1"/>
  <c r="H93" i="1"/>
  <c r="H94" i="1"/>
  <c r="H95" i="1"/>
  <c r="H97" i="1"/>
  <c r="H98" i="1"/>
  <c r="H99" i="1"/>
  <c r="H105" i="1"/>
  <c r="H108" i="1"/>
  <c r="H110" i="1"/>
  <c r="H82" i="1"/>
  <c r="F76" i="1"/>
  <c r="F118" i="1" s="1"/>
  <c r="G76" i="1"/>
  <c r="H72" i="1"/>
  <c r="H73" i="1"/>
  <c r="H74" i="1"/>
  <c r="H7" i="1"/>
  <c r="H8" i="1"/>
  <c r="H9" i="1"/>
  <c r="H10" i="1"/>
  <c r="H14" i="1"/>
  <c r="H16" i="1"/>
  <c r="H18" i="1"/>
  <c r="H19" i="1"/>
  <c r="H20" i="1"/>
  <c r="H21" i="1"/>
  <c r="H24" i="1"/>
  <c r="H25" i="1"/>
  <c r="H26" i="1"/>
  <c r="H33" i="1"/>
  <c r="H34" i="1"/>
  <c r="H35" i="1"/>
  <c r="H36" i="1"/>
  <c r="H37" i="1"/>
  <c r="H38" i="1"/>
  <c r="H40" i="1"/>
  <c r="H41" i="1"/>
  <c r="H42" i="1"/>
  <c r="H44" i="1"/>
  <c r="H46" i="1"/>
  <c r="H47" i="1"/>
  <c r="H48" i="1"/>
  <c r="H49" i="1"/>
  <c r="H50" i="1"/>
  <c r="H51" i="1"/>
  <c r="H53" i="1"/>
  <c r="H55" i="1"/>
  <c r="H56" i="1"/>
  <c r="H59" i="1"/>
  <c r="H60" i="1"/>
  <c r="H65" i="1"/>
  <c r="H67" i="1"/>
  <c r="G118" i="1" l="1"/>
  <c r="E56" i="18"/>
  <c r="H56" i="18"/>
  <c r="H57" i="18" s="1"/>
  <c r="H60" i="18" s="1"/>
  <c r="I56" i="18"/>
  <c r="J48" i="18"/>
  <c r="J49" i="18"/>
  <c r="J53" i="18"/>
  <c r="J47" i="18"/>
  <c r="I40" i="18"/>
  <c r="I41" i="18" s="1"/>
  <c r="I29" i="18"/>
  <c r="J25" i="18"/>
  <c r="J31" i="18"/>
  <c r="J34" i="18"/>
  <c r="J35" i="18"/>
  <c r="J37" i="18"/>
  <c r="J39" i="18"/>
  <c r="J17" i="18"/>
  <c r="I10" i="18"/>
  <c r="J8" i="18"/>
  <c r="J56" i="18" l="1"/>
  <c r="I33" i="18"/>
  <c r="I42" i="18" s="1"/>
  <c r="I57" i="18"/>
  <c r="I60" i="18" s="1"/>
  <c r="E18" i="19"/>
  <c r="F18" i="19"/>
  <c r="E17" i="19"/>
  <c r="F17" i="19"/>
  <c r="G17" i="19"/>
  <c r="H17" i="19"/>
  <c r="I17" i="19"/>
  <c r="J17" i="19"/>
  <c r="K17" i="19"/>
  <c r="L17" i="19"/>
  <c r="D18" i="19"/>
  <c r="D17" i="19"/>
  <c r="I56" i="17"/>
  <c r="J56" i="17"/>
  <c r="K53" i="17"/>
  <c r="I52" i="17"/>
  <c r="J52" i="17"/>
  <c r="K48" i="17"/>
  <c r="K49" i="17"/>
  <c r="K50" i="17"/>
  <c r="K47" i="17"/>
  <c r="I57" i="17" l="1"/>
  <c r="I60" i="17" s="1"/>
  <c r="K56" i="17"/>
  <c r="K52" i="17"/>
  <c r="J57" i="17"/>
  <c r="I40" i="17"/>
  <c r="I41" i="17" s="1"/>
  <c r="J40" i="17"/>
  <c r="J41" i="17" s="1"/>
  <c r="I29" i="17"/>
  <c r="I33" i="17" s="1"/>
  <c r="J29" i="17"/>
  <c r="J33" i="17" s="1"/>
  <c r="K18" i="17"/>
  <c r="K19" i="17"/>
  <c r="K23" i="17"/>
  <c r="K25" i="17"/>
  <c r="K28" i="17"/>
  <c r="K34" i="17"/>
  <c r="K37" i="17"/>
  <c r="K38" i="17"/>
  <c r="K39" i="17"/>
  <c r="K17" i="17"/>
  <c r="I42" i="17" l="1"/>
  <c r="J42" i="17"/>
  <c r="J60" i="17"/>
  <c r="K60" i="17" s="1"/>
  <c r="K57" i="17"/>
  <c r="K29" i="17"/>
  <c r="E15" i="20"/>
  <c r="F15" i="20"/>
  <c r="D15" i="20"/>
  <c r="E15" i="22"/>
  <c r="F15" i="22"/>
  <c r="G15" i="22"/>
  <c r="H15" i="22"/>
  <c r="I15" i="22"/>
  <c r="J15" i="22"/>
  <c r="K15" i="22"/>
  <c r="D15" i="22"/>
  <c r="E18" i="21"/>
  <c r="G18" i="21"/>
  <c r="H18" i="21"/>
  <c r="I18" i="21"/>
  <c r="J18" i="21"/>
  <c r="K18" i="21"/>
  <c r="D18" i="21"/>
  <c r="E17" i="21"/>
  <c r="G17" i="21"/>
  <c r="H17" i="21"/>
  <c r="I17" i="21"/>
  <c r="J17" i="21"/>
  <c r="K17" i="21"/>
  <c r="D17" i="21"/>
  <c r="J57" i="14"/>
  <c r="H45" i="14"/>
  <c r="J45" i="14" s="1"/>
  <c r="H31" i="14"/>
  <c r="I31" i="14"/>
  <c r="H12" i="14"/>
  <c r="H22" i="14" s="1"/>
  <c r="I12" i="14"/>
  <c r="D17" i="1"/>
  <c r="E17" i="1" s="1"/>
  <c r="D5" i="32"/>
  <c r="D6" i="32"/>
  <c r="D7" i="32"/>
  <c r="D8" i="32"/>
  <c r="D4" i="32"/>
  <c r="I61" i="7"/>
  <c r="H32" i="7"/>
  <c r="H35" i="7" s="1"/>
  <c r="H15" i="7"/>
  <c r="E17" i="6"/>
  <c r="F17" i="6"/>
  <c r="E12" i="6"/>
  <c r="F12" i="6"/>
  <c r="K19" i="5"/>
  <c r="L19" i="5"/>
  <c r="K13" i="5"/>
  <c r="K20" i="5" s="1"/>
  <c r="L13" i="5"/>
  <c r="H17" i="7" l="1"/>
  <c r="K19" i="6"/>
  <c r="K22" i="5"/>
  <c r="M19" i="5"/>
  <c r="K20" i="6"/>
  <c r="E20" i="6"/>
  <c r="K21" i="6"/>
  <c r="E21" i="6"/>
  <c r="L17" i="21"/>
  <c r="F21" i="6"/>
  <c r="L21" i="6"/>
  <c r="F20" i="6"/>
  <c r="L20" i="6"/>
  <c r="G17" i="6"/>
  <c r="L18" i="21"/>
  <c r="L15" i="22"/>
  <c r="J17" i="7"/>
  <c r="E22" i="5"/>
  <c r="I22" i="14"/>
  <c r="J12" i="14"/>
  <c r="J63" i="14"/>
  <c r="G12" i="6"/>
  <c r="F21" i="5"/>
  <c r="L20" i="5"/>
  <c r="L22" i="5" s="1"/>
  <c r="J31" i="14"/>
  <c r="E21" i="5"/>
  <c r="M13" i="5"/>
  <c r="L21" i="5"/>
  <c r="G19" i="5"/>
  <c r="G13" i="5"/>
  <c r="F18" i="6"/>
  <c r="E20" i="5"/>
  <c r="K21" i="5"/>
  <c r="E18" i="6"/>
  <c r="F20" i="5"/>
  <c r="H112" i="1"/>
  <c r="F106" i="1"/>
  <c r="G106" i="1"/>
  <c r="G107" i="1" s="1"/>
  <c r="G113" i="1" s="1"/>
  <c r="H76" i="1"/>
  <c r="F69" i="1"/>
  <c r="G69" i="1"/>
  <c r="F66" i="1"/>
  <c r="G66" i="1"/>
  <c r="F63" i="1"/>
  <c r="G63" i="1"/>
  <c r="F57" i="1"/>
  <c r="G57" i="1"/>
  <c r="F31" i="1"/>
  <c r="G31" i="1"/>
  <c r="G12" i="1"/>
  <c r="F22" i="5" l="1"/>
  <c r="L19" i="6"/>
  <c r="M19" i="6" s="1"/>
  <c r="F19" i="6"/>
  <c r="E19" i="6"/>
  <c r="G22" i="1"/>
  <c r="G18" i="6"/>
  <c r="J22" i="14"/>
  <c r="I70" i="14"/>
  <c r="I77" i="14" s="1"/>
  <c r="G20" i="5"/>
  <c r="H106" i="1"/>
  <c r="F107" i="1"/>
  <c r="H96" i="1"/>
  <c r="H69" i="1"/>
  <c r="H66" i="1"/>
  <c r="H63" i="1"/>
  <c r="H57" i="1"/>
  <c r="H45" i="1"/>
  <c r="H31" i="1"/>
  <c r="F113" i="1" l="1"/>
  <c r="H113" i="1" s="1"/>
  <c r="G19" i="6"/>
  <c r="G70" i="1"/>
  <c r="H107" i="1"/>
  <c r="G77" i="1" l="1"/>
  <c r="G117" i="1"/>
  <c r="L16" i="11"/>
  <c r="H15" i="11"/>
  <c r="D12" i="11"/>
  <c r="F12" i="11"/>
  <c r="H12" i="11"/>
  <c r="J12" i="11"/>
  <c r="B12" i="11"/>
  <c r="J10" i="11"/>
  <c r="L8" i="11"/>
  <c r="K16" i="11" l="1"/>
  <c r="I16" i="11"/>
  <c r="G16" i="11"/>
  <c r="E16" i="11"/>
  <c r="C16" i="11"/>
  <c r="B17" i="11"/>
  <c r="B13" i="11"/>
  <c r="B18" i="11" s="1"/>
  <c r="H17" i="11"/>
  <c r="F17" i="11"/>
  <c r="K8" i="11"/>
  <c r="I8" i="11"/>
  <c r="G8" i="11"/>
  <c r="E8" i="11"/>
  <c r="C8" i="11"/>
  <c r="J17" i="11"/>
  <c r="H18" i="11"/>
  <c r="L10" i="11"/>
  <c r="D17" i="11"/>
  <c r="L12" i="11"/>
  <c r="E12" i="11" s="1"/>
  <c r="K12" i="11" l="1"/>
  <c r="G12" i="11"/>
  <c r="I12" i="11"/>
  <c r="C12" i="11"/>
  <c r="I10" i="11"/>
  <c r="G10" i="11"/>
  <c r="E10" i="11"/>
  <c r="K10" i="11"/>
  <c r="C10" i="11"/>
  <c r="L17" i="11"/>
  <c r="I17" i="11" s="1"/>
  <c r="G17" i="11" l="1"/>
  <c r="E17" i="11"/>
  <c r="K17" i="11"/>
  <c r="C17" i="11"/>
  <c r="E10" i="32"/>
  <c r="D59" i="1"/>
  <c r="E59" i="1" s="1"/>
  <c r="D60" i="1"/>
  <c r="E60" i="1" s="1"/>
  <c r="E27" i="1"/>
  <c r="E28" i="1"/>
  <c r="E29" i="1"/>
  <c r="E30" i="1"/>
  <c r="G10" i="32" l="1"/>
  <c r="K33" i="17"/>
  <c r="F115" i="14"/>
  <c r="G115" i="14" s="1"/>
  <c r="F112" i="14"/>
  <c r="G112" i="14" s="1"/>
  <c r="F103" i="14"/>
  <c r="G103" i="14" s="1"/>
  <c r="F102" i="14"/>
  <c r="G102" i="14" s="1"/>
  <c r="F101" i="14"/>
  <c r="G101" i="14" s="1"/>
  <c r="F99" i="14"/>
  <c r="G99" i="14" s="1"/>
  <c r="F96" i="14"/>
  <c r="G96" i="14" s="1"/>
  <c r="F94" i="14"/>
  <c r="G94" i="14" s="1"/>
  <c r="F89" i="14"/>
  <c r="G89" i="14" s="1"/>
  <c r="F88" i="14"/>
  <c r="G88" i="14" s="1"/>
  <c r="F87" i="14"/>
  <c r="G87" i="14" s="1"/>
  <c r="F86" i="14"/>
  <c r="G86" i="14" s="1"/>
  <c r="F84" i="14"/>
  <c r="F73" i="14"/>
  <c r="G73" i="14" s="1"/>
  <c r="F69" i="14"/>
  <c r="F66" i="14"/>
  <c r="F60" i="14"/>
  <c r="G60" i="14" s="1"/>
  <c r="G63" i="14" s="1"/>
  <c r="F56" i="14"/>
  <c r="G56" i="14" s="1"/>
  <c r="F49" i="14"/>
  <c r="G49" i="14" s="1"/>
  <c r="F48" i="14"/>
  <c r="G48" i="14" s="1"/>
  <c r="F47" i="14"/>
  <c r="G47" i="14" s="1"/>
  <c r="F46" i="14"/>
  <c r="G46" i="14" s="1"/>
  <c r="F41" i="14"/>
  <c r="G41" i="14" s="1"/>
  <c r="F37" i="14"/>
  <c r="G37" i="14" s="1"/>
  <c r="F33" i="14"/>
  <c r="F24" i="14"/>
  <c r="G24" i="14" s="1"/>
  <c r="G31" i="14" s="1"/>
  <c r="F20" i="14"/>
  <c r="G20" i="14" s="1"/>
  <c r="F19" i="14"/>
  <c r="G19" i="14" s="1"/>
  <c r="F18" i="14"/>
  <c r="G18" i="14" s="1"/>
  <c r="F16" i="14"/>
  <c r="G16" i="14" s="1"/>
  <c r="E117" i="14"/>
  <c r="E103" i="14"/>
  <c r="E110" i="14" s="1"/>
  <c r="E97" i="14"/>
  <c r="E90" i="14" s="1"/>
  <c r="E100" i="14" s="1"/>
  <c r="E72" i="14"/>
  <c r="E76" i="14" s="1"/>
  <c r="E69" i="14"/>
  <c r="E66" i="14"/>
  <c r="E63" i="14"/>
  <c r="E57" i="14"/>
  <c r="E41" i="14"/>
  <c r="E37" i="14"/>
  <c r="E33" i="14"/>
  <c r="E24" i="14"/>
  <c r="E31" i="14" s="1"/>
  <c r="E14" i="14"/>
  <c r="E12" i="14"/>
  <c r="D117" i="14"/>
  <c r="D103" i="14"/>
  <c r="D110" i="14" s="1"/>
  <c r="D97" i="14"/>
  <c r="D96" i="14"/>
  <c r="D72" i="14"/>
  <c r="D76" i="14" s="1"/>
  <c r="D69" i="14"/>
  <c r="D66" i="14"/>
  <c r="D63" i="14"/>
  <c r="D57" i="14"/>
  <c r="D41" i="14"/>
  <c r="D37" i="14"/>
  <c r="D33" i="14"/>
  <c r="D24" i="14"/>
  <c r="D31" i="14" s="1"/>
  <c r="D14" i="14"/>
  <c r="D12" i="14"/>
  <c r="F45" i="14" l="1"/>
  <c r="G33" i="14"/>
  <c r="G45" i="14" s="1"/>
  <c r="F63" i="14"/>
  <c r="F72" i="14"/>
  <c r="G72" i="14" s="1"/>
  <c r="G76" i="14" s="1"/>
  <c r="E111" i="14"/>
  <c r="E118" i="14" s="1"/>
  <c r="F12" i="14"/>
  <c r="F97" i="14"/>
  <c r="G97" i="14" s="1"/>
  <c r="K41" i="17"/>
  <c r="K40" i="17"/>
  <c r="D45" i="14"/>
  <c r="E45" i="14"/>
  <c r="F31" i="14"/>
  <c r="F76" i="14"/>
  <c r="F117" i="14"/>
  <c r="D22" i="14"/>
  <c r="D90" i="14"/>
  <c r="D100" i="14" s="1"/>
  <c r="D111" i="14" s="1"/>
  <c r="D118" i="14" s="1"/>
  <c r="E22" i="14"/>
  <c r="E70" i="14" s="1"/>
  <c r="E77" i="14" s="1"/>
  <c r="F14" i="14"/>
  <c r="G14" i="14" s="1"/>
  <c r="F110" i="14"/>
  <c r="F51" i="14"/>
  <c r="G51" i="14" s="1"/>
  <c r="G57" i="14" s="1"/>
  <c r="M15" i="19"/>
  <c r="M16" i="19"/>
  <c r="H12" i="19"/>
  <c r="J12" i="19"/>
  <c r="K12" i="19"/>
  <c r="L12" i="19"/>
  <c r="M13" i="19"/>
  <c r="H9" i="19"/>
  <c r="I9" i="19"/>
  <c r="I18" i="19" s="1"/>
  <c r="J9" i="19"/>
  <c r="K9" i="19"/>
  <c r="L9" i="19"/>
  <c r="M10" i="19"/>
  <c r="H6" i="19"/>
  <c r="J6" i="19"/>
  <c r="K6" i="19"/>
  <c r="L6" i="19"/>
  <c r="M7" i="19"/>
  <c r="L10" i="21"/>
  <c r="L7" i="21"/>
  <c r="E14" i="20"/>
  <c r="F14" i="20"/>
  <c r="G14" i="20"/>
  <c r="H14" i="20"/>
  <c r="I14" i="20"/>
  <c r="J14" i="20"/>
  <c r="K14" i="20"/>
  <c r="L14" i="20"/>
  <c r="D14" i="20"/>
  <c r="G12" i="20"/>
  <c r="H12" i="20"/>
  <c r="J12" i="20"/>
  <c r="K12" i="20"/>
  <c r="L12" i="20"/>
  <c r="M13" i="20"/>
  <c r="M10" i="20"/>
  <c r="M9" i="20"/>
  <c r="G6" i="20"/>
  <c r="G15" i="20" s="1"/>
  <c r="H6" i="20"/>
  <c r="H15" i="20" s="1"/>
  <c r="I6" i="20"/>
  <c r="I15" i="20" s="1"/>
  <c r="J6" i="20"/>
  <c r="K6" i="20"/>
  <c r="K15" i="20" s="1"/>
  <c r="L6" i="20"/>
  <c r="M7" i="20"/>
  <c r="E14" i="22"/>
  <c r="F14" i="22"/>
  <c r="G14" i="22"/>
  <c r="H14" i="22"/>
  <c r="I14" i="22"/>
  <c r="J14" i="22"/>
  <c r="K14" i="22"/>
  <c r="D14" i="22"/>
  <c r="H29" i="18"/>
  <c r="H10" i="18"/>
  <c r="J100" i="14"/>
  <c r="H66" i="14"/>
  <c r="H70" i="14" s="1"/>
  <c r="H69" i="14"/>
  <c r="G11" i="14"/>
  <c r="G12" i="14" s="1"/>
  <c r="G22" i="14" s="1"/>
  <c r="D19" i="32"/>
  <c r="E19" i="32"/>
  <c r="E20" i="32" s="1"/>
  <c r="G20" i="32" s="1"/>
  <c r="D10" i="32"/>
  <c r="J9" i="6"/>
  <c r="J10" i="6"/>
  <c r="D10" i="6"/>
  <c r="D11" i="6"/>
  <c r="D11" i="5"/>
  <c r="E111" i="1"/>
  <c r="E69" i="1"/>
  <c r="E66" i="1"/>
  <c r="G70" i="14" l="1"/>
  <c r="D20" i="32"/>
  <c r="G117" i="14"/>
  <c r="L15" i="20"/>
  <c r="K18" i="19"/>
  <c r="L14" i="22"/>
  <c r="F22" i="14"/>
  <c r="G19" i="32"/>
  <c r="J66" i="14"/>
  <c r="D70" i="14"/>
  <c r="D77" i="14" s="1"/>
  <c r="J10" i="18"/>
  <c r="H18" i="19"/>
  <c r="J18" i="19"/>
  <c r="J15" i="20"/>
  <c r="L18" i="19"/>
  <c r="F90" i="14"/>
  <c r="G90" i="14" s="1"/>
  <c r="J29" i="18"/>
  <c r="M17" i="19"/>
  <c r="M9" i="19"/>
  <c r="G18" i="19"/>
  <c r="J117" i="14"/>
  <c r="J110" i="14"/>
  <c r="J69" i="14"/>
  <c r="H77" i="14"/>
  <c r="M20" i="5"/>
  <c r="J52" i="18"/>
  <c r="J40" i="18"/>
  <c r="M12" i="19"/>
  <c r="K42" i="17"/>
  <c r="F57" i="14"/>
  <c r="H33" i="18"/>
  <c r="M6" i="20"/>
  <c r="M14" i="20"/>
  <c r="M12" i="20"/>
  <c r="M6" i="19"/>
  <c r="F100" i="14" l="1"/>
  <c r="F111" i="14" s="1"/>
  <c r="F70" i="14"/>
  <c r="F77" i="14" s="1"/>
  <c r="J33" i="18"/>
  <c r="M18" i="19"/>
  <c r="J111" i="14"/>
  <c r="J77" i="14"/>
  <c r="J70" i="14"/>
  <c r="M18" i="6"/>
  <c r="M15" i="20"/>
  <c r="J60" i="18"/>
  <c r="J57" i="18"/>
  <c r="J41" i="18"/>
  <c r="H42" i="18"/>
  <c r="O17" i="23"/>
  <c r="F118" i="14" l="1"/>
  <c r="J118" i="14"/>
  <c r="J42" i="18"/>
  <c r="F56" i="17"/>
  <c r="F37" i="17"/>
  <c r="F18" i="17"/>
  <c r="F29" i="17" s="1"/>
  <c r="E59" i="17"/>
  <c r="F59" i="17"/>
  <c r="D59" i="17"/>
  <c r="G58" i="17"/>
  <c r="G54" i="17"/>
  <c r="G55" i="17"/>
  <c r="G53" i="17"/>
  <c r="H53" i="17" s="1"/>
  <c r="H56" i="17" s="1"/>
  <c r="F52" i="17"/>
  <c r="G49" i="17"/>
  <c r="H49" i="17" s="1"/>
  <c r="G50" i="17"/>
  <c r="H50" i="17" s="1"/>
  <c r="G51" i="17"/>
  <c r="G48" i="17"/>
  <c r="H48" i="17" s="1"/>
  <c r="G47" i="17"/>
  <c r="H47" i="17" s="1"/>
  <c r="G39" i="17"/>
  <c r="H39" i="17" s="1"/>
  <c r="G38" i="17"/>
  <c r="H38" i="17" s="1"/>
  <c r="G36" i="17"/>
  <c r="G35" i="17"/>
  <c r="F34" i="17"/>
  <c r="G32" i="17"/>
  <c r="G31" i="17"/>
  <c r="G30" i="17"/>
  <c r="G20" i="17"/>
  <c r="H20" i="17" s="1"/>
  <c r="G21" i="17"/>
  <c r="H21" i="17" s="1"/>
  <c r="G22" i="17"/>
  <c r="H22" i="17" s="1"/>
  <c r="G23" i="17"/>
  <c r="H23" i="17" s="1"/>
  <c r="G24" i="17"/>
  <c r="H24" i="17" s="1"/>
  <c r="G25" i="17"/>
  <c r="H25" i="17" s="1"/>
  <c r="G26" i="17"/>
  <c r="H26" i="17" s="1"/>
  <c r="G27" i="17"/>
  <c r="H27" i="17" s="1"/>
  <c r="G28" i="17"/>
  <c r="H28" i="17" s="1"/>
  <c r="G19" i="17"/>
  <c r="H19" i="17" s="1"/>
  <c r="G17" i="17"/>
  <c r="H17" i="17" s="1"/>
  <c r="G12" i="17"/>
  <c r="G13" i="17"/>
  <c r="G14" i="17"/>
  <c r="G11" i="17"/>
  <c r="G7" i="17"/>
  <c r="H7" i="17" s="1"/>
  <c r="H10" i="17" s="1"/>
  <c r="G8" i="17"/>
  <c r="G9" i="17"/>
  <c r="G6" i="17"/>
  <c r="G15" i="17" l="1"/>
  <c r="G10" i="17"/>
  <c r="H35" i="17"/>
  <c r="H36" i="17"/>
  <c r="G59" i="17"/>
  <c r="H51" i="17"/>
  <c r="G56" i="17"/>
  <c r="F40" i="17"/>
  <c r="F41" i="17" s="1"/>
  <c r="F33" i="17"/>
  <c r="F57" i="17"/>
  <c r="F60" i="17" s="1"/>
  <c r="H52" i="17" l="1"/>
  <c r="H57" i="17" s="1"/>
  <c r="H60" i="17" s="1"/>
  <c r="F42" i="17"/>
  <c r="E22" i="9"/>
  <c r="M8" i="19" l="1"/>
  <c r="M11" i="19"/>
  <c r="M14" i="19"/>
  <c r="M8" i="20" l="1"/>
  <c r="E7" i="28" l="1"/>
  <c r="E23" i="28" l="1"/>
  <c r="E27" i="28" l="1"/>
  <c r="E29" i="28" s="1"/>
  <c r="F26" i="34"/>
  <c r="G26" i="34"/>
  <c r="H26" i="34"/>
  <c r="I26" i="34"/>
  <c r="J26" i="34"/>
  <c r="K26" i="34"/>
  <c r="L26" i="34"/>
  <c r="M26" i="34"/>
  <c r="N26" i="34"/>
  <c r="C16" i="5"/>
  <c r="C15" i="6"/>
  <c r="D15" i="6" s="1"/>
  <c r="H8" i="6"/>
  <c r="H7" i="6"/>
  <c r="H6" i="6"/>
  <c r="H7" i="5"/>
  <c r="H8" i="5"/>
  <c r="H9" i="5"/>
  <c r="H10" i="5"/>
  <c r="H6" i="5"/>
  <c r="B17" i="5" l="1"/>
  <c r="B16" i="5"/>
  <c r="B14" i="5"/>
  <c r="C14" i="6"/>
  <c r="D14" i="6" s="1"/>
  <c r="D17" i="6" s="1"/>
  <c r="I4" i="6"/>
  <c r="C18" i="5"/>
  <c r="C15" i="5"/>
  <c r="D15" i="5" s="1"/>
  <c r="C14" i="5"/>
  <c r="I4" i="5"/>
  <c r="C17" i="6" l="1"/>
  <c r="C19" i="5"/>
  <c r="D109" i="1" l="1"/>
  <c r="E109" i="1" s="1"/>
  <c r="D110" i="1"/>
  <c r="E110" i="1" s="1"/>
  <c r="D101" i="1"/>
  <c r="E101" i="1" s="1"/>
  <c r="D102" i="1"/>
  <c r="E102" i="1" s="1"/>
  <c r="D103" i="1"/>
  <c r="E103" i="1" s="1"/>
  <c r="D104" i="1"/>
  <c r="E104" i="1" s="1"/>
  <c r="D105" i="1"/>
  <c r="E105" i="1" s="1"/>
  <c r="D100" i="1"/>
  <c r="E100" i="1" s="1"/>
  <c r="D88" i="1"/>
  <c r="E88" i="1" s="1"/>
  <c r="D89" i="1"/>
  <c r="E89" i="1" s="1"/>
  <c r="D91" i="1"/>
  <c r="E91" i="1" s="1"/>
  <c r="D94" i="1"/>
  <c r="E94" i="1" s="1"/>
  <c r="D87" i="1"/>
  <c r="E87" i="1" s="1"/>
  <c r="D61" i="1"/>
  <c r="E61" i="1" s="1"/>
  <c r="D62" i="1"/>
  <c r="E62" i="1" s="1"/>
  <c r="D58" i="1"/>
  <c r="D54" i="1"/>
  <c r="E54" i="1" s="1"/>
  <c r="D55" i="1"/>
  <c r="E55" i="1" s="1"/>
  <c r="D53" i="1"/>
  <c r="E53" i="1" s="1"/>
  <c r="D50" i="1"/>
  <c r="E50" i="1" s="1"/>
  <c r="D43" i="1"/>
  <c r="E43" i="1" s="1"/>
  <c r="D44" i="1"/>
  <c r="E44" i="1" s="1"/>
  <c r="D42" i="1"/>
  <c r="E42" i="1" s="1"/>
  <c r="D40" i="1"/>
  <c r="E40" i="1" s="1"/>
  <c r="D39" i="1"/>
  <c r="E39" i="1" s="1"/>
  <c r="D38" i="1"/>
  <c r="E38" i="1" s="1"/>
  <c r="D35" i="1"/>
  <c r="E35" i="1" s="1"/>
  <c r="D36" i="1"/>
  <c r="E36" i="1" s="1"/>
  <c r="D34" i="1"/>
  <c r="E34" i="1" s="1"/>
  <c r="D32" i="1"/>
  <c r="E32" i="1" s="1"/>
  <c r="D25" i="1"/>
  <c r="E25" i="1" s="1"/>
  <c r="D19" i="1"/>
  <c r="E19" i="1" s="1"/>
  <c r="D21" i="1"/>
  <c r="E21" i="1" s="1"/>
  <c r="D13" i="1"/>
  <c r="D7" i="1"/>
  <c r="E7" i="1" s="1"/>
  <c r="D8" i="1"/>
  <c r="E8" i="1" s="1"/>
  <c r="D9" i="1"/>
  <c r="E9" i="1" s="1"/>
  <c r="D10" i="1"/>
  <c r="E10" i="1" s="1"/>
  <c r="D11" i="1"/>
  <c r="E11" i="1" s="1"/>
  <c r="D7" i="29"/>
  <c r="E7" i="29"/>
  <c r="F7" i="29"/>
  <c r="G7" i="29"/>
  <c r="C7" i="29"/>
  <c r="I16" i="5" l="1"/>
  <c r="J16" i="5" s="1"/>
  <c r="D37" i="1"/>
  <c r="E37" i="1" s="1"/>
  <c r="H6" i="29"/>
  <c r="H5" i="29"/>
  <c r="H4" i="29"/>
  <c r="I19" i="5" l="1"/>
  <c r="J19" i="5"/>
  <c r="H7" i="29"/>
  <c r="C19" i="30"/>
  <c r="F14" i="11" l="1"/>
  <c r="L14" i="11" l="1"/>
  <c r="G14" i="11" s="1"/>
  <c r="J10" i="26"/>
  <c r="K9" i="26"/>
  <c r="K8" i="26"/>
  <c r="K7" i="26"/>
  <c r="K6" i="26"/>
  <c r="K5" i="26"/>
  <c r="K14" i="11" l="1"/>
  <c r="I14" i="11"/>
  <c r="E14" i="11"/>
  <c r="C14" i="11"/>
  <c r="L15" i="11"/>
  <c r="K10" i="26"/>
  <c r="K15" i="11" l="1"/>
  <c r="G15" i="11"/>
  <c r="E15" i="11"/>
  <c r="C15" i="11"/>
  <c r="I15" i="11"/>
  <c r="H16" i="34"/>
  <c r="H27" i="34" s="1"/>
  <c r="I27" i="34"/>
  <c r="J16" i="34"/>
  <c r="J27" i="34" s="1"/>
  <c r="K16" i="34"/>
  <c r="K27" i="34" s="1"/>
  <c r="L16" i="34"/>
  <c r="L27" i="34" s="1"/>
  <c r="M16" i="34"/>
  <c r="M27" i="34" s="1"/>
  <c r="N16" i="34"/>
  <c r="N27" i="34" s="1"/>
  <c r="E27" i="34"/>
  <c r="F16" i="34"/>
  <c r="F27" i="34" s="1"/>
  <c r="G27" i="34" l="1"/>
  <c r="D56" i="1"/>
  <c r="E56" i="1" s="1"/>
  <c r="D39" i="18" l="1"/>
  <c r="D90" i="1" l="1"/>
  <c r="E90" i="1" s="1"/>
  <c r="E63" i="1" l="1"/>
  <c r="E27" i="9"/>
  <c r="E28" i="9" l="1"/>
  <c r="E24" i="31"/>
  <c r="D24" i="31"/>
  <c r="C24" i="31"/>
  <c r="E18" i="31"/>
  <c r="D18" i="31"/>
  <c r="C18" i="31"/>
  <c r="E16" i="31"/>
  <c r="D16" i="31"/>
  <c r="C16" i="31"/>
  <c r="C25" i="31" l="1"/>
  <c r="C10" i="32"/>
  <c r="C19" i="32"/>
  <c r="E25" i="31"/>
  <c r="D25" i="31"/>
  <c r="C20" i="32" l="1"/>
  <c r="I7" i="6" l="1"/>
  <c r="J7" i="6" s="1"/>
  <c r="D38" i="18"/>
  <c r="D6" i="1" l="1"/>
  <c r="E6" i="1" s="1"/>
  <c r="E12" i="1" l="1"/>
  <c r="E37" i="17"/>
  <c r="G37" i="17"/>
  <c r="H37" i="17" s="1"/>
  <c r="D37" i="17"/>
  <c r="F11" i="18"/>
  <c r="F12" i="18"/>
  <c r="F13" i="18"/>
  <c r="F14" i="18"/>
  <c r="F38" i="18"/>
  <c r="G38" i="18" s="1"/>
  <c r="F39" i="18"/>
  <c r="E37" i="18"/>
  <c r="D37" i="18"/>
  <c r="J38" i="18" l="1"/>
  <c r="K8" i="21"/>
  <c r="L8" i="21" s="1"/>
  <c r="F37" i="18"/>
  <c r="G37" i="18" s="1"/>
  <c r="G40" i="18" l="1"/>
  <c r="G41" i="18" s="1"/>
  <c r="L9" i="21"/>
  <c r="K5" i="22"/>
  <c r="F23" i="28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14" i="25"/>
  <c r="C8" i="25"/>
  <c r="L5" i="22" l="1"/>
  <c r="C15" i="25"/>
  <c r="J8" i="24"/>
  <c r="E8" i="24"/>
  <c r="B8" i="24"/>
  <c r="K7" i="24"/>
  <c r="K8" i="24" s="1"/>
  <c r="D7" i="24"/>
  <c r="D8" i="24" s="1"/>
  <c r="D108" i="1" l="1"/>
  <c r="E108" i="1" s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6" i="23"/>
  <c r="O15" i="23"/>
  <c r="O14" i="23"/>
  <c r="O23" i="23" l="1"/>
  <c r="I13" i="6"/>
  <c r="J13" i="6" s="1"/>
  <c r="J17" i="6" s="1"/>
  <c r="E112" i="1"/>
  <c r="N24" i="23"/>
  <c r="F24" i="23"/>
  <c r="L24" i="23"/>
  <c r="H24" i="23"/>
  <c r="D24" i="23"/>
  <c r="J24" i="23"/>
  <c r="K24" i="23"/>
  <c r="G24" i="23"/>
  <c r="E24" i="23"/>
  <c r="I24" i="23"/>
  <c r="M24" i="23"/>
  <c r="C24" i="23"/>
  <c r="M11" i="20"/>
  <c r="M5" i="20"/>
  <c r="M5" i="19"/>
  <c r="E59" i="18"/>
  <c r="D59" i="18"/>
  <c r="F58" i="18"/>
  <c r="D56" i="18"/>
  <c r="F55" i="18"/>
  <c r="F54" i="18"/>
  <c r="F53" i="18"/>
  <c r="G53" i="18" s="1"/>
  <c r="G56" i="18" s="1"/>
  <c r="E52" i="18"/>
  <c r="D52" i="18"/>
  <c r="F51" i="18"/>
  <c r="F50" i="18"/>
  <c r="F49" i="18"/>
  <c r="G49" i="18" s="1"/>
  <c r="F48" i="18"/>
  <c r="G48" i="18" s="1"/>
  <c r="F47" i="18"/>
  <c r="G47" i="18" s="1"/>
  <c r="F36" i="18"/>
  <c r="F35" i="18"/>
  <c r="E34" i="18"/>
  <c r="E40" i="18" s="1"/>
  <c r="E41" i="18" s="1"/>
  <c r="D34" i="18"/>
  <c r="D40" i="18" s="1"/>
  <c r="D41" i="18" s="1"/>
  <c r="F32" i="18"/>
  <c r="F31" i="18"/>
  <c r="F30" i="18"/>
  <c r="F28" i="18"/>
  <c r="G28" i="18" s="1"/>
  <c r="F27" i="18"/>
  <c r="F26" i="18"/>
  <c r="F25" i="18"/>
  <c r="F24" i="18"/>
  <c r="F23" i="18"/>
  <c r="F22" i="18"/>
  <c r="F21" i="18"/>
  <c r="F20" i="18"/>
  <c r="F19" i="18"/>
  <c r="E18" i="18"/>
  <c r="E29" i="18" s="1"/>
  <c r="D18" i="18"/>
  <c r="D29" i="18" s="1"/>
  <c r="F17" i="18"/>
  <c r="G17" i="18" s="1"/>
  <c r="F16" i="18"/>
  <c r="E15" i="18"/>
  <c r="D15" i="18"/>
  <c r="E10" i="18"/>
  <c r="D10" i="18"/>
  <c r="F9" i="18"/>
  <c r="F8" i="18"/>
  <c r="G8" i="18" s="1"/>
  <c r="F7" i="18"/>
  <c r="F6" i="18"/>
  <c r="D15" i="1" s="1"/>
  <c r="E15" i="1" s="1"/>
  <c r="E56" i="17"/>
  <c r="D56" i="17"/>
  <c r="E52" i="17"/>
  <c r="D52" i="17"/>
  <c r="E34" i="17"/>
  <c r="E40" i="17" s="1"/>
  <c r="E41" i="17" s="1"/>
  <c r="D34" i="17"/>
  <c r="D40" i="17" s="1"/>
  <c r="D41" i="17" s="1"/>
  <c r="E18" i="17"/>
  <c r="E29" i="17" s="1"/>
  <c r="D18" i="17"/>
  <c r="D29" i="17" s="1"/>
  <c r="G16" i="17"/>
  <c r="D15" i="17"/>
  <c r="D10" i="17"/>
  <c r="G110" i="14"/>
  <c r="G29" i="18" l="1"/>
  <c r="G25" i="18"/>
  <c r="D52" i="1"/>
  <c r="E52" i="1" s="1"/>
  <c r="G10" i="18"/>
  <c r="G33" i="18" s="1"/>
  <c r="D49" i="1"/>
  <c r="E49" i="1" s="1"/>
  <c r="F56" i="18"/>
  <c r="F59" i="18"/>
  <c r="I17" i="6"/>
  <c r="D57" i="18"/>
  <c r="D60" i="18" s="1"/>
  <c r="E57" i="18"/>
  <c r="E60" i="18" s="1"/>
  <c r="F18" i="18"/>
  <c r="D82" i="1"/>
  <c r="E82" i="1" s="1"/>
  <c r="D83" i="1"/>
  <c r="E83" i="1" s="1"/>
  <c r="D85" i="1"/>
  <c r="E85" i="1" s="1"/>
  <c r="D8" i="22"/>
  <c r="L8" i="22" s="1"/>
  <c r="D20" i="1"/>
  <c r="E20" i="1" s="1"/>
  <c r="F11" i="22"/>
  <c r="L11" i="22" s="1"/>
  <c r="D47" i="1"/>
  <c r="E47" i="1" s="1"/>
  <c r="F34" i="18"/>
  <c r="O24" i="23"/>
  <c r="E57" i="17"/>
  <c r="E60" i="17" s="1"/>
  <c r="G52" i="17"/>
  <c r="G18" i="17"/>
  <c r="H18" i="17" s="1"/>
  <c r="G34" i="17"/>
  <c r="F52" i="18"/>
  <c r="F10" i="18"/>
  <c r="E33" i="18"/>
  <c r="E42" i="18" s="1"/>
  <c r="F15" i="18"/>
  <c r="D33" i="18"/>
  <c r="D42" i="18" s="1"/>
  <c r="D57" i="17"/>
  <c r="D60" i="17" s="1"/>
  <c r="D33" i="17"/>
  <c r="D42" i="17" s="1"/>
  <c r="E33" i="17"/>
  <c r="E42" i="17" s="1"/>
  <c r="F40" i="18" l="1"/>
  <c r="F29" i="18"/>
  <c r="F33" i="18" s="1"/>
  <c r="G42" i="18"/>
  <c r="G40" i="17"/>
  <c r="G41" i="17" s="1"/>
  <c r="H40" i="17"/>
  <c r="H41" i="17" s="1"/>
  <c r="D48" i="1"/>
  <c r="E48" i="1" s="1"/>
  <c r="H29" i="17"/>
  <c r="H33" i="17" s="1"/>
  <c r="I8" i="5"/>
  <c r="J8" i="5" s="1"/>
  <c r="I6" i="5"/>
  <c r="J6" i="5" s="1"/>
  <c r="I9" i="5"/>
  <c r="J9" i="5" s="1"/>
  <c r="I7" i="5"/>
  <c r="J7" i="5" s="1"/>
  <c r="G52" i="18"/>
  <c r="G57" i="18" s="1"/>
  <c r="G60" i="18" s="1"/>
  <c r="C10" i="30"/>
  <c r="C11" i="30" s="1"/>
  <c r="C20" i="30" s="1"/>
  <c r="F57" i="18"/>
  <c r="F60" i="18" s="1"/>
  <c r="G29" i="17"/>
  <c r="F5" i="21" s="1"/>
  <c r="G57" i="17"/>
  <c r="G60" i="17" s="1"/>
  <c r="F41" i="18" l="1"/>
  <c r="F42" i="18" s="1"/>
  <c r="E57" i="1"/>
  <c r="H42" i="17"/>
  <c r="L5" i="21"/>
  <c r="L6" i="21"/>
  <c r="G33" i="17"/>
  <c r="G42" i="17" s="1"/>
  <c r="F55" i="7"/>
  <c r="F53" i="7"/>
  <c r="G53" i="7" s="1"/>
  <c r="F51" i="7"/>
  <c r="G51" i="7" s="1"/>
  <c r="F48" i="7"/>
  <c r="G48" i="7" s="1"/>
  <c r="F46" i="7"/>
  <c r="G46" i="7" s="1"/>
  <c r="F45" i="7"/>
  <c r="G45" i="7" s="1"/>
  <c r="F43" i="7"/>
  <c r="G43" i="7" s="1"/>
  <c r="F40" i="7"/>
  <c r="G40" i="7" s="1"/>
  <c r="F38" i="7"/>
  <c r="G38" i="7" s="1"/>
  <c r="F37" i="7"/>
  <c r="G37" i="7" s="1"/>
  <c r="F33" i="7"/>
  <c r="G33" i="7" s="1"/>
  <c r="G32" i="7" s="1"/>
  <c r="F30" i="7"/>
  <c r="G30" i="7" s="1"/>
  <c r="F28" i="7"/>
  <c r="G28" i="7" s="1"/>
  <c r="F25" i="7"/>
  <c r="G25" i="7" s="1"/>
  <c r="F23" i="7"/>
  <c r="G23" i="7" s="1"/>
  <c r="F22" i="7"/>
  <c r="G22" i="7" s="1"/>
  <c r="F21" i="7"/>
  <c r="G21" i="7" s="1"/>
  <c r="F20" i="7"/>
  <c r="G20" i="7" s="1"/>
  <c r="F19" i="7"/>
  <c r="G19" i="7" s="1"/>
  <c r="F6" i="7"/>
  <c r="G6" i="7" s="1"/>
  <c r="F5" i="7"/>
  <c r="G54" i="7" l="1"/>
  <c r="H54" i="7"/>
  <c r="G5" i="7"/>
  <c r="G55" i="7"/>
  <c r="F58" i="7"/>
  <c r="G58" i="7" s="1"/>
  <c r="G59" i="7" s="1"/>
  <c r="F32" i="7"/>
  <c r="F15" i="7"/>
  <c r="G15" i="7" s="1"/>
  <c r="F18" i="7"/>
  <c r="G18" i="7" s="1"/>
  <c r="G35" i="7" s="1"/>
  <c r="F54" i="7"/>
  <c r="G61" i="7" l="1"/>
  <c r="J54" i="7"/>
  <c r="H61" i="7"/>
  <c r="F17" i="7"/>
  <c r="G17" i="7" s="1"/>
  <c r="F59" i="7"/>
  <c r="F35" i="7"/>
  <c r="I6" i="6"/>
  <c r="J6" i="6" s="1"/>
  <c r="J35" i="7" l="1"/>
  <c r="F61" i="7"/>
  <c r="D112" i="1"/>
  <c r="D99" i="1"/>
  <c r="E99" i="1" s="1"/>
  <c r="D86" i="1"/>
  <c r="E86" i="1" s="1"/>
  <c r="D80" i="1"/>
  <c r="D72" i="1"/>
  <c r="E72" i="1" s="1"/>
  <c r="D69" i="1"/>
  <c r="D66" i="1"/>
  <c r="D63" i="1"/>
  <c r="D57" i="1"/>
  <c r="D41" i="1"/>
  <c r="E41" i="1" s="1"/>
  <c r="D33" i="1"/>
  <c r="E33" i="1" s="1"/>
  <c r="D24" i="1"/>
  <c r="E24" i="1" s="1"/>
  <c r="D12" i="1"/>
  <c r="C6" i="5" s="1"/>
  <c r="D6" i="5" s="1"/>
  <c r="E45" i="1" l="1"/>
  <c r="C10" i="5"/>
  <c r="D10" i="5" s="1"/>
  <c r="C8" i="6"/>
  <c r="D8" i="6" s="1"/>
  <c r="E106" i="1"/>
  <c r="D31" i="1"/>
  <c r="D45" i="1"/>
  <c r="D76" i="1"/>
  <c r="E76" i="1"/>
  <c r="E118" i="1" s="1"/>
  <c r="C23" i="28"/>
  <c r="I8" i="6"/>
  <c r="J8" i="6" s="1"/>
  <c r="C7" i="6"/>
  <c r="D7" i="6" s="1"/>
  <c r="C9" i="5"/>
  <c r="D9" i="5" s="1"/>
  <c r="D96" i="1"/>
  <c r="D106" i="1"/>
  <c r="C6" i="6" l="1"/>
  <c r="D6" i="6" s="1"/>
  <c r="D12" i="6" s="1"/>
  <c r="C27" i="28"/>
  <c r="C29" i="28" s="1"/>
  <c r="C8" i="5"/>
  <c r="D8" i="5" s="1"/>
  <c r="E31" i="1"/>
  <c r="E96" i="1"/>
  <c r="E107" i="1" s="1"/>
  <c r="E113" i="1" s="1"/>
  <c r="J13" i="5"/>
  <c r="J20" i="5" s="1"/>
  <c r="D118" i="1"/>
  <c r="I13" i="5"/>
  <c r="I20" i="5" s="1"/>
  <c r="I12" i="6"/>
  <c r="J12" i="6"/>
  <c r="D107" i="1"/>
  <c r="C12" i="6" l="1"/>
  <c r="C18" i="6" s="1"/>
  <c r="J20" i="6"/>
  <c r="D20" i="6"/>
  <c r="J18" i="6"/>
  <c r="J19" i="6" s="1"/>
  <c r="D113" i="1"/>
  <c r="I18" i="6"/>
  <c r="I20" i="6"/>
  <c r="D18" i="6"/>
  <c r="C20" i="6"/>
  <c r="J21" i="6" l="1"/>
  <c r="D21" i="6"/>
  <c r="I19" i="6"/>
  <c r="I21" i="6"/>
  <c r="C21" i="6"/>
  <c r="J7" i="11"/>
  <c r="L6" i="11"/>
  <c r="J21" i="14" l="1"/>
  <c r="J13" i="11"/>
  <c r="E6" i="11"/>
  <c r="K6" i="11"/>
  <c r="L7" i="11"/>
  <c r="C6" i="11"/>
  <c r="G6" i="11"/>
  <c r="I6" i="11"/>
  <c r="I7" i="11" l="1"/>
  <c r="G7" i="11"/>
  <c r="E7" i="11"/>
  <c r="C7" i="11"/>
  <c r="J18" i="11"/>
  <c r="K7" i="11"/>
  <c r="L13" i="11"/>
  <c r="L18" i="11" s="1"/>
  <c r="G77" i="14" l="1"/>
  <c r="E13" i="11"/>
  <c r="I13" i="11"/>
  <c r="G13" i="11"/>
  <c r="C13" i="11"/>
  <c r="K18" i="11"/>
  <c r="K13" i="11"/>
  <c r="D19" i="5"/>
  <c r="G18" i="11" l="1"/>
  <c r="E18" i="11"/>
  <c r="I18" i="11"/>
  <c r="C18" i="11"/>
  <c r="D14" i="1"/>
  <c r="E14" i="1" s="1"/>
  <c r="C7" i="5" l="1"/>
  <c r="D7" i="5" s="1"/>
  <c r="D13" i="5" s="1"/>
  <c r="J22" i="5" s="1"/>
  <c r="D22" i="1"/>
  <c r="D70" i="1" s="1"/>
  <c r="D77" i="1" s="1"/>
  <c r="E22" i="1"/>
  <c r="E70" i="1" s="1"/>
  <c r="E117" i="1" s="1"/>
  <c r="C14" i="28" l="1"/>
  <c r="C16" i="28" s="1"/>
  <c r="D117" i="1"/>
  <c r="C13" i="5"/>
  <c r="C20" i="5" s="1"/>
  <c r="C19" i="6" s="1"/>
  <c r="E77" i="1"/>
  <c r="J21" i="5"/>
  <c r="D20" i="5"/>
  <c r="D19" i="6" s="1"/>
  <c r="D21" i="5"/>
  <c r="D22" i="5"/>
  <c r="C22" i="5" l="1"/>
  <c r="C21" i="5"/>
  <c r="I21" i="5"/>
  <c r="I22" i="5"/>
  <c r="G100" i="14"/>
  <c r="G111" i="14" s="1"/>
  <c r="G118" i="14" l="1"/>
  <c r="H6" i="1" l="1"/>
  <c r="F12" i="1"/>
  <c r="F22" i="1" s="1"/>
  <c r="H22" i="1" l="1"/>
  <c r="H12" i="1"/>
  <c r="F70" i="1"/>
  <c r="F117" i="1" s="1"/>
  <c r="H70" i="1" l="1"/>
  <c r="F77" i="1"/>
  <c r="G28" i="9"/>
  <c r="H77" i="1" l="1"/>
  <c r="G16" i="5"/>
  <c r="D16" i="5"/>
</calcChain>
</file>

<file path=xl/sharedStrings.xml><?xml version="1.0" encoding="utf-8"?>
<sst xmlns="http://schemas.openxmlformats.org/spreadsheetml/2006/main" count="3210" uniqueCount="1184">
  <si>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</si>
  <si>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</si>
  <si>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</si>
  <si>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</si>
  <si>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</si>
  <si>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</si>
  <si>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</si>
  <si>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</si>
  <si>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</si>
  <si>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</si>
  <si>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</si>
  <si>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</si>
  <si>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</si>
  <si>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</si>
  <si>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</si>
  <si>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</si>
  <si>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</si>
  <si>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</si>
  <si>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</si>
  <si>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</si>
  <si>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</si>
  <si>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</si>
  <si>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</si>
  <si>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</si>
  <si>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</si>
  <si>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</si>
  <si>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</si>
  <si>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</si>
  <si>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</si>
  <si>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</si>
  <si>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</si>
  <si>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</si>
  <si>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</si>
  <si>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</si>
  <si>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</si>
  <si>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</si>
  <si>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</si>
  <si>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</si>
  <si>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</si>
  <si>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</si>
  <si>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</si>
  <si>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</si>
  <si>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</si>
  <si>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</si>
  <si>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</si>
  <si>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</si>
  <si>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</si>
  <si>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</si>
  <si>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</si>
  <si>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</si>
  <si>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</si>
  <si>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</si>
  <si>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</si>
  <si>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</si>
  <si>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</si>
  <si>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</si>
  <si>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</si>
  <si>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</si>
  <si>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</si>
  <si>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</si>
  <si>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</si>
  <si>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</si>
  <si>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</si>
  <si>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</si>
  <si>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</si>
  <si>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</si>
  <si>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</si>
  <si>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</si>
  <si>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</si>
  <si>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</si>
  <si>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</si>
  <si>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</si>
  <si>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</si>
  <si>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</si>
  <si>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</si>
  <si>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</si>
  <si>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</si>
  <si>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</si>
  <si>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</si>
  <si>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</si>
  <si>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</si>
  <si>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</si>
  <si>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</si>
  <si>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</si>
  <si>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</si>
  <si>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</si>
  <si>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</si>
  <si>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</si>
  <si>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</si>
  <si>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</si>
  <si>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</si>
  <si>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</si>
  <si>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</si>
  <si>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</si>
  <si>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</si>
  <si>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</si>
  <si>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</si>
  <si>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</si>
  <si>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</si>
  <si>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</si>
  <si>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</si>
  <si>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</si>
  <si>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</si>
  <si>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</si>
  <si>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</si>
  <si>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</si>
  <si>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</si>
  <si>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</si>
  <si>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</si>
  <si>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</si>
  <si>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</si>
  <si>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</si>
  <si>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</si>
  <si>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</si>
  <si>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</si>
  <si>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</si>
  <si>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</si>
  <si>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</si>
  <si>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</si>
  <si>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</si>
  <si>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</si>
  <si>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</si>
  <si>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</si>
  <si>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</si>
  <si>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</si>
  <si>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</si>
  <si>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</si>
  <si>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</si>
  <si>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</si>
  <si>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</si>
  <si>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</si>
  <si>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</si>
  <si>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</si>
  <si>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</si>
  <si>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</si>
  <si>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</si>
  <si>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</si>
  <si>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</si>
  <si>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</si>
  <si>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</si>
  <si>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</si>
  <si>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</si>
  <si>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</si>
  <si>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</si>
  <si>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</si>
  <si>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</si>
  <si>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</si>
  <si>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</si>
  <si>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</si>
  <si>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</si>
  <si>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</si>
  <si>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</si>
  <si>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</si>
  <si>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</si>
  <si>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</si>
  <si>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</si>
  <si>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</si>
  <si>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</si>
  <si>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</si>
  <si>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</si>
  <si>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</si>
  <si>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</si>
  <si>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</si>
  <si>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</si>
  <si>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</si>
  <si>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</si>
  <si>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</si>
  <si>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</si>
  <si>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</si>
  <si>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</si>
  <si>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</si>
  <si>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</si>
  <si>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</si>
  <si>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</si>
  <si>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</si>
  <si>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</si>
  <si>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</si>
  <si>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</si>
  <si>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</si>
  <si>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</si>
  <si>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</si>
  <si>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</si>
  <si>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</si>
  <si>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</si>
  <si>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</si>
  <si>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</si>
  <si>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</si>
  <si>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</si>
  <si>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</si>
  <si>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</si>
  <si>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</si>
  <si>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</si>
  <si>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</si>
  <si>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</si>
  <si>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</si>
  <si>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</si>
  <si>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</si>
  <si>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</si>
  <si>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</si>
  <si>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</si>
  <si>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</si>
  <si>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</si>
  <si>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</si>
  <si>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</si>
  <si>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</si>
  <si>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</si>
  <si>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</si>
  <si>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</si>
  <si>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</si>
  <si>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</si>
  <si>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</si>
  <si>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</si>
  <si>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</si>
  <si>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</si>
  <si>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</si>
  <si>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</si>
  <si>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</si>
  <si>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</si>
  <si>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</si>
  <si>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</si>
  <si>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</si>
  <si>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</si>
  <si>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</si>
  <si>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</si>
  <si>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</si>
  <si>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</si>
  <si>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</si>
  <si>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</si>
  <si>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</si>
  <si>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</si>
  <si>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</si>
  <si>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</si>
  <si>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</si>
  <si>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</si>
  <si>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</si>
  <si>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</si>
  <si>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</si>
  <si>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</si>
  <si>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</si>
  <si>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</si>
  <si>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</si>
  <si>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</si>
  <si>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</si>
  <si>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</si>
  <si>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</si>
  <si>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</si>
  <si>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</si>
  <si>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</si>
  <si>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</si>
  <si>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</si>
  <si>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</si>
  <si>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</si>
  <si>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</si>
  <si>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</si>
  <si>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</si>
  <si>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</si>
  <si>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</si>
  <si>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</si>
  <si>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</si>
  <si>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</si>
  <si>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</si>
  <si>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</si>
  <si>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</si>
  <si>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</si>
  <si>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</si>
  <si>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</si>
  <si>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</si>
  <si>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</si>
  <si>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</si>
  <si>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</si>
  <si>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</si>
  <si>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</si>
  <si>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</si>
  <si>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</si>
  <si>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</si>
  <si>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</si>
  <si>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</si>
  <si>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</si>
  <si>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</si>
  <si>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</si>
  <si>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</si>
  <si>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</si>
  <si>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</si>
  <si>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</si>
  <si>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</si>
  <si>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</si>
  <si>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</si>
  <si>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</si>
  <si>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</si>
  <si>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</si>
  <si>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</si>
  <si>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</si>
  <si>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</si>
  <si>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</si>
  <si>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</si>
  <si>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</si>
  <si>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</si>
  <si>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</si>
  <si>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</si>
  <si>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</si>
  <si>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</si>
  <si>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</si>
  <si>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</si>
  <si>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</si>
  <si>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</si>
  <si>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</si>
  <si>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</si>
  <si>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</si>
  <si>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</si>
  <si>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</si>
  <si>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</si>
  <si>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</si>
  <si>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</si>
  <si>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</si>
  <si>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</si>
  <si>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</si>
  <si>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</si>
  <si>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</si>
  <si>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</si>
  <si>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</si>
  <si>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</si>
  <si>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</si>
  <si>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</si>
  <si>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</si>
  <si>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</si>
  <si>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</si>
  <si>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</si>
  <si>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</si>
  <si>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</si>
  <si>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</si>
  <si>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</si>
  <si>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</si>
  <si>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</si>
  <si>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</si>
  <si>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</si>
  <si>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</si>
  <si>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</si>
  <si>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</si>
  <si>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</si>
  <si>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</si>
  <si>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</si>
  <si>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</si>
  <si>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</si>
  <si>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</si>
  <si>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</si>
  <si>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</si>
  <si>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</si>
  <si>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</si>
  <si>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</si>
  <si>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</si>
  <si>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</si>
  <si>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</si>
  <si>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</si>
  <si>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</si>
  <si>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</si>
  <si>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</si>
  <si>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</si>
  <si>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</si>
  <si>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</si>
  <si>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</si>
  <si>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</si>
  <si>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</si>
  <si>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</si>
  <si>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</si>
  <si>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</si>
  <si>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</si>
  <si>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</si>
  <si>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</si>
  <si>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</si>
  <si>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</si>
  <si>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</si>
  <si>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</si>
  <si>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</si>
  <si>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</si>
  <si>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</si>
  <si>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</si>
  <si>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</si>
  <si>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</si>
  <si>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</si>
  <si>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</si>
  <si>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</si>
  <si>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</si>
  <si>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</si>
  <si>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</si>
  <si>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</si>
  <si>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</si>
  <si>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</si>
  <si>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</si>
  <si>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</si>
  <si>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</si>
  <si>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</si>
  <si>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</si>
  <si>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</si>
  <si>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</si>
  <si>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</si>
  <si>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</si>
  <si>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</si>
  <si>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</si>
  <si>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</si>
  <si>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</si>
  <si>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</si>
  <si>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A 2016. évről áthúzódó bérkompenzáció támogatása</t>
  </si>
  <si>
    <t>2017. évi állami támogatás</t>
  </si>
  <si>
    <t xml:space="preserve"> Mezőtúr Város Önkormányzatának
2017. évi állami támogatások  jogcímei és összegei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</si>
  <si>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</si>
  <si>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</si>
  <si>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</si>
  <si>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</si>
  <si>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</si>
  <si>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</si>
  <si>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</si>
  <si>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</si>
  <si>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</si>
  <si>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</si>
  <si>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 xml:space="preserve"> - ebből a polgárőrség támogatása</t>
  </si>
  <si>
    <t xml:space="preserve"> -  ebből biztonságtechnikai eszközök beszerzése (elsősorban az idősek védelme érdekében)</t>
  </si>
  <si>
    <t xml:space="preserve"> - ebből KÓBORKA támogatása</t>
  </si>
  <si>
    <t>INVICTUS Úszó és Vízilabda SC</t>
  </si>
  <si>
    <t>Tanuló ösztöndíj programok (Bursa és Arany János)</t>
  </si>
  <si>
    <t>Első lakáshoz jutók felhalmozási célú támogatása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</si>
  <si>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</si>
  <si>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</si>
  <si>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</si>
  <si>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</si>
  <si>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</si>
  <si>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</si>
  <si>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</si>
  <si>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</si>
  <si>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</si>
  <si>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</si>
  <si>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</si>
  <si>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</si>
  <si>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</si>
  <si>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</si>
  <si>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</si>
  <si>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</si>
  <si>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</si>
  <si>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</si>
  <si>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</si>
  <si>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</si>
  <si>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</si>
  <si>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</si>
  <si>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</si>
  <si>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</si>
  <si>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</si>
  <si>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</si>
  <si>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</si>
  <si>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</si>
  <si>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</si>
  <si>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</si>
  <si>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</si>
  <si>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</si>
  <si>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</si>
  <si>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</si>
  <si>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</si>
  <si>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</si>
  <si>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</si>
  <si>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</si>
  <si>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</si>
  <si>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</si>
  <si>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</si>
  <si>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</si>
  <si>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</si>
  <si>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</si>
  <si>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</si>
  <si>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</si>
  <si>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</si>
  <si>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</si>
  <si>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</si>
  <si>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</si>
  <si>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</si>
  <si>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</si>
  <si>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</si>
  <si>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</si>
  <si>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</si>
  <si>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</si>
  <si>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</si>
  <si>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</si>
  <si>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</si>
  <si>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</si>
  <si>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</si>
  <si>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</si>
  <si>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</si>
  <si>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</si>
  <si>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</si>
  <si>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</si>
  <si>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</si>
  <si>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</si>
  <si>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</si>
  <si>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</si>
  <si>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</si>
  <si>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</si>
  <si>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</si>
  <si>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</si>
  <si>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</si>
  <si>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</si>
  <si>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</si>
  <si>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</si>
  <si>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</si>
  <si>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</si>
  <si>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</si>
  <si>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</si>
  <si>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</si>
  <si>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</si>
  <si>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</si>
  <si>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</si>
  <si>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</si>
  <si>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</si>
  <si>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</si>
  <si>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</si>
  <si>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</si>
  <si>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</si>
  <si>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</si>
  <si>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</si>
  <si>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</si>
  <si>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</si>
  <si>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</si>
  <si>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</si>
  <si>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</si>
  <si>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Mezőtúri Közös Önkormányzati Hivatal
2017. évi kiadásai  feladatonként</t>
  </si>
  <si>
    <t>Mezőtúri Móricz Zsigmond Könyvtár
2017. évi kiadásai  feladatonként</t>
  </si>
  <si>
    <t>Mezőtúri Közös Önkormányzati Hivatal
2017. évi bevételei  feladatonként</t>
  </si>
  <si>
    <t>Mezőtúri Móricz Zsigmond Könyvtár
2017. évi bevételei  feladatonként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</si>
  <si>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</si>
  <si>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</si>
  <si>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</si>
  <si>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</si>
  <si>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</si>
  <si>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</si>
  <si>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</si>
  <si>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</si>
  <si>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</si>
  <si>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</si>
  <si>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</si>
  <si>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</si>
  <si>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</si>
  <si>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</si>
  <si>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</si>
  <si>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</si>
  <si>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</si>
  <si>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</si>
  <si>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</si>
  <si>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</si>
  <si>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</si>
  <si>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</si>
  <si>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</si>
  <si>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2018. évi kötelezettség</t>
  </si>
  <si>
    <t>2019. évi kötelezettség</t>
  </si>
  <si>
    <t>Tőke</t>
  </si>
  <si>
    <t>Kamat</t>
  </si>
  <si>
    <t>2018. IV. negyedév</t>
  </si>
  <si>
    <t>2019. I. negyedév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</si>
  <si>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</si>
  <si>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</si>
  <si>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</si>
  <si>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</si>
  <si>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</si>
  <si>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</si>
  <si>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</si>
  <si>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</si>
  <si>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</si>
  <si>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</si>
  <si>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</si>
  <si>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</si>
  <si>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</si>
  <si>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</si>
  <si>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</si>
  <si>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</si>
  <si>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</si>
  <si>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</si>
  <si>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</si>
  <si>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</si>
  <si>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</si>
  <si>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</si>
  <si>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</si>
  <si>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</si>
  <si>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</si>
  <si>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</si>
  <si>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</si>
  <si>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</si>
  <si>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</si>
  <si>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</si>
  <si>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</si>
  <si>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</si>
  <si>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</si>
  <si>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</si>
  <si>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Mezőtúr Város Önkormányzata
2017. évi engedélyezett létszámkerete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</si>
  <si>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</si>
  <si>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</si>
  <si>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</si>
  <si>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</si>
  <si>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</si>
  <si>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</si>
  <si>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Vadászház vásárlás</t>
  </si>
  <si>
    <t>Uszoda felújítás</t>
  </si>
  <si>
    <t>Komp felújítás</t>
  </si>
  <si>
    <t>MFB ÖIP hitel - Mentőállomás beruházás  (ÉAOP-4.1.2/A-12-2013-0030. " Egészségház és Mentőállomás kialakítása projkethez kapcsolódóan)</t>
  </si>
  <si>
    <t xml:space="preserve">Belterületi utak felújítása MFB ÖIP hitel - ÉAOP-3.1.2/A-11-2012-0004. „Mezőtúr Város önkormányzati tulajdonú belterületi útjainak a fejlesztése” 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</si>
  <si>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</si>
  <si>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</si>
  <si>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</si>
  <si>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</si>
  <si>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</si>
  <si>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</si>
  <si>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</si>
  <si>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</si>
  <si>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</si>
  <si>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</si>
  <si>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</si>
  <si>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</si>
  <si>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Mezőtúr Város Önkormányzata
költségvetési évet követő három év tervezett előirányzatainak keretszámai</t>
  </si>
  <si>
    <t>"Nemleges"</t>
  </si>
  <si>
    <t>Támogatások összesen</t>
  </si>
  <si>
    <t>Rendkívüli települési támogatás</t>
  </si>
  <si>
    <t>Köztemetés</t>
  </si>
  <si>
    <t>Gyógyszer támogatás</t>
  </si>
  <si>
    <t>Lakhatási támogatás</t>
  </si>
  <si>
    <t>Temetési segély</t>
  </si>
  <si>
    <t>Mezőtúr Városi Önkormányzata
által 2017. évben folyósított ellátottak pénzbeli juttatásai</t>
  </si>
  <si>
    <t>Mezőtúri Közös Önkormányzati Hivatal
által 2017. évben folyósított ellátottak pénzbeli juttatásai</t>
  </si>
  <si>
    <t>Kiegészítő gyermekvédelmi támogatás</t>
  </si>
  <si>
    <t>Mezőtúr Város Önkormányzatának
2017. évi bevételi és kiadási előirányzatai</t>
  </si>
  <si>
    <t>Mezőtúri Közös Önkormányzati Hivatal
2017. évi bevételi és kiadási előirányzatai</t>
  </si>
  <si>
    <t>Mezőtúr Város Önkormányzata
2017. évi általános és céltartalékai</t>
  </si>
  <si>
    <t xml:space="preserve">Mezőtúr Város Önkormányzata
2017. évi adósságot keletkeztető fejlesztési céljai </t>
  </si>
  <si>
    <t>Cím száma</t>
  </si>
  <si>
    <t>Alcím száma</t>
  </si>
  <si>
    <t>Cím/alcím neve</t>
  </si>
  <si>
    <t>I.</t>
  </si>
  <si>
    <t>II.</t>
  </si>
  <si>
    <t>Címrend
Mezőtúr Város Önkormányzata 2017. évi költségvetéséhez</t>
  </si>
  <si>
    <t>Gazdasági szervezettel rendelkező költségvetési szerv</t>
  </si>
  <si>
    <t>Gazdasági szervezettel nem rendelkező költségvetési szerv</t>
  </si>
  <si>
    <t>Mezőtúr Város Önkormányzata
2017. évi költségvetésének összevont mérlege</t>
  </si>
  <si>
    <t>Mezőtúr Város Önkormányzata
2017. évi költségvetésében a működési célú bevételek és kiadások összevont mérlege</t>
  </si>
  <si>
    <t>Mezőtúr Város Önkormányzata
 2017. évi költségvetésében a felhalmozási célú bevételek és kiadások összevont mérlege</t>
  </si>
  <si>
    <t>Ellátás jogcíme</t>
  </si>
  <si>
    <t>Mezőtúri Móricz Zsigmond Könyvtár
2017. évi bevételi és kiadási előirányzatai</t>
  </si>
  <si>
    <t>Mezőtúr Város Önkormányzata
által 2017. évben adott közvetett támogatások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</si>
  <si>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</si>
  <si>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</si>
  <si>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Mezőtúri Intézményellátó és Ingatlankezelő KN Kft 2017. évi kompenzációja</t>
  </si>
  <si>
    <t>Mezőtúri Közművelődési és Sport KN Kft 2017. évi kompenzációja</t>
  </si>
  <si>
    <t>Mezőtúri Ipari Park Kft 2017. évi kompenzációja</t>
  </si>
  <si>
    <t>Mezőtúri Városfejlesztési Kft 2017. évi kompenzációja</t>
  </si>
  <si>
    <t>TURMED BT. OEP finanszírozás átadása</t>
  </si>
  <si>
    <t>Kiegészítő gyermekvédelmi támogatás pótlék</t>
  </si>
  <si>
    <t>Tálaló konyha fűtés korszerűsítés</t>
  </si>
  <si>
    <t>Rákóczi Szövetség támogatása</t>
  </si>
  <si>
    <t>Közvilágítás fejlesztés</t>
  </si>
  <si>
    <t>Vagyongazdálkodás ingatlan vásárlás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</si>
  <si>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</si>
  <si>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</si>
  <si>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</si>
  <si>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</si>
  <si>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</si>
  <si>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</si>
  <si>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</si>
  <si>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</si>
  <si>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</si>
  <si>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</si>
  <si>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</si>
  <si>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</si>
  <si>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</si>
  <si>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</si>
  <si>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</si>
  <si>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</si>
  <si>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</si>
  <si>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</si>
  <si>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</si>
  <si>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</si>
  <si>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</si>
  <si>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</si>
  <si>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</si>
  <si>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</si>
  <si>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</si>
  <si>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</si>
  <si>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</si>
  <si>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</si>
  <si>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</si>
  <si>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</si>
  <si>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</si>
  <si>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</si>
  <si>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</si>
  <si>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</si>
  <si>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</si>
  <si>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</si>
  <si>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Iparűzési adó</t>
  </si>
  <si>
    <t>24/2010. (XII.10.) önk-i rend. 11. §.(3) bek.</t>
  </si>
  <si>
    <t>1990. évi C. tv. (helyi adókról) 39/D.§ (1) fogl. Növ. Miatt</t>
  </si>
  <si>
    <t>1 MFt/fő (adóalap 2%-a)</t>
  </si>
  <si>
    <t>TOP-5.1.2-15-JN1-2016-00007 Mezőtúri járási foglalkoztatási együttműködések 2018-2019. időszakra jutó támogatás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</si>
  <si>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</si>
  <si>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</si>
  <si>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</si>
  <si>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</si>
  <si>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</si>
  <si>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</si>
  <si>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</si>
  <si>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</si>
  <si>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</si>
  <si>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</si>
  <si>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</si>
  <si>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</si>
  <si>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</si>
  <si>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</si>
  <si>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</si>
  <si>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</si>
  <si>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</si>
  <si>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</si>
  <si>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</si>
  <si>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</si>
  <si>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</si>
  <si>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</si>
  <si>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</si>
  <si>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</si>
  <si>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72.</t>
  </si>
  <si>
    <t>FINANSZÍROZÁSI BEVÉTELEK ÖSSZESEN: (66.+67.+70.)</t>
  </si>
  <si>
    <t>KÖLTSÉGVETÉSI ÉS FINANSZÍROZÁSI BEVÉTELEK ÖSSZESEN: (65.+71.)</t>
  </si>
  <si>
    <t>B1-B8</t>
  </si>
  <si>
    <t>2017</t>
  </si>
  <si>
    <t>2016</t>
  </si>
  <si>
    <t>2018</t>
  </si>
  <si>
    <t>2016. évi támogatás, saját bevétel maradvány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</si>
  <si>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</si>
  <si>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</si>
  <si>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</si>
  <si>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</si>
  <si>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</si>
  <si>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</si>
  <si>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</si>
  <si>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082042</t>
  </si>
  <si>
    <t>Könyvtári állomány gyarapítása, nyilvántartása</t>
  </si>
  <si>
    <t>1818/2016. (XII. 22.) Korm. Határozat alapján Útfelújítás</t>
  </si>
  <si>
    <t>2019</t>
  </si>
  <si>
    <t>TOP-5.1.2-15-JN1-2016-00007 Mezőtúri járási foglalkoztatási együttműködések</t>
  </si>
  <si>
    <t>Intézményellátó Kft. autó vásárlás</t>
  </si>
  <si>
    <t>Közművelődési Kft.autó vásárlás</t>
  </si>
  <si>
    <t>TRV Zrt. fejlesztése gördülő fejlesztési terv alapján</t>
  </si>
  <si>
    <t>013350</t>
  </si>
  <si>
    <t>018010</t>
  </si>
  <si>
    <t>041237</t>
  </si>
  <si>
    <t>105020</t>
  </si>
  <si>
    <t>900090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</si>
  <si>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</si>
  <si>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</si>
  <si>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</si>
  <si>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</si>
  <si>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</si>
  <si>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</si>
  <si>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</si>
  <si>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</si>
  <si>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104051</t>
  </si>
  <si>
    <t>Közterület rendjének fenntartása</t>
  </si>
  <si>
    <t>Gyermekvédelmi pénzbeli és természetbeni ellátások</t>
  </si>
  <si>
    <t>013320</t>
  </si>
  <si>
    <t>016080</t>
  </si>
  <si>
    <t>045160</t>
  </si>
  <si>
    <t>045230</t>
  </si>
  <si>
    <t>051030</t>
  </si>
  <si>
    <t>051050</t>
  </si>
  <si>
    <t>052080</t>
  </si>
  <si>
    <t>063080</t>
  </si>
  <si>
    <t>064010</t>
  </si>
  <si>
    <t>066020</t>
  </si>
  <si>
    <t>072112</t>
  </si>
  <si>
    <t>081030</t>
  </si>
  <si>
    <t>081041</t>
  </si>
  <si>
    <t>081061</t>
  </si>
  <si>
    <t>082061</t>
  </si>
  <si>
    <t>082092</t>
  </si>
  <si>
    <t>083050</t>
  </si>
  <si>
    <t>084031</t>
  </si>
  <si>
    <t>091140</t>
  </si>
  <si>
    <t>091220</t>
  </si>
  <si>
    <t>091250</t>
  </si>
  <si>
    <t>092120</t>
  </si>
  <si>
    <t>092260</t>
  </si>
  <si>
    <t>092270</t>
  </si>
  <si>
    <t>096015</t>
  </si>
  <si>
    <t>096030</t>
  </si>
  <si>
    <t>098022</t>
  </si>
  <si>
    <t>104031</t>
  </si>
  <si>
    <t>104037</t>
  </si>
  <si>
    <t>107060</t>
  </si>
  <si>
    <t>900060</t>
  </si>
  <si>
    <t>047410</t>
  </si>
  <si>
    <t>Közvilágítás</t>
  </si>
  <si>
    <t>066010</t>
  </si>
  <si>
    <t>Háziorvosi ügyeleti ellátás</t>
  </si>
  <si>
    <t>082064</t>
  </si>
  <si>
    <t>Intézményen kívüli gyermekétkeztetés</t>
  </si>
  <si>
    <t>Mezőtúr Város Önkormányzata
által 2017. évben nyújtott működési és felhalmozási  támogatások államháztartáson kívülre</t>
  </si>
  <si>
    <t>Államigazgatási feladat</t>
  </si>
  <si>
    <t>G</t>
  </si>
  <si>
    <t>Finanszírozási bevételek, kiadások egyenlege
(finanszírozási bevételek 70. sor - finanszírozási kiadások 31. sor) (+/-)</t>
  </si>
  <si>
    <t>Módosított előirányzat</t>
  </si>
  <si>
    <t>H</t>
  </si>
  <si>
    <t>I</t>
  </si>
  <si>
    <t xml:space="preserve"> </t>
  </si>
  <si>
    <t>061030</t>
  </si>
  <si>
    <t>045140</t>
  </si>
  <si>
    <t>047120</t>
  </si>
  <si>
    <t>Piac üzemeltetés</t>
  </si>
  <si>
    <t>062020</t>
  </si>
  <si>
    <t>104030</t>
  </si>
  <si>
    <t>107051</t>
  </si>
  <si>
    <t>Módosított összeg</t>
  </si>
  <si>
    <t>V.</t>
  </si>
  <si>
    <t>Működési célú ktgv-i és kiegészítő támogatás</t>
  </si>
  <si>
    <t>Közétkeztetést ellátó konyha fejlesztése Mezőtúron</t>
  </si>
  <si>
    <t>TOP-1.1.3-15-JN1-2016-00014</t>
  </si>
  <si>
    <t>Kedvezményezett:</t>
  </si>
  <si>
    <t xml:space="preserve">  </t>
  </si>
  <si>
    <t>Mezőtúr Városi Bölcsőde fejlesztése</t>
  </si>
  <si>
    <t>Kelet-nyugati kerékpárút megépítése Mezőtúron</t>
  </si>
  <si>
    <t>TOP-2.1.2-15-JN1-2016-00001</t>
  </si>
  <si>
    <t>062020 - Településfejlesztési projektek és támogatásuk</t>
  </si>
  <si>
    <t>2020. év</t>
  </si>
  <si>
    <t>Mezőtúr Város Önkormányzata
2017. évi  költségvetési bevételeinek forrásösszetétele</t>
  </si>
  <si>
    <t>Mezőtúr Város Önkormányzatának bevételei</t>
  </si>
  <si>
    <t>Gyermekek napközbeni ellátása</t>
  </si>
  <si>
    <t>Módosítás 1</t>
  </si>
  <si>
    <t>Teljesítés</t>
  </si>
  <si>
    <t>%</t>
  </si>
  <si>
    <t>J</t>
  </si>
  <si>
    <t>K</t>
  </si>
  <si>
    <t>L</t>
  </si>
  <si>
    <t>M</t>
  </si>
  <si>
    <t xml:space="preserve">Teljesítés </t>
  </si>
  <si>
    <t>Összesen teljesítés</t>
  </si>
  <si>
    <t>Összesen előirányzat</t>
  </si>
  <si>
    <t xml:space="preserve">2. </t>
  </si>
  <si>
    <t xml:space="preserve"> Egyéb felhalmozási célú kiadások</t>
  </si>
  <si>
    <t>Intézményi bevételek teljesítés ossz.</t>
  </si>
  <si>
    <t>Intézményi bevételek előir.s ossz.</t>
  </si>
  <si>
    <t>Intézmények és Önkormányzat bevételei mindöszesen intézményi támogatás halmozásának kiszűrésével TELJESÍTÉS</t>
  </si>
  <si>
    <t>Intézmények és Önkormányzat bevételei mindöszesen intézményi támogatás halmozásának kiszűrésével ELŐIRÁNYZAT</t>
  </si>
  <si>
    <t>IV.1.i</t>
  </si>
  <si>
    <t>A települési önkormányzatok könyvtári célú érdekeltségnövelő támogatása</t>
  </si>
  <si>
    <t>MKS Wing Chun Kung Fu egyesület</t>
  </si>
  <si>
    <t>Dr. Ecseki Teréz OEP finanszírozás átadása</t>
  </si>
  <si>
    <t>Egyéb váll. Egy. Felh. Támogatás INVICTUS</t>
  </si>
  <si>
    <t xml:space="preserve">Egyéb nonpr. Sz. támogatás </t>
  </si>
  <si>
    <t>Elektromos töltőállomás építése</t>
  </si>
  <si>
    <t>Felújítási kiadások összesen</t>
  </si>
  <si>
    <t>Start munkaprogram eszköz beszerzések</t>
  </si>
  <si>
    <t>TOP pályázatok</t>
  </si>
  <si>
    <t>ÁFA</t>
  </si>
  <si>
    <t>Egyéb gép felújítása</t>
  </si>
  <si>
    <t>Mechanikai stabilizáció</t>
  </si>
  <si>
    <t>Közterület rendj. Fennt.</t>
  </si>
  <si>
    <t>Gyermekvédelmi pénzb.és term. Kiad</t>
  </si>
  <si>
    <t>Mezőtúr Város Önkormányzatának
2017. évi bevételi és kiadási feldatonkénti megoszlása</t>
  </si>
  <si>
    <t>Önkorm és önk.hivatalok jogalkotó tev.</t>
  </si>
  <si>
    <t>Köztemető fenntartás</t>
  </si>
  <si>
    <t>Önkorm.vagyonnal való gazd</t>
  </si>
  <si>
    <t>Támog. Célú finansz.</t>
  </si>
  <si>
    <t>Komp és révközlekedés</t>
  </si>
  <si>
    <t>047320</t>
  </si>
  <si>
    <t>Ár év belvízvédelem</t>
  </si>
  <si>
    <t>Teleülésfejl.projektek tám.</t>
  </si>
  <si>
    <t>Zöldterület-kezelés</t>
  </si>
  <si>
    <t>Város és községgazdálkodás</t>
  </si>
  <si>
    <t>Sportlétesítmények működtetése</t>
  </si>
  <si>
    <t>Versenysport és utánpótl.</t>
  </si>
  <si>
    <t>Szabadidő park fürdő és strand</t>
  </si>
  <si>
    <t>Múzeumi gyüjtemény</t>
  </si>
  <si>
    <t>Múzeumi közmu. Közönségkapcs.</t>
  </si>
  <si>
    <t>Közműv.hagyományos köz.jut</t>
  </si>
  <si>
    <t>Televízió-műsor</t>
  </si>
  <si>
    <t>Civil szerv.műk.tám</t>
  </si>
  <si>
    <t>Köznev.int.5-8 évf.</t>
  </si>
  <si>
    <t>Gimn.és szakképz</t>
  </si>
  <si>
    <t>Gyermekétkeztetés</t>
  </si>
  <si>
    <t>Gyermekek böldődei ellátása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</si>
  <si>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</si>
  <si>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</si>
  <si>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</si>
  <si>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</si>
  <si>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</si>
  <si>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Egyéb tárgyi eszközök beszerzése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</si>
  <si>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</si>
  <si>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</si>
  <si>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</si>
  <si>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</si>
  <si>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</si>
  <si>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</si>
  <si>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</si>
  <si>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</si>
  <si>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</si>
  <si>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</si>
  <si>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</si>
  <si>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</si>
  <si>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 xml:space="preserve">TOP-3.1.1-15-JN1-2016-00003 </t>
  </si>
  <si>
    <t>Nem támogatott műszaki tartalom összesen:Önerő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</si>
  <si>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</si>
  <si>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</si>
  <si>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</si>
  <si>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</si>
  <si>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</si>
  <si>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</si>
  <si>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</si>
  <si>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</si>
  <si>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</si>
  <si>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</si>
  <si>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</si>
  <si>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</si>
  <si>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</si>
  <si>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</si>
  <si>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</si>
  <si>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Önkormányzati saját erő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</si>
  <si>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</si>
  <si>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</si>
  <si>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</si>
  <si>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</si>
  <si>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</si>
  <si>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</si>
  <si>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II.1.(3)2</t>
  </si>
  <si>
    <t>II.1. (5) 2</t>
  </si>
  <si>
    <t xml:space="preserve"> pedagógus szakképzettséggel rendelkező, óvodapedagógusok nevelő munkáját közvetlenül segítők pótlólagos támogatása</t>
  </si>
  <si>
    <t>Kiemelt áll. és önk. Rendezv</t>
  </si>
  <si>
    <t xml:space="preserve">Önk. elszámolása közp,. </t>
  </si>
  <si>
    <t>Hosszabb idejű közfog.</t>
  </si>
  <si>
    <t>Közfog.mintaprogram</t>
  </si>
  <si>
    <t>Út autópálya építés</t>
  </si>
  <si>
    <t>Város és előv. közúti szem.szállítás</t>
  </si>
  <si>
    <t>Közutak hidak üzem.fenntartása</t>
  </si>
  <si>
    <t>Turizmusfejlesztési támog. és tev.</t>
  </si>
  <si>
    <t>Nem veszélyes hulladék</t>
  </si>
  <si>
    <t>Veszélyes hulladék begyüjtés, száll.</t>
  </si>
  <si>
    <t>Szennyvízcsatorna kezelés</t>
  </si>
  <si>
    <t>Vízellátással kapcs.közmű</t>
  </si>
  <si>
    <t>Óvodai nev. Ellátás</t>
  </si>
  <si>
    <t>Köznev. Int 1-4 évf</t>
  </si>
  <si>
    <t>Alapfokú műv.</t>
  </si>
  <si>
    <t>Köznev.int.tan. lakhatása</t>
  </si>
  <si>
    <t>Szakképz.isk.tanulók</t>
  </si>
  <si>
    <t>Pedagógiai szakszolgálat</t>
  </si>
  <si>
    <t>Szociális étkeztetés</t>
  </si>
  <si>
    <t>Egy.szoc.pénzbeli ellátás</t>
  </si>
  <si>
    <t>Gyermekvédelmi pénzb.ellátás</t>
  </si>
  <si>
    <t>Foglalkoztatást előseg. Képzés</t>
  </si>
  <si>
    <t>Önkorm. funkcióra nem sorolh. Tev.</t>
  </si>
  <si>
    <t>Forgatási és befektetési</t>
  </si>
  <si>
    <t>Vállalkozási tevékenység</t>
  </si>
  <si>
    <t>Áh-n belüli megelőlegezés</t>
  </si>
  <si>
    <t>B814</t>
  </si>
  <si>
    <t>Lakáshozjutás támogatás</t>
  </si>
  <si>
    <t>Bevételi előirányzat</t>
  </si>
  <si>
    <t>Kiadási előirányzat</t>
  </si>
  <si>
    <t>Felhalmozás célú költségvetési bevételek összesen: (1.+...+3.)</t>
  </si>
  <si>
    <t>Felhalmozás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</si>
  <si>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</si>
  <si>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</si>
  <si>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</si>
  <si>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</si>
  <si>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ÁH-n belüli megelőlegezés</t>
  </si>
  <si>
    <t>ÖSSZESEN:</t>
  </si>
  <si>
    <t xml:space="preserve">Módosítás </t>
  </si>
  <si>
    <t xml:space="preserve">H </t>
  </si>
  <si>
    <t xml:space="preserve">Összeg </t>
  </si>
  <si>
    <t>Mezőtúr Város Önkormányzata költségvetési számla</t>
  </si>
  <si>
    <t>Környezetvédelmi alap elszámolási számla</t>
  </si>
  <si>
    <t>Építményadó beszedési számla</t>
  </si>
  <si>
    <t>Telekadó beszedési számla</t>
  </si>
  <si>
    <t>Magánszemélyek kommunális adója besz. számla</t>
  </si>
  <si>
    <t>Tartózkodás utáni idegenformgalmi adó besz. számla</t>
  </si>
  <si>
    <t>Építmény utáni idegenformgalmi adó besz. számla</t>
  </si>
  <si>
    <t>Hatósági eljárási illetékbeszedési számla</t>
  </si>
  <si>
    <t>Iparűzési adó beszedési számla</t>
  </si>
  <si>
    <t>Bírság számla</t>
  </si>
  <si>
    <t>Késedelmi pótlék számla</t>
  </si>
  <si>
    <t>Talajterhelési díj beszedési számla</t>
  </si>
  <si>
    <t>Idegen bevételek elszámolási számla</t>
  </si>
  <si>
    <t>Állami hozzájárulások számla</t>
  </si>
  <si>
    <t>Letéti számla</t>
  </si>
  <si>
    <t>Víziközmű elszámolási számla</t>
  </si>
  <si>
    <t>Termőföld bérbeadásából szárm. jöv.adó besz.számla</t>
  </si>
  <si>
    <t>Egyéb bevételek elszámolási számla</t>
  </si>
  <si>
    <t>Gépjárműadó beszedési számla</t>
  </si>
  <si>
    <t>Építési hatóság eljárási illeték beszedési számla</t>
  </si>
  <si>
    <t>Építési hatóság elszámolási számla</t>
  </si>
  <si>
    <t>Önkormányzat vállalkozási tevékenység elszámolási számla</t>
  </si>
  <si>
    <t>Mezőtúr Város Önkormányzata elkülönített számla</t>
  </si>
  <si>
    <t>Önkormányzat közfoglalkoztatási számla</t>
  </si>
  <si>
    <t>Mezőtúr Város Önkormányzata kártyaszámla</t>
  </si>
  <si>
    <t>Párlat magánfőzés átalányadó beszedési számla</t>
  </si>
  <si>
    <t>Ivóvíz-szennyvízvagyon elszámolási számla</t>
  </si>
  <si>
    <t xml:space="preserve">PH. Mezőtúr Munkáltatói lakásép. szla </t>
  </si>
  <si>
    <t>Önkormányzati pénztár</t>
  </si>
  <si>
    <t>Közfoglalkoztatási pénztár</t>
  </si>
  <si>
    <t>Mezőtúr Város Önkormányzata összesen</t>
  </si>
  <si>
    <t>Mezőtúri Móricz Zsigmond Városi Könyvtár</t>
  </si>
  <si>
    <t>Mezőtúri Móricz Zsigmond Városi Könyvtár-Közfoglalkoztatási szla</t>
  </si>
  <si>
    <t>Mezőtúri Móricz Zsigmond Városi Könyvtár összesen</t>
  </si>
  <si>
    <t>Mezőtúri Közös Önkormányzati Hivatal összesen</t>
  </si>
  <si>
    <t>Városi Összesen</t>
  </si>
  <si>
    <t>(adatok Ft-ban)</t>
  </si>
  <si>
    <t>FORRÁSOK</t>
  </si>
  <si>
    <t>Előző időszak</t>
  </si>
  <si>
    <t>Módosítások +/-</t>
  </si>
  <si>
    <t>Tárgyi időszak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</si>
  <si>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</si>
  <si>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</si>
  <si>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</si>
  <si>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</si>
  <si>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</si>
  <si>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</si>
  <si>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G) SAJÁT TŐKE (=G/I+…+G/VI) (=51=45+...+50)</t>
  </si>
  <si>
    <t>H/I Költségvetési évben esedékes kötelezettségek</t>
  </si>
  <si>
    <t>H/II Költségvetési évet követően esedékes kötelezettségek</t>
  </si>
  <si>
    <t>H/III Kötelezettség jellegű sajátos elszámolások</t>
  </si>
  <si>
    <t>H) KÖTELEZETTSÉGEK (=H/I+H/II+H/III) (55=52+53+54)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</si>
  <si>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</si>
  <si>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</si>
  <si>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</si>
  <si>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</si>
  <si>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 (60=57+...+59)</t>
  </si>
  <si>
    <t>FORRÁSOK ÖSSZESEN (=G+H+I+J) (=61=51+55+56+60)</t>
  </si>
  <si>
    <t>ESZKÖZÖK</t>
  </si>
  <si>
    <t>A/I/1 Vagyoni értékű jogok</t>
  </si>
  <si>
    <t>A/I/2 Szellemi termékek</t>
  </si>
  <si>
    <t>A/I/3 Immateriális javak értékhelyesbítése</t>
  </si>
  <si>
    <t>A/I  Immateriális javak (=A/I/1+A/I/2+A/I/3) (4=1+2+3)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</si>
  <si>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</si>
  <si>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</si>
  <si>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</si>
  <si>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</si>
  <si>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</si>
  <si>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(=A/II/1+...+A/II/5) (10=5+...+9)</t>
  </si>
  <si>
    <t xml:space="preserve">A/III/1 Tartós részesedések </t>
  </si>
  <si>
    <t>A/III/2 Tartós hitelviszonyt megtestesítő értékpapírok</t>
  </si>
  <si>
    <t>A/III/3 Befektetett pénzügyi eszközök értékhelyesbítése</t>
  </si>
  <si>
    <t>A/III Befektetett pénzügyi eszközök (=A/III/1+A/III/2+A/III/3) (14=11+12+13)</t>
  </si>
  <si>
    <t>A/IV/1 Koncesszióba, vagyonkezelésbe adott eszközök</t>
  </si>
  <si>
    <t>A/IV/2 Koncesszióba, vagyonkezelésbe adott eszközök értékhelyesbítése</t>
  </si>
  <si>
    <t>A/IV Koncesszióba, vagyonkezelésbe adott eszközök (=A/IV/1+A/IV/2) (17=15+16)</t>
  </si>
  <si>
    <t>A) NEMZETI VAGYONBA TARTOZÓ BEFEKTETETT ESZKÖZÖK (=A/I+A/II+A/III+A/IV) (18=4+10+14+17)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</si>
  <si>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</si>
  <si>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</si>
  <si>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</si>
  <si>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</si>
  <si>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</si>
  <si>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 Készletek (=B/I/1+…+B/I/5) (24=19+...+23)</t>
  </si>
  <si>
    <t>B/II/1 Nem tartós részesedések</t>
  </si>
  <si>
    <t>B/II/2 Forgatási célú hitelviszonyt megtestesítő értékpapírok</t>
  </si>
  <si>
    <t>B/II Értékpapírok (=B/II/1+B/II/2) (27=25+26)</t>
  </si>
  <si>
    <t>B) NEMZETI VAGYONBA TARTOZÓ FORGÓESZKÖZÖK (= B/I+B/II) (28=24+27)</t>
  </si>
  <si>
    <t>C/I Lekötött bankbetétek</t>
  </si>
  <si>
    <t>C/II Pénztárak, csekkek, betétkönyvek</t>
  </si>
  <si>
    <t>C/III Forintszámlák</t>
  </si>
  <si>
    <t>C/IV Devizaszámlák</t>
  </si>
  <si>
    <t>C) PÉNZESZKÖZÖK (=C/I+…+C/IV) (34=29+...+32)</t>
  </si>
  <si>
    <t>D/I Költségvetési évben esedékes követelések</t>
  </si>
  <si>
    <t>D/II Költségvetési évet követően esedékes követelések</t>
  </si>
  <si>
    <t>D/III Követelés jellegű sajátos elszámolások</t>
  </si>
  <si>
    <t>D) KÖVETELÉSEK (=D/I+D/II+D/III) (38=35+36+37)</t>
  </si>
  <si>
    <t>E/1 Előzetesen felszámított áfa elszámolása</t>
  </si>
  <si>
    <t>E/II Fizetendő áfa elszámolása</t>
  </si>
  <si>
    <t>E/III Egyéb sajátos eszközodali elszámolások</t>
  </si>
  <si>
    <t>E) EGYÉB SAJÁTOS ESZKÖZOLDALI ELSZÁMOLÁSOK</t>
  </si>
  <si>
    <t>F/1  Eredményszemléletű bevételek aktív időbeli elhatárolása</t>
  </si>
  <si>
    <t>F/2  Költségek, ráfordítások aktív időbeli elhatárolása</t>
  </si>
  <si>
    <t>F/3 Halasztott ráfordítások</t>
  </si>
  <si>
    <t>F) AKTÍV IDŐBELI ELHATÁROLÁSOK (=F/1+F/2+F/3) (43=40+...+43)</t>
  </si>
  <si>
    <t>ESZKÖZÖK ÖSSZESEN (=A+B+C+D+E+F) (44=18+28+34+38+39+43)</t>
  </si>
  <si>
    <t xml:space="preserve"> Mezőtúri Móricz Zsigmond Városi Könyvtár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</si>
  <si>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</si>
  <si>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</si>
  <si>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</si>
  <si>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</si>
  <si>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</si>
  <si>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</si>
  <si>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</si>
  <si>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</si>
  <si>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</si>
  <si>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</si>
  <si>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</si>
  <si>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</si>
  <si>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</si>
  <si>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</si>
  <si>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</si>
  <si>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</si>
  <si>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</si>
  <si>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</si>
  <si>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</si>
  <si>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</si>
  <si>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</si>
  <si>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</si>
  <si>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</si>
  <si>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</si>
  <si>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</si>
  <si>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</si>
  <si>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</si>
  <si>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</si>
  <si>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</si>
  <si>
    <t xml:space="preserve">Mezőtúr Város Önkormányzata 2017. évi záró pénzkészlete </t>
  </si>
  <si>
    <t>Mezőtúri Közös Önkormányzat Hivatal</t>
  </si>
  <si>
    <t>01 Közhatalmi eredményszemléletű bevételek</t>
  </si>
  <si>
    <t xml:space="preserve">02 Eszközök és szolgáltatások értékesítése nettó eredményszemléletű bevételei </t>
  </si>
  <si>
    <t>03 Tevékenységek egyéb nettó eredményszemléletű bevételei</t>
  </si>
  <si>
    <t>I. Tevékenységek nettó eredményszemléletű bevételei (=01+03)</t>
  </si>
  <si>
    <t>04 Saját termelésű készletek állományváltozása</t>
  </si>
  <si>
    <t>05 Saját előállítású eszközök aktivált értéke</t>
  </si>
  <si>
    <t xml:space="preserve">06 Központi működési célú támogatások eredményszemléletű bevételei </t>
  </si>
  <si>
    <t xml:space="preserve">07 Egyéb működési célú támogatások eredményszemléletű bevételei </t>
  </si>
  <si>
    <t>08 Felhalmozási célú támogatások eredményszemléletű bevételei</t>
  </si>
  <si>
    <t>09 Különféle egyéb eredményszemléletű bevételek</t>
  </si>
  <si>
    <t>III. Egyéb eredményszemléletű bevételek (06+09)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</si>
  <si>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</si>
  <si>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</si>
  <si>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</si>
  <si>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</si>
  <si>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IV. Anyagjellegű ráfordítások</t>
  </si>
  <si>
    <t>14 Bérköltség</t>
  </si>
  <si>
    <t>15 Személyi jellegű egyéb kifizetések</t>
  </si>
  <si>
    <t xml:space="preserve">16 Bérjárulékok </t>
  </si>
  <si>
    <t>V. Személyi jellegű ráfordítások</t>
  </si>
  <si>
    <t>VI. Értékcsökkenési leírás</t>
  </si>
  <si>
    <t>VII. Egyéb ráfordítások</t>
  </si>
  <si>
    <t>17 Kapott (járó) osztalék és részesedés</t>
  </si>
  <si>
    <t xml:space="preserve">18 Részesedésekből származó </t>
  </si>
  <si>
    <t>19 Befektetett pénzügyi eszközökből származó eredményszemléletű, árfolyamnyereségek</t>
  </si>
  <si>
    <t xml:space="preserve">20 Egyéb kapott (járó) kamatok és kamatjellegű eredményszemléletű bevételek </t>
  </si>
  <si>
    <t>21 Pénzügyi műveletek egyéb eredményszemléletű bevételei</t>
  </si>
  <si>
    <t>VIII. Pénzügyi műveletek eredményszemléletű bevételei (=17+18+19+20+21)</t>
  </si>
  <si>
    <t>22 Részesedésekből származó ráfordítások és árfolyamveszteségek</t>
  </si>
  <si>
    <t>23 Befektetett pénzügyi eszközökből származó ráfordítások, árfolyamveszteségek</t>
  </si>
  <si>
    <t>24 Fizetendő kamatok és kamatjellegű ráfordítások</t>
  </si>
  <si>
    <t>25 Részesedések, értékpapírok, pénzeszközök értékvesztése</t>
  </si>
  <si>
    <t xml:space="preserve">26 Pénzügyi műveletek egyéb ráfordításai </t>
  </si>
  <si>
    <t>IX Pénzügyi műveletek ráfordításai</t>
  </si>
  <si>
    <t>B) PÉNZÜGYI MŰVELETEK EREDMÉNYE (VIII-IX)</t>
  </si>
  <si>
    <r>
      <t>II Aktivált saját teljesítmények értéke (=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04+05)</t>
    </r>
  </si>
  <si>
    <r>
      <t>A) TEVÉKENYSÉGEK EREDMÉNYE  (I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II+III-IV-V-VI-VII)</t>
    </r>
  </si>
  <si>
    <r>
      <t xml:space="preserve">C) MÉRLEGSZERINTI EREDMÉNY (= 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A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B)</t>
    </r>
  </si>
  <si>
    <t>Mezőtúr Város Önkormányzata
2017. ÉVI ÖSSZEVONT EREDMÉNYKIMUTATÁSA</t>
  </si>
  <si>
    <t>Mezőtúr Város Önkormányzata 2017. évi összevont záró mérlege eszköz oldal</t>
  </si>
  <si>
    <t>TOP1.1.3-15JN1-2016-00014 Közétkeztetés</t>
  </si>
  <si>
    <t>TOP 2.1.3-JN1-2016-00022 Belterületi vízrendezés</t>
  </si>
  <si>
    <t>Névérték</t>
  </si>
  <si>
    <t>Mezőtúri Ipari Park Kft.</t>
  </si>
  <si>
    <t>Mezőtúri Intézményellátó és Ingatlankezelő Közhasznú Nonprofit Kft</t>
  </si>
  <si>
    <t>Mezőtúri Közművelődési és Sport  Közhasznú Nonprofit Kft</t>
  </si>
  <si>
    <t>Mezőtúri Városfejlesztési Kft</t>
  </si>
  <si>
    <t>Mezőtúr és Környéke Víz- és Csatornamű Kft.</t>
  </si>
  <si>
    <t>Alföld Thermál Hotel</t>
  </si>
  <si>
    <t>ELMIB</t>
  </si>
  <si>
    <t>Tisza Cipő Rt.</t>
  </si>
  <si>
    <t>ITALIAGRO KFT</t>
  </si>
  <si>
    <t>TRV</t>
  </si>
  <si>
    <t>OTP</t>
  </si>
  <si>
    <t>CIB Életbiztosítás</t>
  </si>
  <si>
    <t xml:space="preserve">Mezőtúr Város Önkormányzata részesedései a 2017.12.31-i állapot szerint </t>
  </si>
  <si>
    <t>TOP4.2.1-15-JN1-2016-00002 Szociális alap</t>
  </si>
  <si>
    <t>TOP 2.1.2-15-JN1-2016-00001 Zöldkapcsolat</t>
  </si>
  <si>
    <t>TOP 3.1.1-15-JN-2016-00003 K-Ny kerékpárút</t>
  </si>
  <si>
    <t xml:space="preserve">Közigazgatási bírság, közterület </t>
  </si>
  <si>
    <t>TOP 3.1.1-15-JN1-2016-00001 É-D kerékpárút</t>
  </si>
  <si>
    <t>TOP 1.2.1-15 Mezőtúr Városház és kpacs. Kult vonzerők</t>
  </si>
  <si>
    <t>TOP 3.2.1-15-JN1-2016-00006 Me Uniós fejlesztés</t>
  </si>
  <si>
    <t xml:space="preserve">TOP 3.2.1-15-JN1-2016-00010 </t>
  </si>
  <si>
    <t>TOP 5.2.1-15-JN1-2016-00001</t>
  </si>
  <si>
    <t>TOP 1.4.1-15-JN1-2016-00033 Bölcsőde fejlesztés</t>
  </si>
  <si>
    <t>Mezőtúri Város Önkormányzata
2017. ÉVI ÖSSZEVONT MARADVÁNYKIMUTATÁSA</t>
  </si>
  <si>
    <t>Mezőtúr Város Önkormányzata
2017. évi és további évekre áthúzódó beruházási és felújítási kiadások feladatonként</t>
  </si>
  <si>
    <t>Mezőtúr Város Önkormányzata
2017. évi előirányzat-felhasználási terve havi bontásban</t>
  </si>
  <si>
    <t>Városi összesen</t>
  </si>
  <si>
    <t xml:space="preserve">Részesedés mérlegértéke 
</t>
  </si>
  <si>
    <t>Mezőtúr Város Önkormányzata 2017 évi összevont záró mérlege forrás oldal</t>
  </si>
  <si>
    <t>2017. évi költelezettség teljesítése</t>
  </si>
  <si>
    <t xml:space="preserve">2017. évi költelezettség </t>
  </si>
  <si>
    <t>2017. év teljesítés</t>
  </si>
  <si>
    <t>bruttó</t>
  </si>
  <si>
    <t>nettó</t>
  </si>
  <si>
    <t>forgalomképes szellemi termék</t>
  </si>
  <si>
    <t>korlátozottan forgalomképes szellemi termék</t>
  </si>
  <si>
    <t>Törzsvagyon</t>
  </si>
  <si>
    <t>Forgalomképes vagyon</t>
  </si>
  <si>
    <t>forgalomképtelen vagyon</t>
  </si>
  <si>
    <t xml:space="preserve"> korlátozottan forgalomképes </t>
  </si>
  <si>
    <t xml:space="preserve"> forgalomképes </t>
  </si>
  <si>
    <t>Ivóvízbekötések lakosoknak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</si>
</sst>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  <numFmt numFmtId="168" formatCode="#,##0_ ;\-#,##0\ "/>
    <numFmt numFmtId="169" formatCode="#,##0\ _F_t"/>
  </numFmts>
  <fonts count="1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sz val="10"/>
      <color theme="1"/>
      <name val="Times New Roman CE"/>
      <charset val="238"/>
    </font>
    <font>
      <i/>
      <sz val="10"/>
      <color theme="1"/>
      <name val="Times New Roman CE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0"/>
      <color rgb="FF000000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0">
    <xf numFmtId="0" fontId="0" fillId="0" borderId="0"/>
    <xf numFmtId="0" fontId="8" fillId="0" borderId="0"/>
    <xf numFmtId="0" fontId="22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3" fillId="3" borderId="0" applyNumberFormat="0" applyBorder="0" applyAlignment="0" applyProtection="0"/>
    <xf numFmtId="0" fontId="34" fillId="20" borderId="15" applyNumberFormat="0" applyAlignment="0" applyProtection="0"/>
    <xf numFmtId="0" fontId="35" fillId="21" borderId="16" applyNumberFormat="0" applyAlignment="0" applyProtection="0"/>
    <xf numFmtId="0" fontId="36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9" fillId="4" borderId="0" applyNumberFormat="0" applyBorder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7" borderId="15" applyNumberFormat="0" applyAlignment="0" applyProtection="0"/>
    <xf numFmtId="0" fontId="44" fillId="0" borderId="20" applyNumberFormat="0" applyFill="0" applyAlignment="0" applyProtection="0"/>
    <xf numFmtId="0" fontId="45" fillId="22" borderId="0" applyNumberFormat="0" applyBorder="0" applyAlignment="0" applyProtection="0"/>
    <xf numFmtId="0" fontId="38" fillId="0" borderId="0"/>
    <xf numFmtId="0" fontId="7" fillId="0" borderId="0"/>
    <xf numFmtId="0" fontId="7" fillId="0" borderId="0"/>
    <xf numFmtId="0" fontId="22" fillId="0" borderId="0"/>
    <xf numFmtId="0" fontId="38" fillId="0" borderId="0"/>
    <xf numFmtId="0" fontId="46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38" fillId="0" borderId="0"/>
    <xf numFmtId="0" fontId="7" fillId="0" borderId="0"/>
    <xf numFmtId="0" fontId="48" fillId="0" borderId="0"/>
    <xf numFmtId="0" fontId="46" fillId="0" borderId="0"/>
    <xf numFmtId="0" fontId="37" fillId="0" borderId="0"/>
    <xf numFmtId="0" fontId="38" fillId="0" borderId="0"/>
    <xf numFmtId="0" fontId="22" fillId="0" borderId="0"/>
    <xf numFmtId="0" fontId="12" fillId="0" borderId="0"/>
    <xf numFmtId="0" fontId="49" fillId="0" borderId="0"/>
    <xf numFmtId="0" fontId="50" fillId="0" borderId="0"/>
    <xf numFmtId="0" fontId="49" fillId="0" borderId="0"/>
    <xf numFmtId="0" fontId="51" fillId="0" borderId="0"/>
    <xf numFmtId="0" fontId="31" fillId="23" borderId="21" applyNumberFormat="0" applyFont="0" applyAlignment="0" applyProtection="0"/>
    <xf numFmtId="0" fontId="52" fillId="20" borderId="22" applyNumberFormat="0" applyAlignment="0" applyProtection="0"/>
    <xf numFmtId="9" fontId="3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3" applyNumberFormat="0" applyFill="0" applyAlignment="0" applyProtection="0"/>
    <xf numFmtId="0" fontId="55" fillId="0" borderId="0" applyNumberFormat="0" applyFill="0" applyBorder="0" applyAlignment="0" applyProtection="0"/>
    <xf numFmtId="0" fontId="8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5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73" fillId="12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4" fillId="7" borderId="15" applyNumberFormat="0" applyAlignment="0" applyProtection="0"/>
    <xf numFmtId="0" fontId="75" fillId="0" borderId="0" applyNumberFormat="0" applyFill="0" applyBorder="0" applyAlignment="0" applyProtection="0"/>
    <xf numFmtId="0" fontId="76" fillId="0" borderId="17" applyNumberFormat="0" applyFill="0" applyAlignment="0" applyProtection="0"/>
    <xf numFmtId="0" fontId="77" fillId="0" borderId="18" applyNumberFormat="0" applyFill="0" applyAlignment="0" applyProtection="0"/>
    <xf numFmtId="0" fontId="78" fillId="0" borderId="19" applyNumberFormat="0" applyFill="0" applyAlignment="0" applyProtection="0"/>
    <xf numFmtId="0" fontId="78" fillId="0" borderId="0" applyNumberFormat="0" applyFill="0" applyBorder="0" applyAlignment="0" applyProtection="0"/>
    <xf numFmtId="0" fontId="79" fillId="21" borderId="16" applyNumberFormat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38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20" applyNumberFormat="0" applyFill="0" applyAlignment="0" applyProtection="0"/>
    <xf numFmtId="0" fontId="37" fillId="23" borderId="21" applyNumberFormat="0" applyFont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9" borderId="0" applyNumberFormat="0" applyBorder="0" applyAlignment="0" applyProtection="0"/>
    <xf numFmtId="0" fontId="83" fillId="4" borderId="0" applyNumberFormat="0" applyBorder="0" applyAlignment="0" applyProtection="0"/>
    <xf numFmtId="0" fontId="84" fillId="20" borderId="22" applyNumberFormat="0" applyAlignment="0" applyProtection="0"/>
    <xf numFmtId="0" fontId="85" fillId="0" borderId="0" applyNumberFormat="0" applyFill="0" applyBorder="0" applyAlignment="0" applyProtection="0"/>
    <xf numFmtId="0" fontId="38" fillId="0" borderId="0"/>
    <xf numFmtId="0" fontId="38" fillId="0" borderId="0"/>
    <xf numFmtId="0" fontId="8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17" fillId="0" borderId="0"/>
    <xf numFmtId="0" fontId="38" fillId="0" borderId="0"/>
    <xf numFmtId="0" fontId="38" fillId="0" borderId="0"/>
    <xf numFmtId="0" fontId="17" fillId="0" borderId="0"/>
    <xf numFmtId="0" fontId="5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50" fillId="0" borderId="0"/>
    <xf numFmtId="0" fontId="17" fillId="0" borderId="0"/>
    <xf numFmtId="0" fontId="38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17" fillId="0" borderId="0"/>
    <xf numFmtId="0" fontId="22" fillId="0" borderId="0"/>
    <xf numFmtId="0" fontId="17" fillId="0" borderId="0"/>
    <xf numFmtId="0" fontId="87" fillId="0" borderId="23" applyNumberFormat="0" applyFill="0" applyAlignment="0" applyProtection="0"/>
    <xf numFmtId="44" fontId="12" fillId="0" borderId="0" applyFont="0" applyFill="0" applyBorder="0" applyAlignment="0" applyProtection="0"/>
    <xf numFmtId="0" fontId="88" fillId="3" borderId="0" applyNumberFormat="0" applyBorder="0" applyAlignment="0" applyProtection="0"/>
    <xf numFmtId="0" fontId="89" fillId="22" borderId="0" applyNumberFormat="0" applyBorder="0" applyAlignment="0" applyProtection="0"/>
    <xf numFmtId="0" fontId="86" fillId="0" borderId="0"/>
    <xf numFmtId="0" fontId="90" fillId="20" borderId="15" applyNumberFormat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22" fillId="0" borderId="0"/>
    <xf numFmtId="0" fontId="3" fillId="0" borderId="0"/>
    <xf numFmtId="0" fontId="31" fillId="0" borderId="0"/>
    <xf numFmtId="43" fontId="31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34" fillId="20" borderId="71" applyNumberFormat="0" applyAlignment="0" applyProtection="0"/>
    <xf numFmtId="0" fontId="1" fillId="0" borderId="0"/>
    <xf numFmtId="0" fontId="1" fillId="0" borderId="0"/>
    <xf numFmtId="0" fontId="43" fillId="7" borderId="71" applyNumberFormat="0" applyAlignment="0" applyProtection="0"/>
    <xf numFmtId="0" fontId="127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3" borderId="72" applyNumberFormat="0" applyFont="0" applyAlignment="0" applyProtection="0"/>
    <xf numFmtId="0" fontId="52" fillId="20" borderId="73" applyNumberFormat="0" applyAlignment="0" applyProtection="0"/>
    <xf numFmtId="0" fontId="54" fillId="0" borderId="74" applyNumberFormat="0" applyFill="0" applyAlignment="0" applyProtection="0"/>
  </cellStyleXfs>
  <cellXfs count="1134">
    <xf numFmtId="0" fontId="0" fillId="0" borderId="0" xfId="0"/>
    <xf numFmtId="0" fontId="8" fillId="0" borderId="0" xfId="1" applyFill="1" applyProtection="1"/>
    <xf numFmtId="164" fontId="11" fillId="0" borderId="0" xfId="1" applyNumberFormat="1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right" vertical="center"/>
    </xf>
    <xf numFmtId="0" fontId="15" fillId="0" borderId="0" xfId="1" applyFont="1" applyFill="1" applyProtection="1"/>
    <xf numFmtId="0" fontId="16" fillId="0" borderId="0" xfId="1" applyFont="1" applyFill="1" applyProtection="1"/>
    <xf numFmtId="0" fontId="8" fillId="0" borderId="0" xfId="1" applyFill="1" applyAlignment="1" applyProtection="1"/>
    <xf numFmtId="0" fontId="25" fillId="0" borderId="0" xfId="1" applyFont="1" applyFill="1" applyProtection="1"/>
    <xf numFmtId="0" fontId="8" fillId="0" borderId="0" xfId="1" applyFont="1" applyFill="1" applyProtection="1"/>
    <xf numFmtId="0" fontId="8" fillId="0" borderId="0" xfId="1" applyFont="1" applyFill="1" applyAlignment="1" applyProtection="1">
      <alignment horizontal="right" vertical="center" indent="1"/>
    </xf>
    <xf numFmtId="0" fontId="23" fillId="0" borderId="0" xfId="0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right"/>
    </xf>
    <xf numFmtId="164" fontId="14" fillId="0" borderId="0" xfId="0" applyNumberFormat="1" applyFont="1" applyFill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vertical="center" wrapText="1"/>
    </xf>
    <xf numFmtId="164" fontId="30" fillId="0" borderId="0" xfId="0" applyNumberFormat="1" applyFont="1" applyFill="1" applyAlignment="1" applyProtection="1">
      <alignment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0" xfId="0" applyNumberFormat="1" applyFont="1" applyFill="1" applyAlignment="1" applyProtection="1">
      <alignment vertical="center" wrapText="1"/>
    </xf>
    <xf numFmtId="0" fontId="17" fillId="0" borderId="0" xfId="51" applyFont="1" applyAlignment="1">
      <alignment horizontal="center"/>
    </xf>
    <xf numFmtId="0" fontId="17" fillId="0" borderId="0" xfId="51" applyFont="1"/>
    <xf numFmtId="0" fontId="57" fillId="0" borderId="0" xfId="51" applyFont="1"/>
    <xf numFmtId="3" fontId="17" fillId="0" borderId="0" xfId="51" applyNumberFormat="1" applyFont="1"/>
    <xf numFmtId="3" fontId="21" fillId="0" borderId="0" xfId="51" applyNumberFormat="1" applyFont="1"/>
    <xf numFmtId="0" fontId="21" fillId="0" borderId="0" xfId="51" applyFont="1"/>
    <xf numFmtId="0" fontId="21" fillId="0" borderId="0" xfId="51" applyFont="1" applyAlignment="1">
      <alignment horizontal="center" vertical="center"/>
    </xf>
    <xf numFmtId="0" fontId="63" fillId="0" borderId="0" xfId="48" applyFont="1"/>
    <xf numFmtId="0" fontId="68" fillId="0" borderId="0" xfId="48" applyFont="1"/>
    <xf numFmtId="166" fontId="68" fillId="0" borderId="0" xfId="35" applyNumberFormat="1" applyFont="1"/>
    <xf numFmtId="0" fontId="68" fillId="0" borderId="0" xfId="48" applyFont="1" applyBorder="1"/>
    <xf numFmtId="166" fontId="68" fillId="0" borderId="0" xfId="35" applyNumberFormat="1" applyFont="1" applyBorder="1"/>
    <xf numFmtId="164" fontId="71" fillId="0" borderId="0" xfId="1" applyNumberFormat="1" applyFont="1" applyFill="1" applyBorder="1" applyAlignment="1" applyProtection="1">
      <alignment horizontal="centerContinuous" vertical="center"/>
    </xf>
    <xf numFmtId="0" fontId="50" fillId="0" borderId="0" xfId="0" applyFont="1"/>
    <xf numFmtId="0" fontId="50" fillId="0" borderId="0" xfId="0" applyFont="1" applyBorder="1"/>
    <xf numFmtId="164" fontId="21" fillId="0" borderId="0" xfId="67" applyNumberFormat="1" applyFont="1" applyFill="1" applyBorder="1" applyAlignment="1">
      <alignment vertical="center"/>
    </xf>
    <xf numFmtId="164" fontId="21" fillId="0" borderId="0" xfId="67" applyNumberFormat="1" applyFont="1" applyBorder="1" applyAlignment="1">
      <alignment horizontal="center" vertical="center" wrapText="1"/>
    </xf>
    <xf numFmtId="164" fontId="17" fillId="0" borderId="0" xfId="67" applyNumberFormat="1" applyFont="1" applyBorder="1" applyAlignment="1">
      <alignment horizontal="center" vertical="center" wrapText="1"/>
    </xf>
    <xf numFmtId="164" fontId="62" fillId="0" borderId="0" xfId="67" applyNumberFormat="1" applyFont="1" applyBorder="1" applyAlignment="1">
      <alignment vertical="center"/>
    </xf>
    <xf numFmtId="164" fontId="21" fillId="0" borderId="0" xfId="67" applyNumberFormat="1" applyFont="1" applyBorder="1" applyAlignment="1">
      <alignment vertical="center" wrapText="1"/>
    </xf>
    <xf numFmtId="0" fontId="66" fillId="0" borderId="0" xfId="0" applyFont="1" applyAlignment="1">
      <alignment vertical="center" wrapText="1"/>
    </xf>
    <xf numFmtId="164" fontId="67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3" fillId="0" borderId="0" xfId="0" applyNumberFormat="1" applyFont="1" applyFill="1" applyBorder="1" applyAlignment="1" applyProtection="1">
      <alignment vertical="center"/>
    </xf>
    <xf numFmtId="3" fontId="94" fillId="0" borderId="0" xfId="0" applyNumberFormat="1" applyFont="1" applyFill="1" applyBorder="1" applyAlignment="1" applyProtection="1">
      <alignment vertical="center"/>
    </xf>
    <xf numFmtId="0" fontId="24" fillId="0" borderId="0" xfId="0" applyFont="1" applyBorder="1"/>
    <xf numFmtId="164" fontId="60" fillId="0" borderId="0" xfId="161" applyNumberFormat="1" applyFont="1" applyFill="1" applyBorder="1" applyAlignment="1" applyProtection="1">
      <alignment horizontal="center" vertical="center"/>
    </xf>
    <xf numFmtId="164" fontId="70" fillId="0" borderId="0" xfId="161" applyNumberFormat="1" applyFont="1" applyFill="1" applyBorder="1" applyAlignment="1" applyProtection="1">
      <alignment vertical="center"/>
    </xf>
    <xf numFmtId="164" fontId="70" fillId="0" borderId="0" xfId="161" applyNumberFormat="1" applyFont="1" applyFill="1" applyBorder="1" applyAlignment="1" applyProtection="1">
      <alignment horizontal="center" vertical="center"/>
    </xf>
    <xf numFmtId="164" fontId="70" fillId="0" borderId="0" xfId="0" applyNumberFormat="1" applyFont="1" applyFill="1" applyBorder="1" applyAlignment="1">
      <alignment horizontal="center" vertical="center"/>
    </xf>
    <xf numFmtId="164" fontId="70" fillId="0" borderId="0" xfId="159" applyNumberFormat="1" applyFont="1" applyBorder="1" applyAlignment="1">
      <alignment horizontal="center" vertical="center"/>
    </xf>
    <xf numFmtId="164" fontId="70" fillId="0" borderId="0" xfId="161" applyNumberFormat="1" applyFont="1" applyFill="1" applyBorder="1" applyAlignment="1" applyProtection="1">
      <alignment horizontal="left" vertical="center" indent="1"/>
    </xf>
    <xf numFmtId="164" fontId="70" fillId="0" borderId="0" xfId="161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/>
    <xf numFmtId="0" fontId="56" fillId="0" borderId="0" xfId="0" applyFont="1" applyBorder="1"/>
    <xf numFmtId="164" fontId="17" fillId="0" borderId="0" xfId="161" applyNumberFormat="1" applyFont="1" applyFill="1" applyBorder="1" applyAlignment="1" applyProtection="1">
      <alignment horizontal="center" vertical="center" wrapText="1"/>
    </xf>
    <xf numFmtId="164" fontId="19" fillId="0" borderId="0" xfId="159" applyNumberFormat="1" applyFont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164" fontId="19" fillId="0" borderId="0" xfId="159" applyNumberFormat="1" applyFont="1" applyBorder="1" applyAlignment="1">
      <alignment vertical="center" wrapText="1"/>
    </xf>
    <xf numFmtId="164" fontId="19" fillId="0" borderId="0" xfId="161" applyNumberFormat="1" applyFont="1" applyFill="1" applyBorder="1" applyAlignment="1" applyProtection="1">
      <alignment vertical="center" wrapText="1"/>
    </xf>
    <xf numFmtId="164" fontId="19" fillId="0" borderId="0" xfId="159" applyNumberFormat="1" applyFont="1" applyBorder="1" applyAlignment="1">
      <alignment horizontal="center" vertical="center" wrapText="1"/>
    </xf>
    <xf numFmtId="164" fontId="60" fillId="0" borderId="0" xfId="161" applyNumberFormat="1" applyFont="1" applyFill="1" applyBorder="1" applyAlignment="1" applyProtection="1">
      <alignment horizontal="center" vertical="center" wrapText="1"/>
    </xf>
    <xf numFmtId="164" fontId="70" fillId="0" borderId="0" xfId="159" applyNumberFormat="1" applyFont="1" applyBorder="1" applyAlignment="1">
      <alignment vertical="center" wrapText="1"/>
    </xf>
    <xf numFmtId="164" fontId="70" fillId="0" borderId="0" xfId="161" applyNumberFormat="1" applyFont="1" applyFill="1" applyBorder="1" applyAlignment="1" applyProtection="1">
      <alignment vertical="center" wrapText="1"/>
    </xf>
    <xf numFmtId="164" fontId="70" fillId="0" borderId="0" xfId="159" applyNumberFormat="1" applyFont="1" applyBorder="1" applyAlignment="1">
      <alignment horizontal="center" vertical="center" wrapText="1"/>
    </xf>
    <xf numFmtId="164" fontId="70" fillId="0" borderId="0" xfId="159" applyNumberFormat="1" applyFont="1" applyFill="1" applyBorder="1" applyAlignment="1">
      <alignment horizontal="center" vertical="center"/>
    </xf>
    <xf numFmtId="0" fontId="24" fillId="0" borderId="0" xfId="0" applyFont="1" applyFill="1" applyBorder="1"/>
    <xf numFmtId="0" fontId="0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2" xfId="0" applyFont="1" applyBorder="1" applyAlignment="1">
      <alignment horizontal="right"/>
    </xf>
    <xf numFmtId="0" fontId="10" fillId="0" borderId="0" xfId="0" applyFont="1" applyFill="1" applyAlignment="1">
      <alignment vertical="center"/>
    </xf>
    <xf numFmtId="0" fontId="97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/>
    </xf>
    <xf numFmtId="0" fontId="14" fillId="0" borderId="0" xfId="0" applyFont="1" applyFill="1" applyAlignment="1">
      <alignment vertical="center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72" fillId="0" borderId="0" xfId="0" applyFont="1" applyFill="1" applyAlignment="1">
      <alignment vertical="center" wrapText="1"/>
    </xf>
    <xf numFmtId="0" fontId="101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0" fontId="18" fillId="0" borderId="13" xfId="1" applyFont="1" applyFill="1" applyBorder="1" applyAlignment="1" applyProtection="1">
      <alignment horizontal="left" vertical="center" wrapText="1"/>
    </xf>
    <xf numFmtId="164" fontId="18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3" xfId="1" applyNumberFormat="1" applyFont="1" applyFill="1" applyBorder="1" applyAlignment="1" applyProtection="1">
      <alignment horizontal="right" vertical="center" wrapText="1"/>
    </xf>
    <xf numFmtId="0" fontId="18" fillId="0" borderId="13" xfId="1" applyFont="1" applyFill="1" applyBorder="1" applyAlignment="1" applyProtection="1">
      <alignment horizontal="center" vertical="center" wrapText="1"/>
    </xf>
    <xf numFmtId="0" fontId="100" fillId="0" borderId="0" xfId="0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left" vertical="center" wrapText="1"/>
    </xf>
    <xf numFmtId="0" fontId="18" fillId="0" borderId="0" xfId="1" applyFont="1" applyFill="1" applyBorder="1" applyAlignment="1" applyProtection="1">
      <alignment horizontal="center" vertical="center" wrapText="1"/>
    </xf>
    <xf numFmtId="164" fontId="18" fillId="0" borderId="0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8" fillId="0" borderId="13" xfId="1" applyNumberFormat="1" applyFont="1" applyFill="1" applyBorder="1" applyAlignment="1" applyProtection="1">
      <alignment horizontal="center" vertical="center" wrapText="1"/>
    </xf>
    <xf numFmtId="0" fontId="18" fillId="0" borderId="13" xfId="1" applyFont="1" applyFill="1" applyBorder="1" applyAlignment="1" applyProtection="1">
      <alignment horizontal="left" vertical="center" wrapText="1" indent="1"/>
    </xf>
    <xf numFmtId="164" fontId="18" fillId="0" borderId="13" xfId="1" applyNumberFormat="1" applyFont="1" applyFill="1" applyBorder="1" applyAlignment="1" applyProtection="1">
      <alignment vertical="center" wrapText="1"/>
    </xf>
    <xf numFmtId="49" fontId="93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 indent="1"/>
    </xf>
    <xf numFmtId="164" fontId="9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1" fillId="0" borderId="0" xfId="1" applyNumberFormat="1" applyFont="1" applyFill="1" applyBorder="1" applyAlignment="1" applyProtection="1">
      <alignment horizontal="left" vertical="center"/>
    </xf>
    <xf numFmtId="0" fontId="8" fillId="0" borderId="0" xfId="171" applyFill="1" applyProtection="1">
      <protection locked="0"/>
    </xf>
    <xf numFmtId="0" fontId="8" fillId="0" borderId="0" xfId="171" applyFill="1" applyProtection="1"/>
    <xf numFmtId="0" fontId="102" fillId="0" borderId="0" xfId="171" applyFont="1" applyFill="1" applyProtection="1">
      <protection locked="0"/>
    </xf>
    <xf numFmtId="0" fontId="24" fillId="0" borderId="0" xfId="0" applyFont="1" applyFill="1" applyAlignment="1">
      <alignment horizontal="right"/>
    </xf>
    <xf numFmtId="0" fontId="8" fillId="0" borderId="0" xfId="171" applyFill="1" applyAlignment="1" applyProtection="1">
      <alignment vertical="center"/>
    </xf>
    <xf numFmtId="0" fontId="8" fillId="0" borderId="0" xfId="171" applyFill="1" applyAlignment="1" applyProtection="1">
      <alignment vertical="center"/>
      <protection locked="0"/>
    </xf>
    <xf numFmtId="0" fontId="16" fillId="0" borderId="0" xfId="171" applyFont="1" applyFill="1" applyProtection="1"/>
    <xf numFmtId="0" fontId="100" fillId="0" borderId="0" xfId="171" applyFont="1" applyFill="1" applyProtection="1">
      <protection locked="0"/>
    </xf>
    <xf numFmtId="0" fontId="25" fillId="0" borderId="0" xfId="171" applyFont="1" applyFill="1" applyProtection="1">
      <protection locked="0"/>
    </xf>
    <xf numFmtId="0" fontId="63" fillId="0" borderId="0" xfId="172" applyFont="1"/>
    <xf numFmtId="0" fontId="62" fillId="0" borderId="0" xfId="172" applyFont="1" applyAlignment="1">
      <alignment horizontal="center" wrapText="1"/>
    </xf>
    <xf numFmtId="0" fontId="60" fillId="0" borderId="0" xfId="172" applyFont="1"/>
    <xf numFmtId="0" fontId="104" fillId="0" borderId="0" xfId="172" applyFont="1" applyAlignment="1">
      <alignment horizontal="center" vertical="center" wrapText="1"/>
    </xf>
    <xf numFmtId="0" fontId="105" fillId="0" borderId="0" xfId="172" applyFont="1"/>
    <xf numFmtId="0" fontId="106" fillId="0" borderId="0" xfId="172" applyFont="1" applyAlignment="1">
      <alignment horizontal="center" vertical="center" wrapText="1"/>
    </xf>
    <xf numFmtId="0" fontId="106" fillId="0" borderId="0" xfId="172" applyFont="1"/>
    <xf numFmtId="0" fontId="62" fillId="24" borderId="13" xfId="172" applyFont="1" applyFill="1" applyBorder="1" applyAlignment="1">
      <alignment horizontal="center" vertical="center"/>
    </xf>
    <xf numFmtId="0" fontId="104" fillId="0" borderId="0" xfId="172" applyFont="1" applyAlignment="1">
      <alignment horizontal="center" vertical="center"/>
    </xf>
    <xf numFmtId="0" fontId="63" fillId="0" borderId="0" xfId="173" applyFont="1"/>
    <xf numFmtId="0" fontId="63" fillId="0" borderId="0" xfId="173" applyFont="1" applyAlignment="1">
      <alignment horizontal="center"/>
    </xf>
    <xf numFmtId="0" fontId="63" fillId="0" borderId="0" xfId="173" applyFont="1" applyFill="1" applyBorder="1" applyAlignment="1">
      <alignment horizontal="right"/>
    </xf>
    <xf numFmtId="0" fontId="63" fillId="0" borderId="0" xfId="173" applyFont="1" applyAlignment="1">
      <alignment vertical="center"/>
    </xf>
    <xf numFmtId="0" fontId="63" fillId="0" borderId="0" xfId="173" applyFont="1" applyBorder="1" applyAlignment="1">
      <alignment horizontal="center"/>
    </xf>
    <xf numFmtId="0" fontId="63" fillId="0" borderId="0" xfId="173" applyFont="1" applyBorder="1"/>
    <xf numFmtId="0" fontId="108" fillId="0" borderId="0" xfId="173" applyFont="1" applyFill="1" applyBorder="1" applyAlignment="1">
      <alignment horizontal="right"/>
    </xf>
    <xf numFmtId="0" fontId="63" fillId="0" borderId="0" xfId="173" applyFont="1" applyAlignment="1">
      <alignment horizontal="center" vertical="center"/>
    </xf>
    <xf numFmtId="0" fontId="104" fillId="0" borderId="0" xfId="173" applyFont="1"/>
    <xf numFmtId="0" fontId="63" fillId="0" borderId="0" xfId="173" applyFont="1" applyFill="1" applyBorder="1"/>
    <xf numFmtId="3" fontId="63" fillId="0" borderId="0" xfId="173" applyNumberFormat="1" applyFont="1"/>
    <xf numFmtId="0" fontId="107" fillId="0" borderId="28" xfId="173" applyFont="1" applyBorder="1" applyAlignment="1"/>
    <xf numFmtId="0" fontId="107" fillId="0" borderId="0" xfId="173" applyFont="1" applyBorder="1" applyAlignment="1"/>
    <xf numFmtId="0" fontId="63" fillId="0" borderId="0" xfId="173" applyFont="1" applyFill="1"/>
    <xf numFmtId="0" fontId="0" fillId="0" borderId="0" xfId="0" applyFill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Alignment="1" applyProtection="1">
      <alignment horizontal="right" vertical="center" wrapText="1" indent="1"/>
    </xf>
    <xf numFmtId="164" fontId="93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Protection="1"/>
    <xf numFmtId="0" fontId="64" fillId="0" borderId="0" xfId="174" applyFont="1" applyFill="1" applyBorder="1" applyAlignment="1">
      <alignment horizontal="center" vertical="center" wrapText="1"/>
    </xf>
    <xf numFmtId="0" fontId="50" fillId="0" borderId="0" xfId="174" applyFont="1" applyFill="1" applyBorder="1" applyAlignment="1">
      <alignment horizontal="center" vertical="center" wrapText="1"/>
    </xf>
    <xf numFmtId="0" fontId="67" fillId="0" borderId="0" xfId="174" applyFont="1" applyFill="1" applyBorder="1" applyAlignment="1">
      <alignment horizontal="right" vertical="center" wrapText="1"/>
    </xf>
    <xf numFmtId="164" fontId="8" fillId="0" borderId="0" xfId="1" applyNumberFormat="1" applyFont="1" applyFill="1" applyAlignment="1" applyProtection="1">
      <alignment horizontal="right" vertical="center" indent="1"/>
    </xf>
    <xf numFmtId="164" fontId="17" fillId="0" borderId="0" xfId="0" applyNumberFormat="1" applyFont="1" applyFill="1" applyAlignment="1">
      <alignment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21" fillId="0" borderId="0" xfId="160" applyNumberFormat="1" applyFont="1" applyFill="1" applyBorder="1" applyAlignment="1">
      <alignment horizontal="right" vertical="center" wrapText="1"/>
    </xf>
    <xf numFmtId="164" fontId="71" fillId="0" borderId="0" xfId="1" applyNumberFormat="1" applyFont="1" applyFill="1" applyBorder="1" applyAlignment="1" applyProtection="1">
      <alignment horizontal="center" vertical="center" wrapText="1"/>
    </xf>
    <xf numFmtId="0" fontId="104" fillId="0" borderId="0" xfId="175" applyFont="1"/>
    <xf numFmtId="0" fontId="63" fillId="0" borderId="0" xfId="175" applyFont="1"/>
    <xf numFmtId="0" fontId="31" fillId="0" borderId="0" xfId="176"/>
    <xf numFmtId="166" fontId="71" fillId="0" borderId="0" xfId="177" applyNumberFormat="1" applyFont="1" applyFill="1" applyBorder="1" applyAlignment="1" applyProtection="1">
      <alignment horizontal="centerContinuous" vertical="center"/>
    </xf>
    <xf numFmtId="0" fontId="31" fillId="0" borderId="0" xfId="176" applyAlignment="1">
      <alignment vertical="center"/>
    </xf>
    <xf numFmtId="0" fontId="29" fillId="0" borderId="0" xfId="1" applyFont="1" applyFill="1" applyBorder="1" applyAlignment="1" applyProtection="1">
      <alignment horizontal="center" vertical="center" wrapText="1"/>
    </xf>
    <xf numFmtId="0" fontId="31" fillId="0" borderId="0" xfId="176" applyAlignment="1">
      <alignment horizontal="center"/>
    </xf>
    <xf numFmtId="0" fontId="37" fillId="0" borderId="0" xfId="176" applyFont="1" applyAlignment="1">
      <alignment horizontal="justify" vertical="center"/>
    </xf>
    <xf numFmtId="166" fontId="31" fillId="0" borderId="0" xfId="176" applyNumberFormat="1"/>
    <xf numFmtId="166" fontId="0" fillId="0" borderId="0" xfId="177" applyNumberFormat="1" applyFont="1"/>
    <xf numFmtId="166" fontId="94" fillId="0" borderId="0" xfId="177" applyNumberFormat="1" applyFont="1" applyFill="1" applyBorder="1" applyAlignment="1" applyProtection="1">
      <alignment horizontal="right"/>
    </xf>
    <xf numFmtId="0" fontId="17" fillId="0" borderId="0" xfId="178" applyFont="1"/>
    <xf numFmtId="0" fontId="17" fillId="0" borderId="0" xfId="178" applyFont="1" applyAlignment="1">
      <alignment vertical="center"/>
    </xf>
    <xf numFmtId="3" fontId="21" fillId="0" borderId="0" xfId="178" applyNumberFormat="1" applyFont="1" applyFill="1" applyBorder="1" applyAlignment="1">
      <alignment vertical="center"/>
    </xf>
    <xf numFmtId="0" fontId="21" fillId="0" borderId="0" xfId="178" applyFont="1" applyFill="1" applyAlignment="1">
      <alignment vertical="center"/>
    </xf>
    <xf numFmtId="0" fontId="17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7" fillId="0" borderId="0" xfId="178" applyFont="1" applyFill="1" applyAlignment="1">
      <alignment vertical="center"/>
    </xf>
    <xf numFmtId="0" fontId="21" fillId="0" borderId="0" xfId="178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0" fontId="62" fillId="0" borderId="13" xfId="172" applyFont="1" applyBorder="1" applyAlignment="1">
      <alignment horizontal="left" vertical="center"/>
    </xf>
    <xf numFmtId="0" fontId="105" fillId="0" borderId="0" xfId="175" applyFont="1" applyAlignment="1">
      <alignment horizontal="right"/>
    </xf>
    <xf numFmtId="0" fontId="17" fillId="0" borderId="0" xfId="178" applyFont="1" applyAlignment="1">
      <alignment horizontal="center"/>
    </xf>
    <xf numFmtId="0" fontId="21" fillId="0" borderId="0" xfId="178" applyFont="1" applyAlignment="1">
      <alignment horizontal="center" vertical="center" wrapText="1"/>
    </xf>
    <xf numFmtId="0" fontId="50" fillId="0" borderId="0" xfId="178" applyFont="1" applyBorder="1" applyAlignment="1">
      <alignment horizontal="center" vertical="center"/>
    </xf>
    <xf numFmtId="0" fontId="17" fillId="0" borderId="0" xfId="178" applyFont="1" applyBorder="1" applyAlignment="1">
      <alignment vertical="center"/>
    </xf>
    <xf numFmtId="0" fontId="62" fillId="0" borderId="13" xfId="48" applyFont="1" applyBorder="1" applyAlignment="1">
      <alignment horizontal="center" vertical="center"/>
    </xf>
    <xf numFmtId="0" fontId="17" fillId="0" borderId="0" xfId="2" applyFont="1" applyBorder="1" applyAlignment="1">
      <alignment vertical="center" wrapText="1"/>
    </xf>
    <xf numFmtId="0" fontId="104" fillId="0" borderId="13" xfId="175" applyFont="1" applyBorder="1" applyAlignment="1">
      <alignment horizontal="center" vertical="center"/>
    </xf>
    <xf numFmtId="0" fontId="60" fillId="0" borderId="7" xfId="174" applyFont="1" applyFill="1" applyBorder="1" applyAlignment="1">
      <alignment horizontal="center" vertical="center" wrapText="1"/>
    </xf>
    <xf numFmtId="0" fontId="60" fillId="0" borderId="8" xfId="174" applyFont="1" applyFill="1" applyBorder="1" applyAlignment="1">
      <alignment horizontal="left" vertical="center" wrapText="1"/>
    </xf>
    <xf numFmtId="0" fontId="60" fillId="0" borderId="4" xfId="174" applyFont="1" applyFill="1" applyBorder="1" applyAlignment="1">
      <alignment horizontal="center" vertical="center" wrapText="1"/>
    </xf>
    <xf numFmtId="0" fontId="60" fillId="0" borderId="5" xfId="174" applyFont="1" applyFill="1" applyBorder="1" applyAlignment="1">
      <alignment horizontal="left" vertical="center" wrapText="1"/>
    </xf>
    <xf numFmtId="0" fontId="60" fillId="0" borderId="9" xfId="174" applyFont="1" applyFill="1" applyBorder="1" applyAlignment="1">
      <alignment horizontal="center" vertical="center"/>
    </xf>
    <xf numFmtId="0" fontId="60" fillId="0" borderId="30" xfId="174" applyFont="1" applyFill="1" applyBorder="1" applyAlignment="1">
      <alignment vertical="center" wrapText="1"/>
    </xf>
    <xf numFmtId="49" fontId="115" fillId="0" borderId="1" xfId="174" applyNumberFormat="1" applyFont="1" applyFill="1" applyBorder="1"/>
    <xf numFmtId="0" fontId="62" fillId="0" borderId="2" xfId="174" applyFont="1" applyFill="1" applyBorder="1" applyAlignment="1">
      <alignment vertical="center"/>
    </xf>
    <xf numFmtId="0" fontId="62" fillId="0" borderId="1" xfId="174" applyFont="1" applyFill="1" applyBorder="1" applyAlignment="1">
      <alignment horizontal="center" vertical="center" wrapText="1"/>
    </xf>
    <xf numFmtId="0" fontId="62" fillId="0" borderId="2" xfId="174" applyFont="1" applyFill="1" applyBorder="1" applyAlignment="1">
      <alignment horizontal="center" vertical="center" wrapText="1"/>
    </xf>
    <xf numFmtId="0" fontId="62" fillId="0" borderId="3" xfId="174" applyFont="1" applyFill="1" applyBorder="1" applyAlignment="1">
      <alignment horizontal="center" vertical="center" wrapText="1"/>
    </xf>
    <xf numFmtId="0" fontId="60" fillId="0" borderId="8" xfId="174" applyFont="1" applyFill="1" applyBorder="1" applyAlignment="1">
      <alignment horizontal="center" vertical="center" wrapText="1"/>
    </xf>
    <xf numFmtId="0" fontId="60" fillId="0" borderId="5" xfId="174" applyFont="1" applyFill="1" applyBorder="1" applyAlignment="1">
      <alignment horizontal="center" vertical="center" wrapText="1"/>
    </xf>
    <xf numFmtId="0" fontId="62" fillId="0" borderId="24" xfId="174" applyFont="1" applyFill="1" applyBorder="1" applyAlignment="1">
      <alignment horizontal="center" vertical="center"/>
    </xf>
    <xf numFmtId="0" fontId="62" fillId="0" borderId="6" xfId="174" applyFont="1" applyFill="1" applyBorder="1" applyAlignment="1">
      <alignment horizontal="center" vertical="center"/>
    </xf>
    <xf numFmtId="0" fontId="60" fillId="0" borderId="30" xfId="174" applyFont="1" applyFill="1" applyBorder="1" applyAlignment="1">
      <alignment horizontal="center" vertical="center" wrapText="1"/>
    </xf>
    <xf numFmtId="0" fontId="60" fillId="0" borderId="30" xfId="174" applyFont="1" applyFill="1" applyBorder="1" applyAlignment="1">
      <alignment horizontal="center" vertical="center"/>
    </xf>
    <xf numFmtId="0" fontId="62" fillId="0" borderId="2" xfId="174" applyFont="1" applyFill="1" applyBorder="1" applyAlignment="1">
      <alignment horizontal="center" vertical="center"/>
    </xf>
    <xf numFmtId="0" fontId="62" fillId="0" borderId="3" xfId="174" applyFont="1" applyFill="1" applyBorder="1" applyAlignment="1">
      <alignment horizontal="center" vertical="center"/>
    </xf>
    <xf numFmtId="164" fontId="18" fillId="0" borderId="13" xfId="0" applyNumberFormat="1" applyFont="1" applyFill="1" applyBorder="1" applyAlignment="1" applyProtection="1">
      <alignment horizontal="left" vertical="center" wrapText="1"/>
    </xf>
    <xf numFmtId="164" fontId="18" fillId="0" borderId="13" xfId="0" applyNumberFormat="1" applyFont="1" applyFill="1" applyBorder="1" applyAlignment="1" applyProtection="1">
      <alignment horizontal="right" vertical="center" wrapText="1" indent="1"/>
    </xf>
    <xf numFmtId="0" fontId="60" fillId="0" borderId="0" xfId="51" applyFont="1" applyAlignment="1"/>
    <xf numFmtId="0" fontId="61" fillId="0" borderId="0" xfId="51" applyFont="1" applyAlignment="1"/>
    <xf numFmtId="0" fontId="62" fillId="0" borderId="0" xfId="51" applyFont="1" applyAlignment="1"/>
    <xf numFmtId="164" fontId="70" fillId="0" borderId="0" xfId="161" applyNumberFormat="1" applyFont="1" applyFill="1" applyBorder="1" applyAlignment="1" applyProtection="1">
      <alignment horizontal="center" vertical="center"/>
    </xf>
    <xf numFmtId="164" fontId="70" fillId="0" borderId="0" xfId="161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3" xfId="1" applyFont="1" applyFill="1" applyBorder="1" applyAlignment="1" applyProtection="1">
      <alignment horizontal="left" vertical="center" wrapText="1" indent="1"/>
    </xf>
    <xf numFmtId="164" fontId="18" fillId="0" borderId="13" xfId="1" applyNumberFormat="1" applyFont="1" applyFill="1" applyBorder="1" applyAlignment="1" applyProtection="1">
      <alignment vertical="center" wrapText="1"/>
      <protection locked="0"/>
    </xf>
    <xf numFmtId="0" fontId="72" fillId="0" borderId="0" xfId="1" applyFont="1" applyFill="1" applyProtection="1"/>
    <xf numFmtId="0" fontId="100" fillId="0" borderId="13" xfId="1" applyFont="1" applyFill="1" applyBorder="1" applyAlignment="1" applyProtection="1">
      <alignment horizontal="left" vertical="center" wrapText="1"/>
    </xf>
    <xf numFmtId="3" fontId="8" fillId="0" borderId="0" xfId="1" applyNumberFormat="1" applyFill="1" applyProtection="1"/>
    <xf numFmtId="3" fontId="18" fillId="0" borderId="13" xfId="1" applyNumberFormat="1" applyFont="1" applyFill="1" applyBorder="1" applyAlignment="1" applyProtection="1">
      <alignment horizontal="center" vertical="center"/>
    </xf>
    <xf numFmtId="3" fontId="18" fillId="0" borderId="13" xfId="1" applyNumberFormat="1" applyFont="1" applyFill="1" applyBorder="1" applyAlignment="1" applyProtection="1">
      <alignment horizontal="center" vertical="center" wrapText="1"/>
    </xf>
    <xf numFmtId="3" fontId="16" fillId="0" borderId="13" xfId="1" applyNumberFormat="1" applyFont="1" applyFill="1" applyBorder="1" applyProtection="1"/>
    <xf numFmtId="3" fontId="8" fillId="0" borderId="0" xfId="1" applyNumberFormat="1" applyFill="1" applyAlignment="1" applyProtection="1"/>
    <xf numFmtId="3" fontId="15" fillId="0" borderId="13" xfId="1" applyNumberFormat="1" applyFont="1" applyFill="1" applyBorder="1" applyAlignment="1" applyProtection="1">
      <alignment horizontal="center" vertical="center"/>
    </xf>
    <xf numFmtId="3" fontId="12" fillId="0" borderId="13" xfId="1" applyNumberFormat="1" applyFont="1" applyFill="1" applyBorder="1" applyProtection="1"/>
    <xf numFmtId="164" fontId="0" fillId="0" borderId="13" xfId="0" applyNumberFormat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vertical="center" wrapText="1"/>
      <protection locked="0"/>
    </xf>
    <xf numFmtId="164" fontId="0" fillId="0" borderId="13" xfId="0" applyNumberFormat="1" applyFill="1" applyBorder="1" applyAlignment="1" applyProtection="1">
      <alignment vertical="center" wrapText="1"/>
    </xf>
    <xf numFmtId="0" fontId="24" fillId="0" borderId="13" xfId="1" applyFont="1" applyFill="1" applyBorder="1" applyAlignment="1" applyProtection="1">
      <alignment horizontal="left" vertical="center" wrapText="1" indent="4"/>
    </xf>
    <xf numFmtId="164" fontId="24" fillId="0" borderId="13" xfId="0" applyNumberFormat="1" applyFont="1" applyFill="1" applyBorder="1" applyAlignment="1" applyProtection="1">
      <alignment vertical="center" wrapText="1"/>
      <protection locked="0"/>
    </xf>
    <xf numFmtId="0" fontId="24" fillId="0" borderId="13" xfId="1" applyFont="1" applyFill="1" applyBorder="1" applyAlignment="1" applyProtection="1">
      <alignment horizontal="left" vertical="center" wrapText="1" indent="8"/>
    </xf>
    <xf numFmtId="0" fontId="0" fillId="0" borderId="13" xfId="1" applyFont="1" applyFill="1" applyBorder="1" applyAlignment="1" applyProtection="1">
      <alignment horizontal="left" vertical="center" wrapText="1"/>
    </xf>
    <xf numFmtId="0" fontId="12" fillId="0" borderId="13" xfId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vertical="center" wrapText="1"/>
    </xf>
    <xf numFmtId="0" fontId="24" fillId="0" borderId="13" xfId="1" applyFont="1" applyFill="1" applyBorder="1" applyAlignment="1" applyProtection="1">
      <alignment horizontal="left" vertical="center" wrapText="1"/>
    </xf>
    <xf numFmtId="49" fontId="0" fillId="0" borderId="13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vertical="center" wrapText="1"/>
    </xf>
    <xf numFmtId="3" fontId="0" fillId="0" borderId="13" xfId="0" applyNumberFormat="1" applyFont="1" applyFill="1" applyBorder="1" applyAlignment="1" applyProtection="1">
      <alignment wrapText="1"/>
    </xf>
    <xf numFmtId="3" fontId="18" fillId="0" borderId="13" xfId="0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Fill="1" applyBorder="1" applyAlignment="1" applyProtection="1">
      <alignment vertical="center" wrapText="1"/>
    </xf>
    <xf numFmtId="3" fontId="14" fillId="0" borderId="13" xfId="0" applyNumberFormat="1" applyFont="1" applyFill="1" applyBorder="1" applyAlignment="1" applyProtection="1">
      <alignment horizontal="center" vertical="center" wrapText="1"/>
    </xf>
    <xf numFmtId="3" fontId="17" fillId="0" borderId="0" xfId="178" applyNumberFormat="1" applyFont="1" applyFill="1"/>
    <xf numFmtId="3" fontId="21" fillId="0" borderId="13" xfId="178" applyNumberFormat="1" applyFont="1" applyFill="1" applyBorder="1" applyAlignment="1">
      <alignment horizontal="center" vertical="top" wrapText="1"/>
    </xf>
    <xf numFmtId="3" fontId="17" fillId="0" borderId="13" xfId="178" applyNumberFormat="1" applyFont="1" applyFill="1" applyBorder="1" applyAlignment="1">
      <alignment vertical="center"/>
    </xf>
    <xf numFmtId="3" fontId="21" fillId="0" borderId="0" xfId="178" applyNumberFormat="1" applyFont="1" applyFill="1" applyAlignment="1">
      <alignment vertical="center"/>
    </xf>
    <xf numFmtId="3" fontId="17" fillId="0" borderId="13" xfId="178" applyNumberFormat="1" applyFont="1" applyFill="1" applyBorder="1"/>
    <xf numFmtId="0" fontId="17" fillId="0" borderId="13" xfId="178" applyFont="1" applyFill="1" applyBorder="1"/>
    <xf numFmtId="3" fontId="12" fillId="0" borderId="0" xfId="1" applyNumberFormat="1" applyFont="1" applyFill="1" applyAlignment="1" applyProtection="1">
      <alignment horizontal="right" vertical="center"/>
    </xf>
    <xf numFmtId="3" fontId="18" fillId="0" borderId="13" xfId="1" applyNumberFormat="1" applyFont="1" applyFill="1" applyBorder="1" applyAlignment="1" applyProtection="1">
      <alignment horizontal="right" vertical="center" wrapText="1"/>
    </xf>
    <xf numFmtId="3" fontId="12" fillId="0" borderId="13" xfId="1" applyNumberFormat="1" applyFont="1" applyFill="1" applyBorder="1" applyAlignment="1" applyProtection="1">
      <alignment horizontal="right" vertical="center"/>
    </xf>
    <xf numFmtId="3" fontId="0" fillId="0" borderId="13" xfId="1" applyNumberFormat="1" applyFont="1" applyFill="1" applyBorder="1" applyAlignment="1" applyProtection="1">
      <alignment horizontal="right" vertical="center"/>
    </xf>
    <xf numFmtId="3" fontId="18" fillId="0" borderId="1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3" fontId="0" fillId="0" borderId="13" xfId="0" applyNumberFormat="1" applyFont="1" applyFill="1" applyBorder="1" applyAlignment="1">
      <alignment vertical="center" wrapText="1"/>
    </xf>
    <xf numFmtId="3" fontId="99" fillId="0" borderId="0" xfId="0" applyNumberFormat="1" applyFont="1" applyFill="1" applyAlignment="1">
      <alignment vertical="center" wrapText="1"/>
    </xf>
    <xf numFmtId="3" fontId="24" fillId="0" borderId="13" xfId="0" applyNumberFormat="1" applyFont="1" applyFill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 wrapText="1"/>
    </xf>
    <xf numFmtId="164" fontId="11" fillId="0" borderId="0" xfId="1" applyNumberFormat="1" applyFont="1" applyFill="1" applyBorder="1" applyAlignment="1" applyProtection="1">
      <alignment horizontal="left" vertical="center"/>
    </xf>
    <xf numFmtId="164" fontId="10" fillId="0" borderId="0" xfId="1" applyNumberFormat="1" applyFont="1" applyFill="1" applyBorder="1" applyAlignment="1" applyProtection="1">
      <alignment horizontal="center" vertical="center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0" fontId="64" fillId="0" borderId="13" xfId="178" applyFont="1" applyBorder="1" applyAlignment="1">
      <alignment horizontal="center" vertical="center" wrapText="1"/>
    </xf>
    <xf numFmtId="0" fontId="64" fillId="0" borderId="13" xfId="178" applyFont="1" applyBorder="1" applyAlignment="1">
      <alignment horizontal="center" vertical="center"/>
    </xf>
    <xf numFmtId="0" fontId="50" fillId="0" borderId="13" xfId="178" applyFont="1" applyBorder="1" applyAlignment="1">
      <alignment horizontal="center" vertical="center"/>
    </xf>
    <xf numFmtId="0" fontId="64" fillId="0" borderId="13" xfId="178" applyFont="1" applyBorder="1" applyAlignment="1">
      <alignment vertical="center"/>
    </xf>
    <xf numFmtId="0" fontId="50" fillId="0" borderId="13" xfId="178" applyFont="1" applyBorder="1" applyAlignment="1">
      <alignment vertical="center"/>
    </xf>
    <xf numFmtId="49" fontId="16" fillId="0" borderId="13" xfId="1" applyNumberFormat="1" applyFont="1" applyFill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left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164" fontId="16" fillId="0" borderId="13" xfId="1" applyNumberFormat="1" applyFont="1" applyFill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horizontal="left" vertical="center" wrapText="1"/>
    </xf>
    <xf numFmtId="164" fontId="20" fillId="0" borderId="13" xfId="1" applyNumberFormat="1" applyFont="1" applyFill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horizontal="left" vertical="center" wrapText="1" indent="6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left" vertical="center" wrapText="1"/>
    </xf>
    <xf numFmtId="0" fontId="21" fillId="0" borderId="13" xfId="0" applyFont="1" applyBorder="1" applyAlignment="1" applyProtection="1">
      <alignment horizontal="center" vertical="center" wrapText="1"/>
    </xf>
    <xf numFmtId="164" fontId="14" fillId="0" borderId="13" xfId="1" applyNumberFormat="1" applyFont="1" applyFill="1" applyBorder="1" applyAlignment="1" applyProtection="1">
      <alignment vertical="center" wrapText="1"/>
    </xf>
    <xf numFmtId="0" fontId="17" fillId="0" borderId="13" xfId="0" applyFont="1" applyBorder="1" applyAlignment="1" applyProtection="1">
      <alignment horizontal="left" wrapText="1"/>
    </xf>
    <xf numFmtId="0" fontId="19" fillId="0" borderId="13" xfId="0" applyFont="1" applyBorder="1" applyAlignment="1" applyProtection="1">
      <alignment horizontal="left" vertical="center" wrapText="1" indent="7"/>
    </xf>
    <xf numFmtId="0" fontId="16" fillId="0" borderId="13" xfId="1" applyFont="1" applyFill="1" applyBorder="1" applyAlignment="1" applyProtection="1">
      <alignment horizontal="left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164" fontId="12" fillId="0" borderId="13" xfId="1" applyNumberFormat="1" applyFont="1" applyFill="1" applyBorder="1" applyAlignment="1" applyProtection="1">
      <alignment vertical="center" wrapText="1"/>
    </xf>
    <xf numFmtId="16" fontId="19" fillId="0" borderId="13" xfId="2" applyNumberFormat="1" applyFont="1" applyFill="1" applyBorder="1" applyAlignment="1">
      <alignment horizontal="left" vertical="center" indent="5"/>
    </xf>
    <xf numFmtId="0" fontId="19" fillId="0" borderId="13" xfId="0" applyFont="1" applyBorder="1" applyAlignment="1" applyProtection="1">
      <alignment horizontal="center" vertical="center" wrapText="1"/>
    </xf>
    <xf numFmtId="164" fontId="24" fillId="0" borderId="13" xfId="1" applyNumberFormat="1" applyFont="1" applyFill="1" applyBorder="1" applyAlignment="1" applyProtection="1">
      <alignment vertical="center" wrapText="1"/>
      <protection locked="0"/>
    </xf>
    <xf numFmtId="0" fontId="19" fillId="0" borderId="13" xfId="2" applyFont="1" applyFill="1" applyBorder="1" applyAlignment="1">
      <alignment horizontal="left" vertical="center" indent="5"/>
    </xf>
    <xf numFmtId="0" fontId="17" fillId="0" borderId="13" xfId="2" applyFont="1" applyFill="1" applyBorder="1" applyAlignment="1">
      <alignment horizontal="left"/>
    </xf>
    <xf numFmtId="0" fontId="19" fillId="0" borderId="13" xfId="2" applyFont="1" applyFill="1" applyBorder="1" applyAlignment="1">
      <alignment horizontal="left" indent="5"/>
    </xf>
    <xf numFmtId="0" fontId="17" fillId="0" borderId="13" xfId="2" applyFont="1" applyFill="1" applyBorder="1" applyAlignment="1">
      <alignment horizontal="left" wrapText="1"/>
    </xf>
    <xf numFmtId="0" fontId="17" fillId="0" borderId="13" xfId="0" applyFont="1" applyBorder="1" applyAlignment="1" applyProtection="1">
      <alignment horizont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49" fontId="16" fillId="0" borderId="13" xfId="1" applyNumberFormat="1" applyFont="1" applyFill="1" applyBorder="1" applyAlignment="1" applyProtection="1">
      <alignment horizontal="left" vertical="center" wrapText="1" indent="1"/>
    </xf>
    <xf numFmtId="164" fontId="12" fillId="0" borderId="13" xfId="1" applyNumberFormat="1" applyFont="1" applyFill="1" applyBorder="1" applyAlignment="1" applyProtection="1">
      <alignment vertical="center" wrapText="1"/>
      <protection locked="0"/>
    </xf>
    <xf numFmtId="164" fontId="16" fillId="0" borderId="13" xfId="1" applyNumberFormat="1" applyFont="1" applyFill="1" applyBorder="1" applyAlignment="1" applyProtection="1">
      <alignment vertical="center" wrapText="1"/>
    </xf>
    <xf numFmtId="0" fontId="19" fillId="0" borderId="13" xfId="0" applyFont="1" applyBorder="1" applyAlignment="1" applyProtection="1">
      <alignment horizontal="left" wrapText="1" indent="5"/>
    </xf>
    <xf numFmtId="0" fontId="19" fillId="0" borderId="13" xfId="0" applyFont="1" applyBorder="1" applyAlignment="1" applyProtection="1">
      <alignment horizontal="left" vertical="center" wrapText="1" indent="5"/>
    </xf>
    <xf numFmtId="0" fontId="21" fillId="0" borderId="13" xfId="0" applyFont="1" applyBorder="1" applyAlignment="1" applyProtection="1">
      <alignment wrapText="1"/>
    </xf>
    <xf numFmtId="0" fontId="21" fillId="0" borderId="13" xfId="0" applyFont="1" applyBorder="1" applyAlignment="1" applyProtection="1">
      <alignment horizontal="center" wrapText="1"/>
    </xf>
    <xf numFmtId="0" fontId="24" fillId="0" borderId="13" xfId="1" applyFont="1" applyFill="1" applyBorder="1" applyAlignment="1" applyProtection="1">
      <alignment horizontal="center" vertical="center" wrapText="1"/>
    </xf>
    <xf numFmtId="0" fontId="24" fillId="0" borderId="13" xfId="1" applyFont="1" applyFill="1" applyBorder="1" applyAlignment="1" applyProtection="1">
      <alignment horizontal="left" vertical="center" wrapText="1" indent="5"/>
    </xf>
    <xf numFmtId="0" fontId="24" fillId="0" borderId="13" xfId="1" applyFont="1" applyFill="1" applyBorder="1" applyAlignment="1" applyProtection="1">
      <alignment horizontal="center" vertical="center"/>
    </xf>
    <xf numFmtId="0" fontId="24" fillId="0" borderId="13" xfId="1" applyFont="1" applyFill="1" applyBorder="1" applyAlignment="1" applyProtection="1">
      <alignment horizontal="left" indent="5"/>
    </xf>
    <xf numFmtId="0" fontId="24" fillId="0" borderId="13" xfId="1" applyFont="1" applyFill="1" applyBorder="1" applyAlignment="1" applyProtection="1">
      <alignment horizontal="left" vertical="center" wrapText="1" indent="11"/>
    </xf>
    <xf numFmtId="49" fontId="18" fillId="0" borderId="13" xfId="1" applyNumberFormat="1" applyFont="1" applyFill="1" applyBorder="1" applyAlignment="1" applyProtection="1">
      <alignment horizontal="left" vertical="center" wrapText="1" indent="1"/>
    </xf>
    <xf numFmtId="0" fontId="18" fillId="0" borderId="13" xfId="1" applyFont="1" applyFill="1" applyBorder="1" applyAlignment="1" applyProtection="1">
      <alignment vertical="center" wrapText="1"/>
    </xf>
    <xf numFmtId="0" fontId="20" fillId="0" borderId="13" xfId="1" applyFont="1" applyFill="1" applyBorder="1" applyAlignment="1" applyProtection="1">
      <alignment horizontal="left" vertical="center" wrapText="1"/>
    </xf>
    <xf numFmtId="0" fontId="20" fillId="0" borderId="13" xfId="1" applyFont="1" applyFill="1" applyBorder="1" applyAlignment="1" applyProtection="1">
      <alignment horizontal="left" vertical="center" wrapText="1" indent="5"/>
    </xf>
    <xf numFmtId="0" fontId="0" fillId="0" borderId="13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left" vertical="center" wrapText="1" inden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164" fontId="21" fillId="0" borderId="13" xfId="0" quotePrefix="1" applyNumberFormat="1" applyFont="1" applyBorder="1" applyAlignment="1" applyProtection="1">
      <alignment vertical="center" wrapText="1"/>
    </xf>
    <xf numFmtId="0" fontId="21" fillId="0" borderId="13" xfId="0" applyFont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</xf>
    <xf numFmtId="164" fontId="0" fillId="0" borderId="13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56" fillId="0" borderId="13" xfId="0" applyNumberFormat="1" applyFont="1" applyFill="1" applyBorder="1" applyAlignment="1" applyProtection="1">
      <alignment horizontal="right" vertical="center" wrapText="1"/>
    </xf>
    <xf numFmtId="164" fontId="18" fillId="0" borderId="13" xfId="0" applyNumberFormat="1" applyFont="1" applyFill="1" applyBorder="1" applyAlignment="1" applyProtection="1">
      <alignment horizontal="right" vertical="center" wrapText="1"/>
    </xf>
    <xf numFmtId="0" fontId="21" fillId="0" borderId="13" xfId="51" applyFont="1" applyBorder="1" applyAlignment="1">
      <alignment horizontal="center" vertical="center"/>
    </xf>
    <xf numFmtId="0" fontId="21" fillId="0" borderId="13" xfId="51" applyFont="1" applyBorder="1" applyAlignment="1">
      <alignment horizontal="center" vertical="center" wrapText="1"/>
    </xf>
    <xf numFmtId="0" fontId="17" fillId="0" borderId="13" xfId="51" applyFont="1" applyFill="1" applyBorder="1" applyAlignment="1">
      <alignment horizontal="center" vertical="center"/>
    </xf>
    <xf numFmtId="0" fontId="17" fillId="0" borderId="13" xfId="51" applyFont="1" applyFill="1" applyBorder="1" applyAlignment="1">
      <alignment vertical="center" wrapText="1"/>
    </xf>
    <xf numFmtId="0" fontId="17" fillId="0" borderId="13" xfId="51" applyFont="1" applyFill="1" applyBorder="1" applyAlignment="1">
      <alignment horizontal="center" vertical="center" wrapText="1"/>
    </xf>
    <xf numFmtId="4" fontId="17" fillId="0" borderId="13" xfId="51" applyNumberFormat="1" applyFont="1" applyFill="1" applyBorder="1" applyAlignment="1">
      <alignment vertical="center"/>
    </xf>
    <xf numFmtId="3" fontId="17" fillId="0" borderId="13" xfId="51" applyNumberFormat="1" applyFont="1" applyFill="1" applyBorder="1" applyAlignment="1">
      <alignment vertical="center"/>
    </xf>
    <xf numFmtId="3" fontId="58" fillId="0" borderId="13" xfId="51" applyNumberFormat="1" applyFont="1" applyFill="1" applyBorder="1" applyAlignment="1">
      <alignment vertical="center"/>
    </xf>
    <xf numFmtId="0" fontId="17" fillId="0" borderId="13" xfId="5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3" xfId="51" applyFont="1" applyFill="1" applyBorder="1" applyAlignment="1">
      <alignment vertical="center" wrapText="1"/>
    </xf>
    <xf numFmtId="0" fontId="19" fillId="0" borderId="13" xfId="51" applyFont="1" applyFill="1" applyBorder="1" applyAlignment="1">
      <alignment vertical="center"/>
    </xf>
    <xf numFmtId="3" fontId="19" fillId="0" borderId="13" xfId="51" applyNumberFormat="1" applyFont="1" applyFill="1" applyBorder="1" applyAlignment="1">
      <alignment vertical="center"/>
    </xf>
    <xf numFmtId="0" fontId="21" fillId="0" borderId="13" xfId="51" applyFont="1" applyFill="1" applyBorder="1" applyAlignment="1">
      <alignment horizontal="center" vertical="center"/>
    </xf>
    <xf numFmtId="0" fontId="21" fillId="0" borderId="13" xfId="51" applyFont="1" applyFill="1" applyBorder="1" applyAlignment="1">
      <alignment vertical="center" wrapText="1"/>
    </xf>
    <xf numFmtId="0" fontId="21" fillId="0" borderId="13" xfId="51" applyFont="1" applyFill="1" applyBorder="1" applyAlignment="1">
      <alignment vertical="center"/>
    </xf>
    <xf numFmtId="3" fontId="59" fillId="0" borderId="13" xfId="51" applyNumberFormat="1" applyFont="1" applyFill="1" applyBorder="1" applyAlignment="1">
      <alignment vertical="center"/>
    </xf>
    <xf numFmtId="3" fontId="21" fillId="0" borderId="13" xfId="51" applyNumberFormat="1" applyFont="1" applyFill="1" applyBorder="1" applyAlignment="1">
      <alignment vertical="center"/>
    </xf>
    <xf numFmtId="165" fontId="19" fillId="0" borderId="13" xfId="51" applyNumberFormat="1" applyFont="1" applyFill="1" applyBorder="1" applyAlignment="1">
      <alignment vertical="center"/>
    </xf>
    <xf numFmtId="0" fontId="21" fillId="24" borderId="13" xfId="51" applyFont="1" applyFill="1" applyBorder="1" applyAlignment="1">
      <alignment horizontal="center" vertical="center"/>
    </xf>
    <xf numFmtId="0" fontId="21" fillId="24" borderId="13" xfId="51" applyFont="1" applyFill="1" applyBorder="1" applyAlignment="1">
      <alignment vertical="center"/>
    </xf>
    <xf numFmtId="0" fontId="21" fillId="0" borderId="13" xfId="144" applyFont="1" applyFill="1" applyBorder="1" applyAlignment="1">
      <alignment horizontal="center" vertical="center" wrapText="1"/>
    </xf>
    <xf numFmtId="164" fontId="17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Border="1" applyAlignment="1"/>
    <xf numFmtId="49" fontId="17" fillId="0" borderId="13" xfId="0" applyNumberFormat="1" applyFont="1" applyFill="1" applyBorder="1" applyAlignment="1">
      <alignment horizontal="center" vertical="center"/>
    </xf>
    <xf numFmtId="164" fontId="17" fillId="0" borderId="13" xfId="0" applyNumberFormat="1" applyFont="1" applyFill="1" applyBorder="1" applyAlignment="1">
      <alignment vertical="center" wrapText="1"/>
    </xf>
    <xf numFmtId="164" fontId="17" fillId="0" borderId="13" xfId="0" applyNumberFormat="1" applyFont="1" applyFill="1" applyBorder="1" applyAlignment="1" applyProtection="1">
      <alignment vertical="center" wrapText="1"/>
      <protection locked="0"/>
    </xf>
    <xf numFmtId="164" fontId="21" fillId="0" borderId="13" xfId="0" applyNumberFormat="1" applyFont="1" applyFill="1" applyBorder="1" applyAlignment="1">
      <alignment vertical="center" wrapText="1"/>
    </xf>
    <xf numFmtId="164" fontId="21" fillId="24" borderId="13" xfId="0" applyNumberFormat="1" applyFont="1" applyFill="1" applyBorder="1" applyAlignment="1">
      <alignment horizontal="center" vertical="center" wrapText="1"/>
    </xf>
    <xf numFmtId="164" fontId="21" fillId="24" borderId="13" xfId="0" applyNumberFormat="1" applyFont="1" applyFill="1" applyBorder="1" applyAlignment="1">
      <alignment vertical="center" wrapText="1"/>
    </xf>
    <xf numFmtId="0" fontId="62" fillId="0" borderId="13" xfId="48" applyFont="1" applyBorder="1" applyAlignment="1">
      <alignment horizontal="center" vertical="center" wrapText="1"/>
    </xf>
    <xf numFmtId="166" fontId="62" fillId="0" borderId="13" xfId="35" applyNumberFormat="1" applyFont="1" applyBorder="1" applyAlignment="1">
      <alignment horizontal="center" vertical="center" wrapText="1"/>
    </xf>
    <xf numFmtId="0" fontId="60" fillId="0" borderId="13" xfId="48" applyFont="1" applyBorder="1" applyAlignment="1">
      <alignment horizontal="center" vertical="center"/>
    </xf>
    <xf numFmtId="166" fontId="60" fillId="0" borderId="13" xfId="35" applyNumberFormat="1" applyFont="1" applyFill="1" applyBorder="1" applyAlignment="1">
      <alignment vertical="center"/>
    </xf>
    <xf numFmtId="166" fontId="70" fillId="0" borderId="13" xfId="35" applyNumberFormat="1" applyFont="1" applyFill="1" applyBorder="1" applyAlignment="1">
      <alignment vertical="center"/>
    </xf>
    <xf numFmtId="166" fontId="60" fillId="0" borderId="13" xfId="35" applyNumberFormat="1" applyFont="1" applyBorder="1" applyAlignment="1">
      <alignment vertical="center"/>
    </xf>
    <xf numFmtId="166" fontId="62" fillId="0" borderId="13" xfId="35" applyNumberFormat="1" applyFont="1" applyBorder="1" applyAlignment="1">
      <alignment vertical="center"/>
    </xf>
    <xf numFmtId="0" fontId="62" fillId="0" borderId="13" xfId="178" applyFont="1" applyFill="1" applyBorder="1" applyAlignment="1">
      <alignment horizontal="center" vertical="center" wrapText="1"/>
    </xf>
    <xf numFmtId="0" fontId="60" fillId="0" borderId="13" xfId="178" applyFont="1" applyFill="1" applyBorder="1" applyAlignment="1">
      <alignment horizontal="center"/>
    </xf>
    <xf numFmtId="14" fontId="99" fillId="0" borderId="13" xfId="0" applyNumberFormat="1" applyFont="1" applyFill="1" applyBorder="1" applyAlignment="1"/>
    <xf numFmtId="3" fontId="60" fillId="0" borderId="13" xfId="178" applyNumberFormat="1" applyFont="1" applyFill="1" applyBorder="1" applyAlignment="1">
      <alignment horizontal="right"/>
    </xf>
    <xf numFmtId="0" fontId="62" fillId="0" borderId="13" xfId="178" applyFont="1" applyFill="1" applyBorder="1" applyAlignment="1">
      <alignment horizontal="center"/>
    </xf>
    <xf numFmtId="0" fontId="62" fillId="0" borderId="13" xfId="178" applyFont="1" applyFill="1" applyBorder="1" applyAlignment="1">
      <alignment horizontal="left"/>
    </xf>
    <xf numFmtId="3" fontId="62" fillId="0" borderId="13" xfId="178" applyNumberFormat="1" applyFont="1" applyFill="1" applyBorder="1" applyAlignment="1">
      <alignment horizontal="right"/>
    </xf>
    <xf numFmtId="164" fontId="17" fillId="0" borderId="13" xfId="67" applyNumberFormat="1" applyFont="1" applyBorder="1" applyAlignment="1">
      <alignment horizontal="center" vertical="center" wrapText="1"/>
    </xf>
    <xf numFmtId="164" fontId="17" fillId="0" borderId="13" xfId="67" applyNumberFormat="1" applyFont="1" applyFill="1" applyBorder="1" applyAlignment="1">
      <alignment horizontal="center" vertical="center" wrapText="1"/>
    </xf>
    <xf numFmtId="164" fontId="62" fillId="0" borderId="13" xfId="67" applyNumberFormat="1" applyFont="1" applyBorder="1" applyAlignment="1">
      <alignment vertical="center" wrapText="1"/>
    </xf>
    <xf numFmtId="164" fontId="21" fillId="0" borderId="13" xfId="67" applyNumberFormat="1" applyFont="1" applyBorder="1" applyAlignment="1">
      <alignment vertical="center"/>
    </xf>
    <xf numFmtId="164" fontId="21" fillId="0" borderId="13" xfId="160" applyNumberFormat="1" applyFont="1" applyFill="1" applyBorder="1" applyAlignment="1">
      <alignment horizontal="right" vertical="center"/>
    </xf>
    <xf numFmtId="164" fontId="17" fillId="0" borderId="13" xfId="160" applyNumberFormat="1" applyFont="1" applyFill="1" applyBorder="1" applyAlignment="1">
      <alignment vertical="center" wrapText="1"/>
    </xf>
    <xf numFmtId="164" fontId="17" fillId="0" borderId="13" xfId="160" applyNumberFormat="1" applyFont="1" applyFill="1" applyBorder="1" applyAlignment="1">
      <alignment horizontal="right" vertical="center"/>
    </xf>
    <xf numFmtId="164" fontId="21" fillId="0" borderId="13" xfId="160" applyNumberFormat="1" applyFont="1" applyFill="1" applyBorder="1" applyAlignment="1">
      <alignment vertical="center" wrapText="1"/>
    </xf>
    <xf numFmtId="164" fontId="17" fillId="0" borderId="13" xfId="160" applyNumberFormat="1" applyFont="1" applyFill="1" applyBorder="1" applyAlignment="1">
      <alignment horizontal="right" vertical="center" wrapText="1"/>
    </xf>
    <xf numFmtId="164" fontId="96" fillId="0" borderId="13" xfId="160" applyNumberFormat="1" applyFont="1" applyFill="1" applyBorder="1" applyAlignment="1">
      <alignment horizontal="right" vertical="center" wrapText="1"/>
    </xf>
    <xf numFmtId="3" fontId="17" fillId="0" borderId="13" xfId="0" applyNumberFormat="1" applyFont="1" applyBorder="1" applyAlignment="1" applyProtection="1">
      <alignment horizontal="right" vertical="center" wrapText="1"/>
    </xf>
    <xf numFmtId="164" fontId="16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20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/>
    </xf>
    <xf numFmtId="3" fontId="17" fillId="0" borderId="13" xfId="0" applyNumberFormat="1" applyFont="1" applyBorder="1" applyAlignment="1" applyProtection="1">
      <alignment horizontal="center" vertical="center" wrapText="1"/>
    </xf>
    <xf numFmtId="164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13" xfId="1" applyNumberFormat="1" applyFont="1" applyFill="1" applyBorder="1" applyAlignment="1" applyProtection="1">
      <alignment horizontal="center" vertical="center" wrapText="1"/>
    </xf>
    <xf numFmtId="3" fontId="19" fillId="0" borderId="13" xfId="0" applyNumberFormat="1" applyFont="1" applyBorder="1" applyAlignment="1" applyProtection="1">
      <alignment horizontal="right" vertical="center" wrapText="1"/>
    </xf>
    <xf numFmtId="3" fontId="17" fillId="0" borderId="13" xfId="0" applyNumberFormat="1" applyFont="1" applyBorder="1" applyAlignment="1" applyProtection="1">
      <alignment horizontal="right" wrapText="1"/>
    </xf>
    <xf numFmtId="164" fontId="12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13" xfId="0" applyFont="1" applyBorder="1" applyAlignment="1" applyProtection="1">
      <alignment vertical="center" wrapText="1"/>
    </xf>
    <xf numFmtId="3" fontId="16" fillId="0" borderId="13" xfId="1" applyNumberFormat="1" applyFont="1" applyFill="1" applyBorder="1" applyAlignment="1" applyProtection="1">
      <alignment horizontal="right" vertical="center" wrapText="1"/>
    </xf>
    <xf numFmtId="3" fontId="24" fillId="0" borderId="13" xfId="1" applyNumberFormat="1" applyFont="1" applyFill="1" applyBorder="1" applyAlignment="1" applyProtection="1">
      <alignment horizontal="right" vertical="center"/>
    </xf>
    <xf numFmtId="164" fontId="24" fillId="0" borderId="13" xfId="1" applyNumberFormat="1" applyFont="1" applyFill="1" applyBorder="1" applyAlignment="1" applyProtection="1">
      <alignment vertical="center"/>
      <protection locked="0"/>
    </xf>
    <xf numFmtId="3" fontId="0" fillId="0" borderId="13" xfId="1" applyNumberFormat="1" applyFont="1" applyFill="1" applyBorder="1" applyAlignment="1" applyProtection="1">
      <alignment horizontal="right" vertical="center" wrapText="1"/>
    </xf>
    <xf numFmtId="3" fontId="21" fillId="0" borderId="13" xfId="0" applyNumberFormat="1" applyFont="1" applyBorder="1" applyAlignment="1" applyProtection="1">
      <alignment vertical="center" wrapText="1"/>
    </xf>
    <xf numFmtId="3" fontId="12" fillId="25" borderId="13" xfId="1" applyNumberFormat="1" applyFont="1" applyFill="1" applyBorder="1" applyAlignment="1" applyProtection="1">
      <alignment horizontal="right" vertical="center"/>
    </xf>
    <xf numFmtId="164" fontId="21" fillId="0" borderId="13" xfId="161" applyNumberFormat="1" applyFont="1" applyFill="1" applyBorder="1" applyAlignment="1" applyProtection="1">
      <alignment horizontal="center" vertical="center" wrapText="1"/>
    </xf>
    <xf numFmtId="164" fontId="21" fillId="0" borderId="13" xfId="159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64" fontId="17" fillId="0" borderId="13" xfId="161" applyNumberFormat="1" applyFont="1" applyFill="1" applyBorder="1" applyAlignment="1" applyProtection="1">
      <alignment horizontal="center" vertical="center" wrapText="1"/>
    </xf>
    <xf numFmtId="164" fontId="17" fillId="0" borderId="13" xfId="161" applyNumberFormat="1" applyFont="1" applyFill="1" applyBorder="1" applyAlignment="1" applyProtection="1">
      <alignment vertical="center" wrapText="1"/>
    </xf>
    <xf numFmtId="49" fontId="17" fillId="0" borderId="13" xfId="161" applyNumberFormat="1" applyFont="1" applyFill="1" applyBorder="1" applyAlignment="1" applyProtection="1">
      <alignment horizontal="left" vertical="center" wrapText="1" indent="2"/>
    </xf>
    <xf numFmtId="3" fontId="17" fillId="0" borderId="13" xfId="161" applyNumberFormat="1" applyFont="1" applyFill="1" applyBorder="1" applyAlignment="1" applyProtection="1">
      <alignment horizontal="right" vertical="center"/>
    </xf>
    <xf numFmtId="3" fontId="17" fillId="0" borderId="13" xfId="0" applyNumberFormat="1" applyFont="1" applyFill="1" applyBorder="1" applyAlignment="1">
      <alignment horizontal="right" vertical="center"/>
    </xf>
    <xf numFmtId="3" fontId="17" fillId="0" borderId="13" xfId="159" applyNumberFormat="1" applyFont="1" applyBorder="1" applyAlignment="1">
      <alignment horizontal="right" vertical="center"/>
    </xf>
    <xf numFmtId="3" fontId="0" fillId="0" borderId="13" xfId="0" applyNumberFormat="1" applyFont="1" applyBorder="1" applyAlignment="1">
      <alignment horizontal="right" vertical="center"/>
    </xf>
    <xf numFmtId="164" fontId="21" fillId="0" borderId="13" xfId="161" applyNumberFormat="1" applyFont="1" applyFill="1" applyBorder="1" applyAlignment="1" applyProtection="1">
      <alignment vertical="center" wrapText="1"/>
    </xf>
    <xf numFmtId="49" fontId="21" fillId="0" borderId="13" xfId="161" applyNumberFormat="1" applyFont="1" applyFill="1" applyBorder="1" applyAlignment="1" applyProtection="1">
      <alignment horizontal="left" vertical="center" wrapText="1" indent="2"/>
    </xf>
    <xf numFmtId="3" fontId="21" fillId="0" borderId="13" xfId="161" applyNumberFormat="1" applyFont="1" applyFill="1" applyBorder="1" applyAlignment="1" applyProtection="1">
      <alignment horizontal="right" vertical="center"/>
    </xf>
    <xf numFmtId="3" fontId="21" fillId="0" borderId="13" xfId="0" applyNumberFormat="1" applyFont="1" applyFill="1" applyBorder="1" applyAlignment="1">
      <alignment horizontal="right" vertical="center"/>
    </xf>
    <xf numFmtId="3" fontId="21" fillId="0" borderId="13" xfId="159" applyNumberFormat="1" applyFont="1" applyBorder="1" applyAlignment="1">
      <alignment horizontal="right" vertical="center"/>
    </xf>
    <xf numFmtId="3" fontId="18" fillId="0" borderId="13" xfId="0" applyNumberFormat="1" applyFont="1" applyBorder="1" applyAlignment="1">
      <alignment horizontal="right" vertical="center"/>
    </xf>
    <xf numFmtId="164" fontId="21" fillId="0" borderId="13" xfId="161" applyNumberFormat="1" applyFont="1" applyFill="1" applyBorder="1" applyAlignment="1" applyProtection="1">
      <alignment vertical="center"/>
    </xf>
    <xf numFmtId="49" fontId="21" fillId="24" borderId="13" xfId="161" applyNumberFormat="1" applyFont="1" applyFill="1" applyBorder="1" applyAlignment="1" applyProtection="1">
      <alignment horizontal="left" vertical="center" wrapText="1" indent="2"/>
    </xf>
    <xf numFmtId="0" fontId="104" fillId="0" borderId="0" xfId="48" applyFont="1"/>
    <xf numFmtId="164" fontId="17" fillId="0" borderId="13" xfId="161" applyNumberFormat="1" applyFont="1" applyFill="1" applyBorder="1" applyAlignment="1" applyProtection="1">
      <alignment horizontal="right" vertical="center"/>
    </xf>
    <xf numFmtId="164" fontId="17" fillId="0" borderId="13" xfId="0" applyNumberFormat="1" applyFont="1" applyFill="1" applyBorder="1" applyAlignment="1">
      <alignment horizontal="right" vertical="center"/>
    </xf>
    <xf numFmtId="164" fontId="17" fillId="0" borderId="13" xfId="159" applyNumberFormat="1" applyFont="1" applyBorder="1" applyAlignment="1">
      <alignment horizontal="right" vertical="center"/>
    </xf>
    <xf numFmtId="164" fontId="21" fillId="0" borderId="13" xfId="161" applyNumberFormat="1" applyFont="1" applyFill="1" applyBorder="1" applyAlignment="1" applyProtection="1">
      <alignment horizontal="right" vertical="center"/>
    </xf>
    <xf numFmtId="164" fontId="21" fillId="0" borderId="13" xfId="0" applyNumberFormat="1" applyFont="1" applyFill="1" applyBorder="1" applyAlignment="1">
      <alignment horizontal="right" vertical="center"/>
    </xf>
    <xf numFmtId="164" fontId="21" fillId="0" borderId="13" xfId="159" applyNumberFormat="1" applyFont="1" applyBorder="1" applyAlignment="1">
      <alignment horizontal="right" vertical="center"/>
    </xf>
    <xf numFmtId="0" fontId="0" fillId="0" borderId="13" xfId="0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164" fontId="16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3" xfId="0" applyFont="1" applyBorder="1" applyAlignment="1">
      <alignment horizontal="left" vertical="center" indent="2"/>
    </xf>
    <xf numFmtId="0" fontId="19" fillId="0" borderId="13" xfId="0" applyFont="1" applyBorder="1" applyAlignment="1">
      <alignment horizontal="center" vertical="center"/>
    </xf>
    <xf numFmtId="164" fontId="20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Fill="1" applyBorder="1" applyAlignment="1">
      <alignment vertical="center"/>
    </xf>
    <xf numFmtId="0" fontId="24" fillId="0" borderId="13" xfId="1" applyFont="1" applyFill="1" applyBorder="1" applyAlignment="1" applyProtection="1">
      <alignment horizontal="left" vertical="center" wrapText="1" indent="1"/>
    </xf>
    <xf numFmtId="0" fontId="24" fillId="0" borderId="13" xfId="1" applyFont="1" applyFill="1" applyBorder="1" applyAlignment="1" applyProtection="1">
      <alignment horizontal="left" vertical="center" wrapText="1" indent="6"/>
    </xf>
    <xf numFmtId="0" fontId="100" fillId="0" borderId="0" xfId="0" applyFont="1" applyFill="1" applyAlignment="1">
      <alignment vertical="center" wrapText="1"/>
    </xf>
    <xf numFmtId="0" fontId="20" fillId="0" borderId="13" xfId="0" applyFont="1" applyFill="1" applyBorder="1" applyAlignment="1">
      <alignment vertical="center" wrapText="1"/>
    </xf>
    <xf numFmtId="0" fontId="12" fillId="0" borderId="13" xfId="1" applyFont="1" applyFill="1" applyBorder="1" applyAlignment="1" applyProtection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0" fillId="0" borderId="13" xfId="0" applyFont="1" applyBorder="1" applyAlignment="1">
      <alignment horizontal="right" vertical="center"/>
    </xf>
    <xf numFmtId="164" fontId="0" fillId="0" borderId="13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164" fontId="18" fillId="0" borderId="13" xfId="0" applyNumberFormat="1" applyFont="1" applyBorder="1" applyAlignment="1">
      <alignment horizontal="right" vertical="center"/>
    </xf>
    <xf numFmtId="164" fontId="24" fillId="25" borderId="13" xfId="1" applyNumberFormat="1" applyFont="1" applyFill="1" applyBorder="1" applyAlignment="1" applyProtection="1">
      <alignment horizontal="right" vertical="center" wrapText="1"/>
      <protection locked="0"/>
    </xf>
    <xf numFmtId="49" fontId="17" fillId="0" borderId="13" xfId="161" applyNumberFormat="1" applyFont="1" applyFill="1" applyBorder="1" applyAlignment="1" applyProtection="1">
      <alignment horizontal="center" vertical="center" wrapText="1"/>
    </xf>
    <xf numFmtId="49" fontId="21" fillId="0" borderId="13" xfId="161" applyNumberFormat="1" applyFont="1" applyFill="1" applyBorder="1" applyAlignment="1" applyProtection="1">
      <alignment horizontal="center" vertical="center" wrapText="1"/>
    </xf>
    <xf numFmtId="0" fontId="92" fillId="0" borderId="13" xfId="171" applyFont="1" applyFill="1" applyBorder="1" applyAlignment="1" applyProtection="1">
      <alignment horizontal="center" vertical="center" wrapText="1"/>
    </xf>
    <xf numFmtId="0" fontId="92" fillId="0" borderId="13" xfId="171" applyFont="1" applyFill="1" applyBorder="1" applyAlignment="1" applyProtection="1">
      <alignment horizontal="center" vertical="center"/>
    </xf>
    <xf numFmtId="0" fontId="15" fillId="0" borderId="13" xfId="171" applyFont="1" applyFill="1" applyBorder="1" applyAlignment="1" applyProtection="1">
      <alignment horizontal="left" vertical="center" indent="1"/>
    </xf>
    <xf numFmtId="164" fontId="15" fillId="0" borderId="13" xfId="171" applyNumberFormat="1" applyFont="1" applyFill="1" applyBorder="1" applyAlignment="1" applyProtection="1">
      <alignment vertical="center"/>
      <protection locked="0"/>
    </xf>
    <xf numFmtId="164" fontId="15" fillId="0" borderId="13" xfId="171" applyNumberFormat="1" applyFont="1" applyFill="1" applyBorder="1" applyAlignment="1" applyProtection="1">
      <alignment vertical="center"/>
    </xf>
    <xf numFmtId="0" fontId="15" fillId="0" borderId="13" xfId="171" applyFont="1" applyFill="1" applyBorder="1" applyAlignment="1" applyProtection="1">
      <alignment horizontal="left" vertical="center" wrapText="1" indent="1"/>
    </xf>
    <xf numFmtId="0" fontId="97" fillId="0" borderId="13" xfId="171" applyFont="1" applyFill="1" applyBorder="1" applyAlignment="1" applyProtection="1">
      <alignment horizontal="left" vertical="center" indent="1"/>
    </xf>
    <xf numFmtId="164" fontId="98" fillId="0" borderId="13" xfId="171" applyNumberFormat="1" applyFont="1" applyFill="1" applyBorder="1" applyAlignment="1" applyProtection="1">
      <alignment vertical="center"/>
    </xf>
    <xf numFmtId="0" fontId="98" fillId="0" borderId="13" xfId="171" applyFont="1" applyFill="1" applyBorder="1" applyAlignment="1" applyProtection="1">
      <alignment horizontal="left" vertical="center" indent="1"/>
    </xf>
    <xf numFmtId="164" fontId="98" fillId="0" borderId="13" xfId="171" applyNumberFormat="1" applyFont="1" applyFill="1" applyBorder="1" applyProtection="1"/>
    <xf numFmtId="0" fontId="21" fillId="0" borderId="13" xfId="2" applyFont="1" applyBorder="1" applyAlignment="1">
      <alignment horizontal="center" vertical="center" wrapText="1"/>
    </xf>
    <xf numFmtId="0" fontId="17" fillId="0" borderId="13" xfId="2" applyFont="1" applyBorder="1" applyAlignment="1">
      <alignment horizontal="center" vertical="center"/>
    </xf>
    <xf numFmtId="0" fontId="17" fillId="0" borderId="13" xfId="2" applyFont="1" applyBorder="1" applyAlignment="1">
      <alignment vertical="center"/>
    </xf>
    <xf numFmtId="0" fontId="17" fillId="0" borderId="13" xfId="2" applyFont="1" applyBorder="1" applyAlignment="1">
      <alignment vertical="center" wrapText="1"/>
    </xf>
    <xf numFmtId="0" fontId="17" fillId="0" borderId="13" xfId="2" applyFont="1" applyBorder="1" applyAlignment="1">
      <alignment horizontal="right" vertical="center"/>
    </xf>
    <xf numFmtId="3" fontId="17" fillId="0" borderId="13" xfId="2" applyNumberFormat="1" applyFont="1" applyBorder="1" applyAlignment="1">
      <alignment horizontal="right" vertical="center"/>
    </xf>
    <xf numFmtId="9" fontId="17" fillId="0" borderId="13" xfId="2" applyNumberFormat="1" applyFont="1" applyBorder="1" applyAlignment="1">
      <alignment vertical="center" wrapText="1"/>
    </xf>
    <xf numFmtId="0" fontId="17" fillId="0" borderId="13" xfId="2" applyFont="1" applyBorder="1" applyAlignment="1">
      <alignment wrapText="1"/>
    </xf>
    <xf numFmtId="0" fontId="17" fillId="0" borderId="13" xfId="2" applyFont="1" applyBorder="1"/>
    <xf numFmtId="3" fontId="17" fillId="0" borderId="13" xfId="2" applyNumberFormat="1" applyFont="1" applyBorder="1" applyAlignment="1">
      <alignment horizontal="right"/>
    </xf>
    <xf numFmtId="0" fontId="17" fillId="0" borderId="13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 wrapText="1"/>
    </xf>
    <xf numFmtId="0" fontId="21" fillId="0" borderId="13" xfId="2" applyFont="1" applyBorder="1"/>
    <xf numFmtId="3" fontId="21" fillId="0" borderId="13" xfId="2" applyNumberFormat="1" applyFont="1" applyBorder="1" applyAlignment="1">
      <alignment horizontal="right"/>
    </xf>
    <xf numFmtId="0" fontId="21" fillId="0" borderId="13" xfId="2" applyFont="1" applyBorder="1" applyAlignment="1">
      <alignment horizontal="right"/>
    </xf>
    <xf numFmtId="0" fontId="104" fillId="0" borderId="13" xfId="173" applyFont="1" applyBorder="1" applyAlignment="1">
      <alignment horizontal="center" vertical="center"/>
    </xf>
    <xf numFmtId="0" fontId="104" fillId="0" borderId="13" xfId="173" applyFont="1" applyFill="1" applyBorder="1" applyAlignment="1">
      <alignment horizontal="center" vertical="center" wrapText="1"/>
    </xf>
    <xf numFmtId="0" fontId="63" fillId="0" borderId="13" xfId="173" applyFont="1" applyBorder="1" applyAlignment="1">
      <alignment horizontal="center" vertical="center"/>
    </xf>
    <xf numFmtId="0" fontId="63" fillId="0" borderId="13" xfId="173" applyFont="1" applyBorder="1" applyAlignment="1">
      <alignment vertical="center" wrapText="1"/>
    </xf>
    <xf numFmtId="3" fontId="63" fillId="0" borderId="13" xfId="173" applyNumberFormat="1" applyFont="1" applyFill="1" applyBorder="1" applyAlignment="1">
      <alignment vertical="center"/>
    </xf>
    <xf numFmtId="0" fontId="63" fillId="0" borderId="13" xfId="173" applyFont="1" applyBorder="1" applyAlignment="1">
      <alignment vertical="center"/>
    </xf>
    <xf numFmtId="0" fontId="62" fillId="0" borderId="13" xfId="173" applyFont="1" applyBorder="1" applyAlignment="1">
      <alignment vertical="center"/>
    </xf>
    <xf numFmtId="3" fontId="62" fillId="0" borderId="13" xfId="173" applyNumberFormat="1" applyFont="1" applyFill="1" applyBorder="1" applyAlignment="1">
      <alignment vertical="center"/>
    </xf>
    <xf numFmtId="0" fontId="63" fillId="0" borderId="13" xfId="173" applyFont="1" applyBorder="1" applyAlignment="1">
      <alignment horizontal="left" vertical="center" wrapText="1"/>
    </xf>
    <xf numFmtId="0" fontId="104" fillId="0" borderId="13" xfId="173" applyFont="1" applyBorder="1" applyAlignment="1">
      <alignment horizontal="left" vertical="center"/>
    </xf>
    <xf numFmtId="3" fontId="104" fillId="0" borderId="13" xfId="173" applyNumberFormat="1" applyFont="1" applyBorder="1" applyAlignment="1">
      <alignment vertical="center"/>
    </xf>
    <xf numFmtId="0" fontId="104" fillId="0" borderId="13" xfId="173" applyFont="1" applyBorder="1" applyAlignment="1">
      <alignment vertical="center"/>
    </xf>
    <xf numFmtId="0" fontId="15" fillId="0" borderId="13" xfId="1" applyFont="1" applyFill="1" applyBorder="1" applyAlignment="1" applyProtection="1">
      <alignment horizontal="center" vertical="center" wrapText="1"/>
    </xf>
    <xf numFmtId="0" fontId="99" fillId="0" borderId="13" xfId="1" applyFont="1" applyFill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horizontal="left" vertical="center" wrapText="1" indent="1"/>
    </xf>
    <xf numFmtId="164" fontId="72" fillId="0" borderId="13" xfId="1" applyNumberFormat="1" applyFont="1" applyFill="1" applyBorder="1" applyAlignment="1" applyProtection="1">
      <alignment vertical="center" wrapText="1"/>
      <protection locked="0"/>
    </xf>
    <xf numFmtId="0" fontId="72" fillId="0" borderId="13" xfId="1" applyFont="1" applyFill="1" applyBorder="1" applyAlignment="1" applyProtection="1">
      <alignment horizontal="left" vertical="center" wrapText="1" indent="1"/>
    </xf>
    <xf numFmtId="164" fontId="99" fillId="0" borderId="13" xfId="1" applyNumberFormat="1" applyFont="1" applyFill="1" applyBorder="1" applyAlignment="1" applyProtection="1">
      <alignment vertical="center" wrapText="1"/>
    </xf>
    <xf numFmtId="164" fontId="99" fillId="0" borderId="13" xfId="1" applyNumberFormat="1" applyFont="1" applyFill="1" applyBorder="1" applyAlignment="1" applyProtection="1">
      <alignment vertical="center" wrapText="1"/>
      <protection locked="0"/>
    </xf>
    <xf numFmtId="0" fontId="16" fillId="0" borderId="13" xfId="1" applyFont="1" applyFill="1" applyBorder="1" applyAlignment="1" applyProtection="1">
      <alignment vertical="center" wrapText="1"/>
    </xf>
    <xf numFmtId="0" fontId="17" fillId="0" borderId="13" xfId="0" applyFont="1" applyBorder="1" applyAlignment="1" applyProtection="1">
      <alignment horizontal="left" vertical="center" wrapText="1" indent="1"/>
    </xf>
    <xf numFmtId="164" fontId="17" fillId="0" borderId="13" xfId="0" quotePrefix="1" applyNumberFormat="1" applyFont="1" applyBorder="1" applyAlignment="1" applyProtection="1">
      <alignment vertical="center" wrapText="1"/>
      <protection locked="0"/>
    </xf>
    <xf numFmtId="0" fontId="62" fillId="0" borderId="13" xfId="172" applyFont="1" applyBorder="1" applyAlignment="1">
      <alignment horizontal="center"/>
    </xf>
    <xf numFmtId="0" fontId="60" fillId="0" borderId="13" xfId="172" applyFont="1" applyBorder="1" applyAlignment="1">
      <alignment horizontal="left" vertical="center" wrapText="1"/>
    </xf>
    <xf numFmtId="3" fontId="60" fillId="0" borderId="13" xfId="172" applyNumberFormat="1" applyFont="1" applyBorder="1" applyAlignment="1">
      <alignment horizontal="center" vertical="center"/>
    </xf>
    <xf numFmtId="0" fontId="60" fillId="0" borderId="13" xfId="172" applyFont="1" applyBorder="1" applyAlignment="1">
      <alignment horizontal="center" vertical="center" wrapText="1"/>
    </xf>
    <xf numFmtId="3" fontId="62" fillId="0" borderId="13" xfId="172" applyNumberFormat="1" applyFont="1" applyBorder="1" applyAlignment="1">
      <alignment horizontal="center" vertical="center"/>
    </xf>
    <xf numFmtId="0" fontId="104" fillId="0" borderId="13" xfId="175" applyFont="1" applyBorder="1" applyAlignment="1">
      <alignment horizontal="center" vertical="center" wrapText="1"/>
    </xf>
    <xf numFmtId="0" fontId="63" fillId="0" borderId="13" xfId="175" applyFont="1" applyBorder="1" applyAlignment="1">
      <alignment horizontal="center" vertical="center"/>
    </xf>
    <xf numFmtId="0" fontId="112" fillId="0" borderId="13" xfId="0" applyFont="1" applyBorder="1" applyAlignment="1">
      <alignment horizontal="left" vertical="center" wrapText="1"/>
    </xf>
    <xf numFmtId="164" fontId="68" fillId="0" borderId="13" xfId="35" applyNumberFormat="1" applyFont="1" applyBorder="1" applyAlignment="1">
      <alignment horizontal="right" vertical="center"/>
    </xf>
    <xf numFmtId="0" fontId="113" fillId="0" borderId="13" xfId="0" applyFont="1" applyBorder="1" applyAlignment="1">
      <alignment horizontal="left" vertical="center" wrapText="1"/>
    </xf>
    <xf numFmtId="164" fontId="109" fillId="0" borderId="13" xfId="35" applyNumberFormat="1" applyFont="1" applyBorder="1" applyAlignment="1">
      <alignment horizontal="right" vertical="center"/>
    </xf>
    <xf numFmtId="164" fontId="104" fillId="0" borderId="13" xfId="175" applyNumberFormat="1" applyFont="1" applyBorder="1" applyAlignment="1">
      <alignment horizontal="right" vertical="center"/>
    </xf>
    <xf numFmtId="0" fontId="100" fillId="0" borderId="13" xfId="1" applyFont="1" applyFill="1" applyBorder="1" applyAlignment="1" applyProtection="1">
      <alignment horizontal="center" vertical="center" wrapText="1"/>
    </xf>
    <xf numFmtId="166" fontId="100" fillId="0" borderId="13" xfId="177" applyNumberFormat="1" applyFont="1" applyFill="1" applyBorder="1" applyAlignment="1" applyProtection="1">
      <alignment horizontal="center" vertical="center" wrapText="1"/>
    </xf>
    <xf numFmtId="1" fontId="99" fillId="0" borderId="13" xfId="1" applyNumberFormat="1" applyFont="1" applyFill="1" applyBorder="1" applyAlignment="1" applyProtection="1">
      <alignment horizontal="center" vertical="center"/>
    </xf>
    <xf numFmtId="1" fontId="99" fillId="0" borderId="13" xfId="177" applyNumberFormat="1" applyFont="1" applyFill="1" applyBorder="1" applyAlignment="1" applyProtection="1">
      <alignment horizontal="center" vertical="center"/>
    </xf>
    <xf numFmtId="0" fontId="99" fillId="0" borderId="13" xfId="1" applyFont="1" applyFill="1" applyBorder="1" applyAlignment="1" applyProtection="1">
      <alignment horizontal="center" vertical="center"/>
    </xf>
    <xf numFmtId="0" fontId="68" fillId="0" borderId="13" xfId="176" applyFont="1" applyFill="1" applyBorder="1" applyAlignment="1">
      <alignment wrapText="1"/>
    </xf>
    <xf numFmtId="166" fontId="68" fillId="0" borderId="13" xfId="177" applyNumberFormat="1" applyFont="1" applyFill="1" applyBorder="1" applyAlignment="1">
      <alignment horizontal="center" vertical="center"/>
    </xf>
    <xf numFmtId="166" fontId="99" fillId="0" borderId="13" xfId="177" applyNumberFormat="1" applyFont="1" applyFill="1" applyBorder="1" applyAlignment="1" applyProtection="1">
      <alignment vertical="center"/>
      <protection locked="0"/>
    </xf>
    <xf numFmtId="0" fontId="68" fillId="0" borderId="13" xfId="176" applyFont="1" applyBorder="1" applyAlignment="1">
      <alignment wrapText="1"/>
    </xf>
    <xf numFmtId="166" fontId="68" fillId="0" borderId="13" xfId="177" applyNumberFormat="1" applyFont="1" applyBorder="1" applyAlignment="1">
      <alignment vertical="center"/>
    </xf>
    <xf numFmtId="0" fontId="68" fillId="0" borderId="13" xfId="176" applyFont="1" applyBorder="1" applyAlignment="1">
      <alignment vertical="center" wrapText="1"/>
    </xf>
    <xf numFmtId="166" fontId="68" fillId="0" borderId="13" xfId="177" applyNumberFormat="1" applyFont="1" applyBorder="1" applyAlignment="1">
      <alignment horizontal="center" vertical="center"/>
    </xf>
    <xf numFmtId="0" fontId="68" fillId="0" borderId="13" xfId="176" applyFont="1" applyBorder="1" applyAlignment="1">
      <alignment vertical="center" wrapText="1" shrinkToFit="1"/>
    </xf>
    <xf numFmtId="0" fontId="100" fillId="0" borderId="13" xfId="1" applyFont="1" applyFill="1" applyBorder="1" applyAlignment="1" applyProtection="1">
      <alignment horizontal="center" vertical="center"/>
    </xf>
    <xf numFmtId="0" fontId="100" fillId="0" borderId="13" xfId="1" applyFont="1" applyFill="1" applyBorder="1" applyAlignment="1" applyProtection="1">
      <alignment vertical="center" wrapText="1"/>
      <protection locked="0"/>
    </xf>
    <xf numFmtId="166" fontId="100" fillId="0" borderId="13" xfId="177" applyNumberFormat="1" applyFont="1" applyFill="1" applyBorder="1" applyAlignment="1" applyProtection="1">
      <alignment vertical="center"/>
      <protection locked="0"/>
    </xf>
    <xf numFmtId="0" fontId="60" fillId="0" borderId="13" xfId="176" applyFont="1" applyFill="1" applyBorder="1" applyAlignment="1">
      <alignment wrapText="1"/>
    </xf>
    <xf numFmtId="166" fontId="60" fillId="0" borderId="13" xfId="177" applyNumberFormat="1" applyFont="1" applyBorder="1" applyAlignment="1">
      <alignment horizontal="center"/>
    </xf>
    <xf numFmtId="0" fontId="60" fillId="0" borderId="13" xfId="176" applyFont="1" applyBorder="1" applyAlignment="1">
      <alignment wrapText="1"/>
    </xf>
    <xf numFmtId="166" fontId="60" fillId="0" borderId="13" xfId="177" applyNumberFormat="1" applyFont="1" applyFill="1" applyBorder="1" applyAlignment="1">
      <alignment horizontal="center"/>
    </xf>
    <xf numFmtId="166" fontId="117" fillId="0" borderId="13" xfId="177" applyNumberFormat="1" applyFont="1" applyFill="1" applyBorder="1" applyAlignment="1"/>
    <xf numFmtId="166" fontId="100" fillId="0" borderId="13" xfId="177" applyNumberFormat="1" applyFont="1" applyFill="1" applyBorder="1" applyAlignment="1" applyProtection="1">
      <alignment vertical="center"/>
    </xf>
    <xf numFmtId="0" fontId="18" fillId="0" borderId="0" xfId="1" applyFont="1" applyFill="1" applyProtection="1"/>
    <xf numFmtId="0" fontId="14" fillId="0" borderId="0" xfId="1" applyFont="1" applyFill="1" applyProtection="1"/>
    <xf numFmtId="164" fontId="19" fillId="0" borderId="13" xfId="67" applyNumberFormat="1" applyFont="1" applyBorder="1" applyAlignment="1">
      <alignment horizontal="left" vertical="center" wrapText="1"/>
    </xf>
    <xf numFmtId="164" fontId="19" fillId="0" borderId="13" xfId="67" applyNumberFormat="1" applyFont="1" applyBorder="1" applyAlignment="1">
      <alignment vertical="center"/>
    </xf>
    <xf numFmtId="165" fontId="19" fillId="0" borderId="13" xfId="67" applyNumberFormat="1" applyFont="1" applyBorder="1" applyAlignment="1">
      <alignment vertical="center"/>
    </xf>
    <xf numFmtId="0" fontId="120" fillId="0" borderId="0" xfId="0" applyFont="1"/>
    <xf numFmtId="0" fontId="64" fillId="0" borderId="0" xfId="0" applyFont="1"/>
    <xf numFmtId="0" fontId="21" fillId="0" borderId="0" xfId="51" applyFont="1" applyFill="1"/>
    <xf numFmtId="3" fontId="21" fillId="0" borderId="13" xfId="51" applyNumberFormat="1" applyFont="1" applyFill="1" applyBorder="1" applyAlignment="1">
      <alignment horizontal="center" vertical="center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8" fillId="0" borderId="1" xfId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center" vertical="center" wrapText="1"/>
    </xf>
    <xf numFmtId="0" fontId="18" fillId="0" borderId="3" xfId="1" applyFont="1" applyFill="1" applyBorder="1" applyAlignment="1" applyProtection="1">
      <alignment horizontal="center" vertical="center" wrapText="1"/>
    </xf>
    <xf numFmtId="3" fontId="93" fillId="0" borderId="13" xfId="1" applyNumberFormat="1" applyFont="1" applyFill="1" applyBorder="1" applyAlignment="1" applyProtection="1">
      <alignment horizontal="center"/>
    </xf>
    <xf numFmtId="0" fontId="93" fillId="0" borderId="0" xfId="1" applyFont="1" applyFill="1" applyProtection="1"/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0" fontId="28" fillId="0" borderId="12" xfId="0" applyFont="1" applyFill="1" applyBorder="1" applyAlignment="1" applyProtection="1"/>
    <xf numFmtId="0" fontId="67" fillId="0" borderId="12" xfId="51" applyFont="1" applyBorder="1" applyAlignment="1">
      <alignment vertical="center"/>
    </xf>
    <xf numFmtId="3" fontId="21" fillId="0" borderId="13" xfId="178" applyNumberFormat="1" applyFont="1" applyFill="1" applyBorder="1" applyAlignment="1">
      <alignment horizontal="center" vertical="center" wrapText="1"/>
    </xf>
    <xf numFmtId="0" fontId="21" fillId="0" borderId="0" xfId="178" applyFont="1" applyFill="1" applyAlignment="1">
      <alignment horizontal="center" vertical="top" wrapText="1"/>
    </xf>
    <xf numFmtId="0" fontId="17" fillId="0" borderId="13" xfId="178" applyFont="1" applyFill="1" applyBorder="1" applyAlignment="1">
      <alignment vertical="center"/>
    </xf>
    <xf numFmtId="0" fontId="21" fillId="0" borderId="13" xfId="178" applyFont="1" applyFill="1" applyBorder="1" applyAlignment="1">
      <alignment horizontal="center" vertical="center" wrapText="1"/>
    </xf>
    <xf numFmtId="0" fontId="18" fillId="0" borderId="26" xfId="1" applyFont="1" applyFill="1" applyBorder="1" applyAlignment="1" applyProtection="1">
      <alignment horizontal="center" vertical="center" wrapText="1"/>
    </xf>
    <xf numFmtId="0" fontId="29" fillId="0" borderId="0" xfId="1" applyFont="1" applyFill="1" applyProtection="1"/>
    <xf numFmtId="3" fontId="18" fillId="0" borderId="13" xfId="1" applyNumberFormat="1" applyFont="1" applyFill="1" applyBorder="1" applyAlignment="1" applyProtection="1">
      <alignment horizontal="center"/>
    </xf>
    <xf numFmtId="0" fontId="98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18" fillId="0" borderId="0" xfId="0" applyFont="1" applyBorder="1"/>
    <xf numFmtId="164" fontId="21" fillId="0" borderId="13" xfId="159" applyNumberFormat="1" applyFont="1" applyBorder="1" applyAlignment="1">
      <alignment vertical="center"/>
    </xf>
    <xf numFmtId="164" fontId="21" fillId="0" borderId="13" xfId="159" applyNumberFormat="1" applyFont="1" applyBorder="1" applyAlignment="1">
      <alignment horizontal="center" vertical="center"/>
    </xf>
    <xf numFmtId="0" fontId="18" fillId="0" borderId="14" xfId="1" applyFont="1" applyFill="1" applyBorder="1" applyAlignment="1" applyProtection="1">
      <alignment horizontal="center" vertical="center" wrapText="1"/>
    </xf>
    <xf numFmtId="3" fontId="0" fillId="0" borderId="13" xfId="1" applyNumberFormat="1" applyFont="1" applyFill="1" applyBorder="1" applyProtection="1"/>
    <xf numFmtId="164" fontId="0" fillId="0" borderId="0" xfId="0" applyNumberFormat="1" applyFont="1" applyFill="1" applyAlignment="1" applyProtection="1">
      <alignment textRotation="180" wrapText="1"/>
    </xf>
    <xf numFmtId="164" fontId="0" fillId="0" borderId="13" xfId="0" applyNumberFormat="1" applyFont="1" applyFill="1" applyBorder="1" applyAlignment="1" applyProtection="1">
      <alignment wrapText="1"/>
    </xf>
    <xf numFmtId="164" fontId="0" fillId="0" borderId="13" xfId="0" applyNumberFormat="1" applyFont="1" applyFill="1" applyBorder="1" applyAlignment="1" applyProtection="1">
      <alignment textRotation="180" wrapText="1"/>
    </xf>
    <xf numFmtId="164" fontId="0" fillId="0" borderId="0" xfId="0" applyNumberFormat="1" applyFont="1" applyFill="1" applyAlignment="1" applyProtection="1">
      <alignment vertical="center" wrapText="1"/>
    </xf>
    <xf numFmtId="3" fontId="0" fillId="0" borderId="13" xfId="1" applyNumberFormat="1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vertical="center" wrapText="1"/>
    </xf>
    <xf numFmtId="164" fontId="16" fillId="0" borderId="13" xfId="0" applyNumberFormat="1" applyFont="1" applyFill="1" applyBorder="1" applyAlignment="1">
      <alignment vertical="center" wrapText="1"/>
    </xf>
    <xf numFmtId="164" fontId="14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13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3" fontId="18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 applyProtection="1">
      <alignment horizontal="right"/>
    </xf>
    <xf numFmtId="10" fontId="0" fillId="0" borderId="0" xfId="0" applyNumberFormat="1" applyFont="1" applyFill="1" applyAlignment="1">
      <alignment vertical="center"/>
    </xf>
    <xf numFmtId="10" fontId="18" fillId="0" borderId="13" xfId="0" applyNumberFormat="1" applyFont="1" applyFill="1" applyBorder="1" applyAlignment="1">
      <alignment vertical="center" wrapText="1"/>
    </xf>
    <xf numFmtId="3" fontId="18" fillId="0" borderId="13" xfId="0" applyNumberFormat="1" applyFont="1" applyFill="1" applyBorder="1" applyAlignment="1">
      <alignment horizontal="center" vertical="center" wrapText="1"/>
    </xf>
    <xf numFmtId="10" fontId="18" fillId="0" borderId="13" xfId="0" applyNumberFormat="1" applyFont="1" applyFill="1" applyBorder="1" applyAlignment="1">
      <alignment horizontal="center" vertical="center" wrapText="1"/>
    </xf>
    <xf numFmtId="10" fontId="0" fillId="0" borderId="13" xfId="0" applyNumberFormat="1" applyFont="1" applyFill="1" applyBorder="1" applyAlignment="1">
      <alignment vertical="center" wrapText="1"/>
    </xf>
    <xf numFmtId="3" fontId="18" fillId="0" borderId="13" xfId="0" applyNumberFormat="1" applyFont="1" applyFill="1" applyBorder="1" applyAlignment="1" applyProtection="1">
      <alignment horizontal="right" vertical="center" wrapText="1"/>
      <protection locked="0"/>
    </xf>
    <xf numFmtId="10" fontId="0" fillId="0" borderId="0" xfId="0" applyNumberFormat="1" applyFont="1" applyFill="1" applyAlignment="1">
      <alignment vertical="center" wrapText="1"/>
    </xf>
    <xf numFmtId="10" fontId="0" fillId="0" borderId="0" xfId="0" applyNumberFormat="1" applyFont="1" applyFill="1" applyBorder="1" applyAlignment="1">
      <alignment vertical="center" wrapText="1"/>
    </xf>
    <xf numFmtId="3" fontId="0" fillId="0" borderId="13" xfId="0" applyNumberFormat="1" applyFont="1" applyFill="1" applyBorder="1" applyAlignment="1">
      <alignment horizontal="center" vertical="center" wrapText="1"/>
    </xf>
    <xf numFmtId="10" fontId="94" fillId="0" borderId="0" xfId="0" applyNumberFormat="1" applyFont="1" applyFill="1" applyAlignment="1">
      <alignment vertical="center"/>
    </xf>
    <xf numFmtId="10" fontId="99" fillId="0" borderId="0" xfId="0" applyNumberFormat="1" applyFont="1" applyFill="1" applyAlignment="1">
      <alignment vertical="center" wrapText="1"/>
    </xf>
    <xf numFmtId="10" fontId="12" fillId="0" borderId="0" xfId="1" applyNumberFormat="1" applyFont="1" applyFill="1" applyProtection="1"/>
    <xf numFmtId="10" fontId="94" fillId="0" borderId="0" xfId="0" applyNumberFormat="1" applyFont="1" applyFill="1" applyBorder="1" applyAlignment="1" applyProtection="1">
      <alignment horizontal="right" vertical="center"/>
    </xf>
    <xf numFmtId="10" fontId="18" fillId="0" borderId="13" xfId="1" applyNumberFormat="1" applyFont="1" applyFill="1" applyBorder="1" applyAlignment="1" applyProtection="1">
      <alignment horizontal="center" vertical="center"/>
    </xf>
    <xf numFmtId="10" fontId="0" fillId="0" borderId="13" xfId="1" applyNumberFormat="1" applyFont="1" applyFill="1" applyBorder="1" applyProtection="1"/>
    <xf numFmtId="10" fontId="12" fillId="0" borderId="0" xfId="1" applyNumberFormat="1" applyFont="1" applyFill="1" applyAlignment="1" applyProtection="1"/>
    <xf numFmtId="10" fontId="0" fillId="0" borderId="13" xfId="1" applyNumberFormat="1" applyFont="1" applyFill="1" applyBorder="1" applyAlignment="1" applyProtection="1">
      <alignment horizontal="center" vertical="center"/>
    </xf>
    <xf numFmtId="10" fontId="0" fillId="0" borderId="13" xfId="1" applyNumberFormat="1" applyFont="1" applyFill="1" applyBorder="1" applyAlignment="1" applyProtection="1">
      <alignment horizontal="center"/>
    </xf>
    <xf numFmtId="10" fontId="14" fillId="0" borderId="13" xfId="1" applyNumberFormat="1" applyFont="1" applyFill="1" applyBorder="1" applyAlignment="1" applyProtection="1">
      <alignment horizontal="right" vertical="center" wrapText="1" indent="1"/>
    </xf>
    <xf numFmtId="3" fontId="12" fillId="0" borderId="0" xfId="1" applyNumberFormat="1" applyFont="1" applyFill="1" applyProtection="1"/>
    <xf numFmtId="3" fontId="18" fillId="0" borderId="13" xfId="1" applyNumberFormat="1" applyFont="1" applyFill="1" applyBorder="1" applyAlignment="1" applyProtection="1">
      <alignment vertical="center" wrapText="1"/>
    </xf>
    <xf numFmtId="3" fontId="14" fillId="0" borderId="13" xfId="1" applyNumberFormat="1" applyFont="1" applyFill="1" applyBorder="1" applyAlignment="1" applyProtection="1">
      <alignment vertical="center" wrapText="1"/>
    </xf>
    <xf numFmtId="3" fontId="18" fillId="0" borderId="13" xfId="1" applyNumberFormat="1" applyFont="1" applyFill="1" applyBorder="1" applyAlignment="1" applyProtection="1">
      <alignment vertical="center" wrapText="1"/>
      <protection locked="0"/>
    </xf>
    <xf numFmtId="3" fontId="12" fillId="0" borderId="0" xfId="1" applyNumberFormat="1" applyFont="1" applyFill="1" applyAlignment="1" applyProtection="1"/>
    <xf numFmtId="3" fontId="0" fillId="0" borderId="13" xfId="1" applyNumberFormat="1" applyFont="1" applyFill="1" applyBorder="1" applyAlignment="1" applyProtection="1">
      <alignment horizontal="center"/>
    </xf>
    <xf numFmtId="10" fontId="0" fillId="0" borderId="0" xfId="0" applyNumberFormat="1" applyFill="1" applyAlignment="1" applyProtection="1">
      <alignment vertical="center" wrapText="1"/>
    </xf>
    <xf numFmtId="10" fontId="18" fillId="0" borderId="13" xfId="0" applyNumberFormat="1" applyFont="1" applyFill="1" applyBorder="1" applyAlignment="1" applyProtection="1">
      <alignment horizontal="center" vertical="center" wrapText="1"/>
    </xf>
    <xf numFmtId="10" fontId="0" fillId="0" borderId="13" xfId="0" applyNumberFormat="1" applyFont="1" applyFill="1" applyBorder="1" applyAlignment="1" applyProtection="1">
      <alignment vertical="center" wrapText="1"/>
      <protection locked="0"/>
    </xf>
    <xf numFmtId="10" fontId="28" fillId="0" borderId="12" xfId="0" applyNumberFormat="1" applyFont="1" applyFill="1" applyBorder="1" applyAlignment="1" applyProtection="1"/>
    <xf numFmtId="10" fontId="14" fillId="0" borderId="13" xfId="0" applyNumberFormat="1" applyFont="1" applyFill="1" applyBorder="1" applyAlignment="1" applyProtection="1">
      <alignment horizontal="center" vertical="center" wrapText="1"/>
    </xf>
    <xf numFmtId="10" fontId="29" fillId="0" borderId="13" xfId="0" applyNumberFormat="1" applyFont="1" applyFill="1" applyBorder="1" applyAlignment="1" applyProtection="1">
      <alignment horizontal="center" vertical="center" wrapText="1"/>
    </xf>
    <xf numFmtId="10" fontId="0" fillId="0" borderId="13" xfId="0" applyNumberFormat="1" applyFill="1" applyBorder="1" applyAlignment="1" applyProtection="1">
      <alignment vertical="center" wrapText="1"/>
    </xf>
    <xf numFmtId="9" fontId="0" fillId="0" borderId="0" xfId="0" applyNumberFormat="1" applyFill="1" applyAlignment="1" applyProtection="1">
      <alignment vertical="center" wrapText="1"/>
    </xf>
    <xf numFmtId="9" fontId="18" fillId="0" borderId="13" xfId="0" applyNumberFormat="1" applyFont="1" applyFill="1" applyBorder="1" applyAlignment="1" applyProtection="1">
      <alignment horizontal="center" vertical="center" wrapText="1"/>
    </xf>
    <xf numFmtId="9" fontId="29" fillId="0" borderId="13" xfId="0" applyNumberFormat="1" applyFont="1" applyFill="1" applyBorder="1" applyAlignment="1" applyProtection="1">
      <alignment horizontal="center" vertical="center" wrapText="1"/>
    </xf>
    <xf numFmtId="9" fontId="0" fillId="0" borderId="13" xfId="0" applyNumberFormat="1" applyFont="1" applyFill="1" applyBorder="1" applyAlignment="1" applyProtection="1">
      <alignment vertical="center" wrapText="1"/>
      <protection locked="0"/>
    </xf>
    <xf numFmtId="9" fontId="18" fillId="0" borderId="13" xfId="0" applyNumberFormat="1" applyFont="1" applyFill="1" applyBorder="1" applyAlignment="1" applyProtection="1">
      <alignment vertical="center" wrapText="1"/>
    </xf>
    <xf numFmtId="10" fontId="94" fillId="0" borderId="0" xfId="0" applyNumberFormat="1" applyFont="1" applyFill="1" applyAlignment="1" applyProtection="1">
      <alignment vertical="center" wrapText="1"/>
    </xf>
    <xf numFmtId="10" fontId="95" fillId="0" borderId="0" xfId="51" applyNumberFormat="1" applyFont="1"/>
    <xf numFmtId="10" fontId="21" fillId="0" borderId="13" xfId="51" applyNumberFormat="1" applyFont="1" applyBorder="1"/>
    <xf numFmtId="10" fontId="21" fillId="0" borderId="13" xfId="51" applyNumberFormat="1" applyFont="1" applyBorder="1" applyAlignment="1">
      <alignment horizontal="center" vertical="center"/>
    </xf>
    <xf numFmtId="10" fontId="17" fillId="0" borderId="13" xfId="51" applyNumberFormat="1" applyFont="1" applyBorder="1"/>
    <xf numFmtId="10" fontId="17" fillId="0" borderId="0" xfId="51" applyNumberFormat="1" applyFont="1"/>
    <xf numFmtId="10" fontId="95" fillId="0" borderId="0" xfId="178" applyNumberFormat="1" applyFont="1" applyFill="1"/>
    <xf numFmtId="10" fontId="21" fillId="0" borderId="13" xfId="178" applyNumberFormat="1" applyFont="1" applyFill="1" applyBorder="1" applyAlignment="1">
      <alignment horizontal="center" vertical="center" wrapText="1"/>
    </xf>
    <xf numFmtId="10" fontId="17" fillId="0" borderId="13" xfId="178" applyNumberFormat="1" applyFont="1" applyFill="1" applyBorder="1" applyAlignment="1">
      <alignment vertical="center"/>
    </xf>
    <xf numFmtId="10" fontId="21" fillId="0" borderId="0" xfId="178" applyNumberFormat="1" applyFont="1" applyFill="1" applyAlignment="1">
      <alignment vertical="center"/>
    </xf>
    <xf numFmtId="10" fontId="17" fillId="0" borderId="13" xfId="178" applyNumberFormat="1" applyFont="1" applyFill="1" applyBorder="1"/>
    <xf numFmtId="10" fontId="17" fillId="0" borderId="0" xfId="178" applyNumberFormat="1" applyFont="1" applyFill="1"/>
    <xf numFmtId="0" fontId="107" fillId="0" borderId="0" xfId="48" applyFont="1"/>
    <xf numFmtId="10" fontId="21" fillId="0" borderId="13" xfId="51" applyNumberFormat="1" applyFont="1" applyFill="1" applyBorder="1" applyAlignment="1">
      <alignment horizontal="center" vertical="center"/>
    </xf>
    <xf numFmtId="3" fontId="21" fillId="25" borderId="10" xfId="51" applyNumberFormat="1" applyFont="1" applyFill="1" applyBorder="1" applyAlignment="1">
      <alignment horizontal="right" vertical="center"/>
    </xf>
    <xf numFmtId="10" fontId="17" fillId="0" borderId="13" xfId="51" applyNumberFormat="1" applyFont="1" applyBorder="1" applyAlignment="1">
      <alignment vertical="center"/>
    </xf>
    <xf numFmtId="164" fontId="21" fillId="0" borderId="13" xfId="67" applyNumberFormat="1" applyFont="1" applyFill="1" applyBorder="1" applyAlignment="1">
      <alignment horizontal="left" vertical="center"/>
    </xf>
    <xf numFmtId="164" fontId="115" fillId="0" borderId="13" xfId="67" applyNumberFormat="1" applyFont="1" applyBorder="1" applyAlignment="1">
      <alignment vertical="center" wrapText="1"/>
    </xf>
    <xf numFmtId="164" fontId="96" fillId="0" borderId="13" xfId="67" applyNumberFormat="1" applyFont="1" applyBorder="1" applyAlignment="1">
      <alignment vertical="center"/>
    </xf>
    <xf numFmtId="164" fontId="96" fillId="0" borderId="13" xfId="67" applyNumberFormat="1" applyFont="1" applyFill="1" applyBorder="1" applyAlignment="1">
      <alignment vertical="center"/>
    </xf>
    <xf numFmtId="0" fontId="121" fillId="0" borderId="0" xfId="0" applyFont="1"/>
    <xf numFmtId="164" fontId="19" fillId="25" borderId="13" xfId="67" applyNumberFormat="1" applyFont="1" applyFill="1" applyBorder="1" applyAlignment="1">
      <alignment vertical="center"/>
    </xf>
    <xf numFmtId="10" fontId="94" fillId="0" borderId="0" xfId="1" applyNumberFormat="1" applyFont="1" applyFill="1" applyProtection="1"/>
    <xf numFmtId="10" fontId="93" fillId="0" borderId="13" xfId="1" applyNumberFormat="1" applyFont="1" applyFill="1" applyBorder="1" applyAlignment="1" applyProtection="1">
      <alignment horizontal="right" vertical="center"/>
    </xf>
    <xf numFmtId="10" fontId="0" fillId="0" borderId="0" xfId="1" applyNumberFormat="1" applyFont="1" applyFill="1" applyBorder="1" applyProtection="1"/>
    <xf numFmtId="3" fontId="16" fillId="0" borderId="13" xfId="0" applyNumberFormat="1" applyFont="1" applyFill="1" applyBorder="1" applyAlignment="1">
      <alignment horizontal="center" vertical="center" wrapText="1"/>
    </xf>
    <xf numFmtId="3" fontId="14" fillId="0" borderId="13" xfId="0" applyNumberFormat="1" applyFont="1" applyFill="1" applyBorder="1" applyAlignment="1">
      <alignment horizontal="center" vertical="center" wrapText="1"/>
    </xf>
    <xf numFmtId="164" fontId="21" fillId="25" borderId="13" xfId="67" applyNumberFormat="1" applyFont="1" applyFill="1" applyBorder="1" applyAlignment="1">
      <alignment vertical="center"/>
    </xf>
    <xf numFmtId="164" fontId="21" fillId="0" borderId="13" xfId="67" applyNumberFormat="1" applyFont="1" applyBorder="1" applyAlignment="1">
      <alignment horizontal="left" vertical="center" wrapText="1"/>
    </xf>
    <xf numFmtId="164" fontId="96" fillId="0" borderId="13" xfId="67" applyNumberFormat="1" applyFont="1" applyBorder="1" applyAlignment="1">
      <alignment horizontal="left" vertical="center" wrapText="1"/>
    </xf>
    <xf numFmtId="164" fontId="96" fillId="25" borderId="13" xfId="67" applyNumberFormat="1" applyFont="1" applyFill="1" applyBorder="1" applyAlignment="1">
      <alignment vertical="center"/>
    </xf>
    <xf numFmtId="164" fontId="19" fillId="0" borderId="13" xfId="67" applyNumberFormat="1" applyFont="1" applyFill="1" applyBorder="1" applyAlignment="1">
      <alignment horizontal="left" vertical="center"/>
    </xf>
    <xf numFmtId="3" fontId="21" fillId="25" borderId="13" xfId="67" applyNumberFormat="1" applyFont="1" applyFill="1" applyBorder="1" applyAlignment="1">
      <alignment vertical="center"/>
    </xf>
    <xf numFmtId="164" fontId="70" fillId="0" borderId="13" xfId="67" applyNumberFormat="1" applyFont="1" applyBorder="1" applyAlignment="1">
      <alignment vertical="center" wrapText="1"/>
    </xf>
    <xf numFmtId="3" fontId="17" fillId="0" borderId="13" xfId="51" applyNumberFormat="1" applyFont="1" applyFill="1" applyBorder="1" applyAlignment="1">
      <alignment horizontal="center" vertical="center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0" fillId="0" borderId="13" xfId="0" applyNumberFormat="1" applyFill="1" applyBorder="1" applyAlignment="1" applyProtection="1">
      <alignment horizontal="center" wrapText="1"/>
    </xf>
    <xf numFmtId="3" fontId="0" fillId="0" borderId="13" xfId="0" applyNumberFormat="1" applyFill="1" applyBorder="1" applyAlignment="1" applyProtection="1">
      <alignment horizontal="center" wrapText="1"/>
    </xf>
    <xf numFmtId="0" fontId="56" fillId="0" borderId="12" xfId="0" applyFont="1" applyBorder="1" applyAlignment="1">
      <alignment horizontal="right"/>
    </xf>
    <xf numFmtId="0" fontId="56" fillId="0" borderId="0" xfId="0" applyFont="1" applyFill="1" applyBorder="1"/>
    <xf numFmtId="10" fontId="9" fillId="0" borderId="0" xfId="1" applyNumberFormat="1" applyFont="1" applyFill="1" applyAlignment="1" applyProtection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10" fontId="9" fillId="0" borderId="0" xfId="1" applyNumberFormat="1" applyFont="1" applyFill="1" applyAlignment="1" applyProtection="1">
      <alignment vertical="center" wrapText="1"/>
    </xf>
    <xf numFmtId="0" fontId="0" fillId="0" borderId="0" xfId="0" applyAlignment="1">
      <alignment horizontal="center"/>
    </xf>
    <xf numFmtId="3" fontId="9" fillId="0" borderId="0" xfId="1" applyNumberFormat="1" applyFont="1" applyFill="1" applyAlignment="1" applyProtection="1">
      <alignment vertical="center" wrapText="1"/>
    </xf>
    <xf numFmtId="49" fontId="0" fillId="0" borderId="0" xfId="0" applyNumberFormat="1" applyAlignment="1">
      <alignment horizontal="center"/>
    </xf>
    <xf numFmtId="49" fontId="9" fillId="0" borderId="0" xfId="1" applyNumberFormat="1" applyFont="1" applyFill="1" applyAlignment="1" applyProtection="1">
      <alignment horizontal="center" wrapText="1"/>
    </xf>
    <xf numFmtId="49" fontId="21" fillId="0" borderId="13" xfId="161" applyNumberFormat="1" applyFont="1" applyFill="1" applyBorder="1" applyAlignment="1" applyProtection="1">
      <alignment horizontal="center" wrapText="1"/>
    </xf>
    <xf numFmtId="3" fontId="0" fillId="0" borderId="0" xfId="0" applyNumberFormat="1" applyAlignment="1">
      <alignment vertical="center"/>
    </xf>
    <xf numFmtId="3" fontId="21" fillId="0" borderId="13" xfId="161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49" fontId="0" fillId="0" borderId="13" xfId="0" applyNumberForma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49" fontId="18" fillId="0" borderId="13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vertical="center"/>
    </xf>
    <xf numFmtId="0" fontId="18" fillId="0" borderId="0" xfId="0" applyFont="1"/>
    <xf numFmtId="0" fontId="17" fillId="0" borderId="0" xfId="160" applyNumberFormat="1" applyFont="1" applyFill="1" applyBorder="1" applyAlignment="1">
      <alignment horizontal="left" vertical="center"/>
    </xf>
    <xf numFmtId="164" fontId="17" fillId="0" borderId="0" xfId="160" applyNumberFormat="1" applyFont="1" applyFill="1" applyBorder="1" applyAlignment="1">
      <alignment horizontal="left" vertical="center" wrapText="1"/>
    </xf>
    <xf numFmtId="10" fontId="17" fillId="0" borderId="0" xfId="160" applyNumberFormat="1" applyFont="1" applyFill="1" applyBorder="1" applyAlignment="1">
      <alignment horizontal="left" vertical="center"/>
    </xf>
    <xf numFmtId="0" fontId="25" fillId="0" borderId="37" xfId="213" applyFont="1" applyFill="1" applyBorder="1" applyProtection="1"/>
    <xf numFmtId="0" fontId="12" fillId="0" borderId="0" xfId="213" applyFill="1" applyBorder="1" applyAlignment="1" applyProtection="1"/>
    <xf numFmtId="0" fontId="12" fillId="0" borderId="38" xfId="213" applyFill="1" applyBorder="1" applyAlignment="1" applyProtection="1"/>
    <xf numFmtId="164" fontId="21" fillId="0" borderId="37" xfId="160" applyNumberFormat="1" applyFont="1" applyFill="1" applyBorder="1" applyAlignment="1">
      <alignment horizontal="left" vertical="center"/>
    </xf>
    <xf numFmtId="164" fontId="50" fillId="0" borderId="38" xfId="160" applyNumberFormat="1" applyFont="1" applyBorder="1" applyAlignment="1">
      <alignment vertical="center"/>
    </xf>
    <xf numFmtId="3" fontId="17" fillId="0" borderId="0" xfId="160" applyNumberFormat="1" applyFont="1" applyFill="1" applyBorder="1" applyAlignment="1">
      <alignment horizontal="right" vertical="center" wrapText="1"/>
    </xf>
    <xf numFmtId="164" fontId="17" fillId="0" borderId="39" xfId="160" applyNumberFormat="1" applyFont="1" applyFill="1" applyBorder="1" applyAlignment="1">
      <alignment vertical="center"/>
    </xf>
    <xf numFmtId="164" fontId="17" fillId="0" borderId="33" xfId="160" applyNumberFormat="1" applyFont="1" applyFill="1" applyBorder="1" applyAlignment="1">
      <alignment vertical="center"/>
    </xf>
    <xf numFmtId="3" fontId="95" fillId="0" borderId="40" xfId="76" applyNumberFormat="1" applyFont="1" applyFill="1" applyBorder="1" applyAlignment="1">
      <alignment horizontal="right" vertical="center"/>
    </xf>
    <xf numFmtId="164" fontId="21" fillId="0" borderId="41" xfId="160" applyNumberFormat="1" applyFont="1" applyFill="1" applyBorder="1" applyAlignment="1">
      <alignment horizontal="center" vertical="center"/>
    </xf>
    <xf numFmtId="164" fontId="21" fillId="0" borderId="42" xfId="160" applyNumberFormat="1" applyFont="1" applyFill="1" applyBorder="1" applyAlignment="1">
      <alignment horizontal="center" vertical="center" wrapText="1"/>
    </xf>
    <xf numFmtId="164" fontId="21" fillId="0" borderId="42" xfId="160" applyNumberFormat="1" applyFont="1" applyFill="1" applyBorder="1" applyAlignment="1">
      <alignment horizontal="center" vertical="center"/>
    </xf>
    <xf numFmtId="164" fontId="21" fillId="0" borderId="43" xfId="160" applyNumberFormat="1" applyFont="1" applyFill="1" applyBorder="1" applyAlignment="1">
      <alignment horizontal="center" vertical="center"/>
    </xf>
    <xf numFmtId="164" fontId="21" fillId="0" borderId="44" xfId="160" applyNumberFormat="1" applyFont="1" applyFill="1" applyBorder="1" applyAlignment="1">
      <alignment horizontal="center" vertical="center" wrapText="1"/>
    </xf>
    <xf numFmtId="164" fontId="21" fillId="0" borderId="45" xfId="160" applyNumberFormat="1" applyFont="1" applyFill="1" applyBorder="1" applyAlignment="1">
      <alignment horizontal="right" vertical="center"/>
    </xf>
    <xf numFmtId="164" fontId="17" fillId="0" borderId="44" xfId="160" applyNumberFormat="1" applyFont="1" applyFill="1" applyBorder="1" applyAlignment="1">
      <alignment vertical="center" wrapText="1"/>
    </xf>
    <xf numFmtId="164" fontId="17" fillId="0" borderId="45" xfId="160" applyNumberFormat="1" applyFont="1" applyFill="1" applyBorder="1" applyAlignment="1">
      <alignment vertical="center" wrapText="1"/>
    </xf>
    <xf numFmtId="164" fontId="17" fillId="0" borderId="44" xfId="160" applyNumberFormat="1" applyFont="1" applyFill="1" applyBorder="1" applyAlignment="1">
      <alignment horizontal="left" vertical="center" wrapText="1"/>
    </xf>
    <xf numFmtId="164" fontId="17" fillId="0" borderId="45" xfId="160" applyNumberFormat="1" applyFont="1" applyFill="1" applyBorder="1" applyAlignment="1">
      <alignment horizontal="right" vertical="center"/>
    </xf>
    <xf numFmtId="164" fontId="21" fillId="0" borderId="45" xfId="160" applyNumberFormat="1" applyFont="1" applyFill="1" applyBorder="1" applyAlignment="1">
      <alignment vertical="center" wrapText="1"/>
    </xf>
    <xf numFmtId="164" fontId="21" fillId="0" borderId="44" xfId="160" applyNumberFormat="1" applyFont="1" applyFill="1" applyBorder="1" applyAlignment="1">
      <alignment horizontal="left" vertical="center" wrapText="1"/>
    </xf>
    <xf numFmtId="164" fontId="96" fillId="0" borderId="44" xfId="160" applyNumberFormat="1" applyFont="1" applyFill="1" applyBorder="1" applyAlignment="1">
      <alignment vertical="center" wrapText="1"/>
    </xf>
    <xf numFmtId="164" fontId="96" fillId="0" borderId="45" xfId="160" applyNumberFormat="1" applyFont="1" applyFill="1" applyBorder="1" applyAlignment="1">
      <alignment horizontal="right" vertical="center" wrapText="1"/>
    </xf>
    <xf numFmtId="164" fontId="96" fillId="0" borderId="46" xfId="160" applyNumberFormat="1" applyFont="1" applyFill="1" applyBorder="1" applyAlignment="1">
      <alignment vertical="center" wrapText="1"/>
    </xf>
    <xf numFmtId="164" fontId="96" fillId="0" borderId="47" xfId="160" applyNumberFormat="1" applyFont="1" applyFill="1" applyBorder="1" applyAlignment="1">
      <alignment horizontal="right" vertical="center" wrapText="1"/>
    </xf>
    <xf numFmtId="164" fontId="96" fillId="0" borderId="48" xfId="160" applyNumberFormat="1" applyFont="1" applyFill="1" applyBorder="1" applyAlignment="1">
      <alignment horizontal="right" vertical="center"/>
    </xf>
    <xf numFmtId="0" fontId="12" fillId="0" borderId="0" xfId="213" applyFont="1" applyFill="1" applyBorder="1" applyAlignment="1" applyProtection="1"/>
    <xf numFmtId="0" fontId="12" fillId="0" borderId="38" xfId="213" applyFont="1" applyFill="1" applyBorder="1" applyAlignment="1" applyProtection="1"/>
    <xf numFmtId="164" fontId="21" fillId="0" borderId="32" xfId="160" applyNumberFormat="1" applyFont="1" applyFill="1" applyBorder="1" applyAlignment="1">
      <alignment horizontal="center" vertical="center"/>
    </xf>
    <xf numFmtId="164" fontId="21" fillId="0" borderId="10" xfId="160" applyNumberFormat="1" applyFont="1" applyFill="1" applyBorder="1" applyAlignment="1">
      <alignment horizontal="right" vertical="center"/>
    </xf>
    <xf numFmtId="164" fontId="17" fillId="0" borderId="10" xfId="160" applyNumberFormat="1" applyFont="1" applyFill="1" applyBorder="1" applyAlignment="1">
      <alignment vertical="center" wrapText="1"/>
    </xf>
    <xf numFmtId="164" fontId="17" fillId="0" borderId="10" xfId="160" applyNumberFormat="1" applyFont="1" applyFill="1" applyBorder="1" applyAlignment="1">
      <alignment horizontal="right" vertical="center"/>
    </xf>
    <xf numFmtId="164" fontId="21" fillId="0" borderId="10" xfId="160" applyNumberFormat="1" applyFont="1" applyFill="1" applyBorder="1" applyAlignment="1">
      <alignment vertical="center" wrapText="1"/>
    </xf>
    <xf numFmtId="164" fontId="17" fillId="0" borderId="10" xfId="16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/>
    <xf numFmtId="164" fontId="96" fillId="0" borderId="10" xfId="160" applyNumberFormat="1" applyFont="1" applyFill="1" applyBorder="1" applyAlignment="1">
      <alignment horizontal="right" vertical="center" wrapText="1"/>
    </xf>
    <xf numFmtId="164" fontId="96" fillId="0" borderId="49" xfId="160" applyNumberFormat="1" applyFont="1" applyFill="1" applyBorder="1" applyAlignment="1">
      <alignment horizontal="right" vertical="center" wrapText="1"/>
    </xf>
    <xf numFmtId="164" fontId="96" fillId="0" borderId="0" xfId="160" applyNumberFormat="1" applyFont="1" applyFill="1" applyBorder="1" applyAlignment="1">
      <alignment horizontal="left" vertical="center" wrapText="1" indent="1"/>
    </xf>
    <xf numFmtId="164" fontId="96" fillId="0" borderId="0" xfId="160" applyNumberFormat="1" applyFont="1" applyFill="1" applyBorder="1" applyAlignment="1">
      <alignment horizontal="right" vertical="center" wrapText="1"/>
    </xf>
    <xf numFmtId="164" fontId="96" fillId="0" borderId="0" xfId="160" applyNumberFormat="1" applyFont="1" applyFill="1" applyBorder="1" applyAlignment="1">
      <alignment horizontal="right" vertical="center"/>
    </xf>
    <xf numFmtId="164" fontId="96" fillId="0" borderId="50" xfId="160" applyNumberFormat="1" applyFont="1" applyFill="1" applyBorder="1" applyAlignment="1">
      <alignment vertical="center" wrapText="1"/>
    </xf>
    <xf numFmtId="164" fontId="96" fillId="0" borderId="14" xfId="160" applyNumberFormat="1" applyFont="1" applyFill="1" applyBorder="1" applyAlignment="1">
      <alignment horizontal="right" vertical="center" wrapText="1"/>
    </xf>
    <xf numFmtId="164" fontId="96" fillId="0" borderId="51" xfId="160" applyNumberFormat="1" applyFont="1" applyFill="1" applyBorder="1" applyAlignment="1">
      <alignment horizontal="right" vertical="center" wrapText="1"/>
    </xf>
    <xf numFmtId="165" fontId="19" fillId="25" borderId="13" xfId="67" applyNumberFormat="1" applyFont="1" applyFill="1" applyBorder="1" applyAlignment="1">
      <alignment vertical="center"/>
    </xf>
    <xf numFmtId="4" fontId="19" fillId="25" borderId="13" xfId="67" applyNumberFormat="1" applyFont="1" applyFill="1" applyBorder="1" applyAlignment="1">
      <alignment vertical="center"/>
    </xf>
    <xf numFmtId="3" fontId="96" fillId="25" borderId="13" xfId="67" applyNumberFormat="1" applyFont="1" applyFill="1" applyBorder="1" applyAlignment="1">
      <alignment vertical="center"/>
    </xf>
    <xf numFmtId="164" fontId="21" fillId="25" borderId="0" xfId="67" applyNumberFormat="1" applyFont="1" applyFill="1" applyBorder="1" applyAlignment="1">
      <alignment vertical="center"/>
    </xf>
    <xf numFmtId="3" fontId="19" fillId="25" borderId="13" xfId="67" applyNumberFormat="1" applyFont="1" applyFill="1" applyBorder="1" applyAlignment="1">
      <alignment vertical="center"/>
    </xf>
    <xf numFmtId="0" fontId="14" fillId="0" borderId="13" xfId="1" applyFont="1" applyFill="1" applyBorder="1" applyAlignment="1" applyProtection="1">
      <alignment horizontal="center" vertical="center" wrapText="1"/>
    </xf>
    <xf numFmtId="41" fontId="18" fillId="0" borderId="0" xfId="1" applyNumberFormat="1" applyFont="1" applyFill="1" applyProtection="1"/>
    <xf numFmtId="41" fontId="18" fillId="0" borderId="0" xfId="1" applyNumberFormat="1" applyFont="1" applyFill="1" applyAlignment="1" applyProtection="1"/>
    <xf numFmtId="164" fontId="21" fillId="0" borderId="13" xfId="0" quotePrefix="1" applyNumberFormat="1" applyFont="1" applyBorder="1" applyAlignment="1" applyProtection="1">
      <alignment horizontal="right" vertical="center" wrapText="1"/>
    </xf>
    <xf numFmtId="10" fontId="0" fillId="0" borderId="13" xfId="0" applyNumberFormat="1" applyFont="1" applyFill="1" applyBorder="1" applyAlignment="1">
      <alignment horizontal="center" vertical="center" wrapText="1"/>
    </xf>
    <xf numFmtId="164" fontId="0" fillId="0" borderId="13" xfId="0" applyNumberFormat="1" applyFont="1" applyFill="1" applyBorder="1" applyAlignment="1" applyProtection="1">
      <alignment horizontal="right" vertical="center" wrapText="1"/>
    </xf>
    <xf numFmtId="164" fontId="14" fillId="0" borderId="13" xfId="0" applyNumberFormat="1" applyFont="1" applyFill="1" applyBorder="1" applyAlignment="1" applyProtection="1">
      <alignment horizontal="right" vertical="center" wrapText="1"/>
    </xf>
    <xf numFmtId="164" fontId="1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3" xfId="1" applyNumberFormat="1" applyFont="1" applyFill="1" applyBorder="1" applyAlignment="1" applyProtection="1">
      <alignment horizontal="right" vertical="center" wrapText="1"/>
      <protection locked="0"/>
    </xf>
    <xf numFmtId="3" fontId="0" fillId="25" borderId="13" xfId="0" applyNumberFormat="1" applyFont="1" applyFill="1" applyBorder="1" applyAlignment="1">
      <alignment vertical="center" wrapText="1"/>
    </xf>
    <xf numFmtId="3" fontId="12" fillId="0" borderId="13" xfId="0" applyNumberFormat="1" applyFont="1" applyFill="1" applyBorder="1" applyAlignment="1">
      <alignment horizontal="center" vertical="center" wrapText="1"/>
    </xf>
    <xf numFmtId="10" fontId="12" fillId="0" borderId="13" xfId="0" applyNumberFormat="1" applyFont="1" applyFill="1" applyBorder="1" applyAlignment="1">
      <alignment horizontal="center" vertical="center" wrapText="1"/>
    </xf>
    <xf numFmtId="49" fontId="12" fillId="0" borderId="13" xfId="1" applyNumberFormat="1" applyFont="1" applyFill="1" applyBorder="1" applyAlignment="1" applyProtection="1">
      <alignment horizontal="center" vertical="center" wrapText="1"/>
    </xf>
    <xf numFmtId="3" fontId="12" fillId="0" borderId="13" xfId="0" applyNumberFormat="1" applyFont="1" applyFill="1" applyBorder="1" applyAlignment="1">
      <alignment vertical="center" wrapText="1"/>
    </xf>
    <xf numFmtId="10" fontId="12" fillId="0" borderId="13" xfId="0" applyNumberFormat="1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horizontal="center" vertical="center" wrapText="1"/>
    </xf>
    <xf numFmtId="164" fontId="12" fillId="0" borderId="13" xfId="0" applyNumberFormat="1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49" fontId="16" fillId="25" borderId="13" xfId="1" applyNumberFormat="1" applyFont="1" applyFill="1" applyBorder="1" applyAlignment="1" applyProtection="1">
      <alignment horizontal="left" vertical="center" wrapText="1" indent="1"/>
    </xf>
    <xf numFmtId="0" fontId="24" fillId="25" borderId="13" xfId="1" applyFont="1" applyFill="1" applyBorder="1" applyAlignment="1" applyProtection="1">
      <alignment horizontal="left" vertical="center" wrapText="1" indent="5"/>
    </xf>
    <xf numFmtId="0" fontId="24" fillId="25" borderId="13" xfId="1" applyFont="1" applyFill="1" applyBorder="1" applyAlignment="1" applyProtection="1">
      <alignment horizontal="center" vertical="center"/>
    </xf>
    <xf numFmtId="3" fontId="24" fillId="25" borderId="13" xfId="1" applyNumberFormat="1" applyFont="1" applyFill="1" applyBorder="1" applyAlignment="1" applyProtection="1">
      <alignment horizontal="right" vertical="center"/>
    </xf>
    <xf numFmtId="164" fontId="24" fillId="25" borderId="13" xfId="1" applyNumberFormat="1" applyFont="1" applyFill="1" applyBorder="1" applyAlignment="1" applyProtection="1">
      <alignment vertical="center" wrapText="1"/>
      <protection locked="0"/>
    </xf>
    <xf numFmtId="3" fontId="12" fillId="25" borderId="13" xfId="1" applyNumberFormat="1" applyFont="1" applyFill="1" applyBorder="1" applyProtection="1"/>
    <xf numFmtId="10" fontId="93" fillId="25" borderId="13" xfId="1" applyNumberFormat="1" applyFont="1" applyFill="1" applyBorder="1" applyAlignment="1" applyProtection="1">
      <alignment horizontal="right" vertical="center"/>
    </xf>
    <xf numFmtId="0" fontId="24" fillId="25" borderId="13" xfId="1" applyFont="1" applyFill="1" applyBorder="1" applyAlignment="1" applyProtection="1">
      <alignment horizontal="center" vertical="center" wrapText="1"/>
    </xf>
    <xf numFmtId="3" fontId="24" fillId="25" borderId="13" xfId="1" applyNumberFormat="1" applyFont="1" applyFill="1" applyBorder="1" applyAlignment="1" applyProtection="1">
      <alignment horizontal="right" vertical="center" wrapText="1"/>
    </xf>
    <xf numFmtId="0" fontId="24" fillId="25" borderId="13" xfId="1" applyFont="1" applyFill="1" applyBorder="1" applyAlignment="1" applyProtection="1">
      <alignment horizontal="left" vertical="center" wrapText="1" indent="11"/>
    </xf>
    <xf numFmtId="0" fontId="17" fillId="25" borderId="13" xfId="0" applyFont="1" applyFill="1" applyBorder="1" applyAlignment="1" applyProtection="1">
      <alignment horizontal="left" vertical="center" wrapText="1"/>
    </xf>
    <xf numFmtId="0" fontId="17" fillId="25" borderId="13" xfId="0" applyFont="1" applyFill="1" applyBorder="1" applyAlignment="1" applyProtection="1">
      <alignment horizontal="center" vertical="center" wrapText="1"/>
    </xf>
    <xf numFmtId="164" fontId="16" fillId="25" borderId="13" xfId="1" applyNumberFormat="1" applyFont="1" applyFill="1" applyBorder="1" applyAlignment="1" applyProtection="1">
      <alignment vertical="center" wrapText="1"/>
    </xf>
    <xf numFmtId="3" fontId="16" fillId="25" borderId="13" xfId="1" applyNumberFormat="1" applyFont="1" applyFill="1" applyBorder="1" applyProtection="1"/>
    <xf numFmtId="0" fontId="19" fillId="25" borderId="13" xfId="0" applyFont="1" applyFill="1" applyBorder="1" applyAlignment="1" applyProtection="1">
      <alignment horizontal="left" wrapText="1" indent="5"/>
    </xf>
    <xf numFmtId="164" fontId="12" fillId="25" borderId="13" xfId="1" applyNumberFormat="1" applyFont="1" applyFill="1" applyBorder="1" applyAlignment="1" applyProtection="1">
      <alignment vertical="center" wrapText="1"/>
      <protection locked="0"/>
    </xf>
    <xf numFmtId="0" fontId="19" fillId="25" borderId="13" xfId="0" applyFont="1" applyFill="1" applyBorder="1" applyAlignment="1" applyProtection="1">
      <alignment horizontal="left" vertical="center" wrapText="1" indent="5"/>
    </xf>
    <xf numFmtId="0" fontId="17" fillId="25" borderId="13" xfId="0" applyFont="1" applyFill="1" applyBorder="1" applyAlignment="1" applyProtection="1">
      <alignment vertical="center" wrapText="1"/>
    </xf>
    <xf numFmtId="10" fontId="21" fillId="0" borderId="13" xfId="0" quotePrefix="1" applyNumberFormat="1" applyFont="1" applyBorder="1" applyAlignment="1" applyProtection="1">
      <alignment vertical="center" wrapText="1"/>
    </xf>
    <xf numFmtId="0" fontId="24" fillId="25" borderId="13" xfId="1" applyFont="1" applyFill="1" applyBorder="1" applyAlignment="1" applyProtection="1">
      <alignment horizontal="left" vertical="center" wrapText="1"/>
    </xf>
    <xf numFmtId="164" fontId="118" fillId="25" borderId="13" xfId="0" applyNumberFormat="1" applyFont="1" applyFill="1" applyBorder="1" applyAlignment="1" applyProtection="1">
      <alignment vertical="center" wrapText="1"/>
      <protection locked="0"/>
    </xf>
    <xf numFmtId="164" fontId="0" fillId="25" borderId="13" xfId="0" applyNumberFormat="1" applyFont="1" applyFill="1" applyBorder="1" applyAlignment="1" applyProtection="1">
      <alignment vertical="center" wrapText="1"/>
      <protection locked="0"/>
    </xf>
    <xf numFmtId="0" fontId="24" fillId="25" borderId="13" xfId="1" applyFont="1" applyFill="1" applyBorder="1" applyAlignment="1" applyProtection="1">
      <alignment horizontal="left" vertical="center" wrapText="1" indent="3"/>
    </xf>
    <xf numFmtId="164" fontId="119" fillId="25" borderId="13" xfId="0" applyNumberFormat="1" applyFont="1" applyFill="1" applyBorder="1" applyAlignment="1" applyProtection="1">
      <alignment vertical="center" wrapText="1"/>
      <protection locked="0"/>
    </xf>
    <xf numFmtId="0" fontId="24" fillId="25" borderId="13" xfId="1" applyFont="1" applyFill="1" applyBorder="1" applyAlignment="1" applyProtection="1">
      <alignment horizontal="left" vertical="center" wrapText="1" indent="4"/>
    </xf>
    <xf numFmtId="164" fontId="24" fillId="25" borderId="13" xfId="0" applyNumberFormat="1" applyFont="1" applyFill="1" applyBorder="1" applyAlignment="1" applyProtection="1">
      <alignment vertical="center" wrapText="1"/>
      <protection locked="0"/>
    </xf>
    <xf numFmtId="164" fontId="0" fillId="25" borderId="13" xfId="0" applyNumberFormat="1" applyFill="1" applyBorder="1" applyAlignment="1" applyProtection="1">
      <alignment vertical="center" wrapText="1"/>
    </xf>
    <xf numFmtId="10" fontId="0" fillId="25" borderId="13" xfId="0" applyNumberFormat="1" applyFill="1" applyBorder="1" applyAlignment="1" applyProtection="1">
      <alignment vertical="center" wrapText="1"/>
    </xf>
    <xf numFmtId="0" fontId="24" fillId="25" borderId="13" xfId="1" applyFont="1" applyFill="1" applyBorder="1" applyAlignment="1" applyProtection="1">
      <alignment horizontal="left" vertical="center" wrapText="1" indent="8"/>
    </xf>
    <xf numFmtId="164" fontId="0" fillId="25" borderId="13" xfId="0" applyNumberFormat="1" applyFont="1" applyFill="1" applyBorder="1" applyAlignment="1" applyProtection="1">
      <alignment horizontal="right" vertical="center" wrapText="1"/>
      <protection locked="0"/>
    </xf>
    <xf numFmtId="0" fontId="24" fillId="25" borderId="13" xfId="1" applyFont="1" applyFill="1" applyBorder="1" applyAlignment="1" applyProtection="1">
      <alignment horizontal="left" vertical="center" wrapText="1" indent="2"/>
    </xf>
    <xf numFmtId="164" fontId="24" fillId="25" borderId="13" xfId="0" applyNumberFormat="1" applyFont="1" applyFill="1" applyBorder="1" applyAlignment="1" applyProtection="1">
      <alignment horizontal="right" vertical="center" wrapText="1"/>
      <protection locked="0"/>
    </xf>
    <xf numFmtId="164" fontId="18" fillId="25" borderId="13" xfId="0" applyNumberFormat="1" applyFont="1" applyFill="1" applyBorder="1" applyAlignment="1" applyProtection="1">
      <alignment horizontal="left" vertical="center" wrapText="1"/>
    </xf>
    <xf numFmtId="164" fontId="18" fillId="25" borderId="13" xfId="0" applyNumberFormat="1" applyFont="1" applyFill="1" applyBorder="1" applyAlignment="1" applyProtection="1">
      <alignment horizontal="right" vertical="center" wrapText="1"/>
    </xf>
    <xf numFmtId="164" fontId="16" fillId="0" borderId="0" xfId="1" applyNumberFormat="1" applyFont="1" applyFill="1" applyProtection="1"/>
    <xf numFmtId="0" fontId="0" fillId="25" borderId="13" xfId="1" applyFont="1" applyFill="1" applyBorder="1" applyAlignment="1" applyProtection="1">
      <alignment horizontal="left" vertical="center" wrapText="1"/>
    </xf>
    <xf numFmtId="0" fontId="64" fillId="0" borderId="13" xfId="178" applyFont="1" applyFill="1" applyBorder="1" applyAlignment="1">
      <alignment horizontal="center"/>
    </xf>
    <xf numFmtId="0" fontId="64" fillId="0" borderId="13" xfId="178" applyFont="1" applyFill="1" applyBorder="1"/>
    <xf numFmtId="3" fontId="62" fillId="0" borderId="13" xfId="178" applyNumberFormat="1" applyFont="1" applyFill="1" applyBorder="1"/>
    <xf numFmtId="3" fontId="21" fillId="0" borderId="13" xfId="51" applyNumberFormat="1" applyFont="1" applyBorder="1" applyAlignment="1">
      <alignment horizontal="right" vertical="center"/>
    </xf>
    <xf numFmtId="0" fontId="67" fillId="0" borderId="12" xfId="51" applyFont="1" applyBorder="1" applyAlignment="1">
      <alignment horizontal="right" vertical="center"/>
    </xf>
    <xf numFmtId="3" fontId="21" fillId="0" borderId="14" xfId="51" applyNumberFormat="1" applyFont="1" applyBorder="1" applyAlignment="1">
      <alignment horizontal="right" vertical="center"/>
    </xf>
    <xf numFmtId="3" fontId="17" fillId="0" borderId="13" xfId="51" applyNumberFormat="1" applyFont="1" applyBorder="1" applyAlignment="1">
      <alignment horizontal="right" vertical="center"/>
    </xf>
    <xf numFmtId="3" fontId="21" fillId="0" borderId="13" xfId="51" applyNumberFormat="1" applyFont="1" applyFill="1" applyBorder="1" applyAlignment="1">
      <alignment horizontal="right" vertical="center"/>
    </xf>
    <xf numFmtId="3" fontId="17" fillId="0" borderId="0" xfId="51" applyNumberFormat="1" applyFont="1" applyAlignment="1">
      <alignment horizontal="right" vertical="center"/>
    </xf>
    <xf numFmtId="0" fontId="17" fillId="0" borderId="0" xfId="51" applyFont="1" applyAlignment="1">
      <alignment horizontal="right"/>
    </xf>
    <xf numFmtId="0" fontId="21" fillId="0" borderId="13" xfId="51" applyFont="1" applyBorder="1" applyAlignment="1">
      <alignment horizontal="right"/>
    </xf>
    <xf numFmtId="3" fontId="21" fillId="0" borderId="25" xfId="51" applyNumberFormat="1" applyFont="1" applyBorder="1" applyAlignment="1">
      <alignment horizontal="right" vertical="center"/>
    </xf>
    <xf numFmtId="0" fontId="21" fillId="0" borderId="13" xfId="51" applyFont="1" applyBorder="1" applyAlignment="1">
      <alignment horizontal="right" vertical="center"/>
    </xf>
    <xf numFmtId="3" fontId="17" fillId="0" borderId="10" xfId="51" applyNumberFormat="1" applyFont="1" applyBorder="1" applyAlignment="1">
      <alignment horizontal="right" vertical="center"/>
    </xf>
    <xf numFmtId="3" fontId="59" fillId="0" borderId="13" xfId="51" applyNumberFormat="1" applyFont="1" applyFill="1" applyBorder="1" applyAlignment="1">
      <alignment horizontal="right" vertical="center"/>
    </xf>
    <xf numFmtId="3" fontId="21" fillId="0" borderId="10" xfId="51" applyNumberFormat="1" applyFont="1" applyBorder="1" applyAlignment="1">
      <alignment horizontal="right" vertical="center"/>
    </xf>
    <xf numFmtId="3" fontId="17" fillId="0" borderId="13" xfId="51" applyNumberFormat="1" applyFont="1" applyFill="1" applyBorder="1" applyAlignment="1">
      <alignment horizontal="right" vertical="center"/>
    </xf>
    <xf numFmtId="166" fontId="104" fillId="0" borderId="0" xfId="48" applyNumberFormat="1" applyFont="1"/>
    <xf numFmtId="166" fontId="63" fillId="0" borderId="0" xfId="48" applyNumberFormat="1" applyFont="1"/>
    <xf numFmtId="0" fontId="18" fillId="0" borderId="26" xfId="1" applyFont="1" applyFill="1" applyBorder="1" applyAlignment="1" applyProtection="1">
      <alignment horizontal="right" vertical="center" wrapText="1"/>
    </xf>
    <xf numFmtId="3" fontId="18" fillId="0" borderId="13" xfId="1" applyNumberFormat="1" applyFont="1" applyFill="1" applyBorder="1" applyAlignment="1" applyProtection="1">
      <alignment horizontal="right" vertical="center"/>
    </xf>
    <xf numFmtId="3" fontId="12" fillId="0" borderId="13" xfId="1" applyNumberFormat="1" applyFont="1" applyFill="1" applyBorder="1" applyAlignment="1" applyProtection="1">
      <alignment vertical="center"/>
    </xf>
    <xf numFmtId="10" fontId="94" fillId="0" borderId="0" xfId="1" applyNumberFormat="1" applyFont="1" applyFill="1" applyAlignment="1" applyProtection="1">
      <alignment horizontal="right" vertical="center"/>
    </xf>
    <xf numFmtId="10" fontId="29" fillId="0" borderId="13" xfId="1" applyNumberFormat="1" applyFont="1" applyFill="1" applyBorder="1" applyAlignment="1" applyProtection="1">
      <alignment horizontal="right" vertical="center"/>
    </xf>
    <xf numFmtId="0" fontId="18" fillId="0" borderId="3" xfId="1" applyFont="1" applyFill="1" applyBorder="1" applyAlignment="1" applyProtection="1">
      <alignment horizontal="right" vertical="center" wrapText="1"/>
    </xf>
    <xf numFmtId="10" fontId="93" fillId="0" borderId="0" xfId="1" applyNumberFormat="1" applyFont="1" applyFill="1" applyAlignment="1" applyProtection="1">
      <alignment horizontal="right" vertical="center"/>
    </xf>
    <xf numFmtId="3" fontId="69" fillId="0" borderId="0" xfId="35" applyNumberFormat="1" applyFont="1" applyFill="1" applyBorder="1" applyAlignment="1">
      <alignment horizontal="right" vertical="center"/>
    </xf>
    <xf numFmtId="166" fontId="68" fillId="0" borderId="0" xfId="35" applyNumberFormat="1" applyFont="1" applyAlignment="1">
      <alignment horizontal="right" vertical="center"/>
    </xf>
    <xf numFmtId="3" fontId="63" fillId="0" borderId="0" xfId="48" applyNumberFormat="1" applyFont="1" applyAlignment="1">
      <alignment horizontal="right" vertical="center"/>
    </xf>
    <xf numFmtId="166" fontId="68" fillId="0" borderId="0" xfId="35" applyNumberFormat="1" applyFont="1" applyBorder="1" applyAlignment="1">
      <alignment horizontal="right" vertical="center"/>
    </xf>
    <xf numFmtId="3" fontId="104" fillId="0" borderId="13" xfId="48" applyNumberFormat="1" applyFont="1" applyBorder="1" applyAlignment="1">
      <alignment horizontal="center" vertical="center" wrapText="1"/>
    </xf>
    <xf numFmtId="0" fontId="60" fillId="0" borderId="0" xfId="0" applyFont="1"/>
    <xf numFmtId="0" fontId="60" fillId="0" borderId="0" xfId="0" applyFont="1" applyFill="1"/>
    <xf numFmtId="0" fontId="95" fillId="0" borderId="0" xfId="0" applyFont="1" applyFill="1" applyAlignment="1">
      <alignment horizontal="right"/>
    </xf>
    <xf numFmtId="0" fontId="123" fillId="0" borderId="0" xfId="50" applyFont="1"/>
    <xf numFmtId="0" fontId="17" fillId="0" borderId="0" xfId="50" applyFont="1"/>
    <xf numFmtId="0" fontId="17" fillId="0" borderId="0" xfId="50" applyFont="1" applyAlignment="1"/>
    <xf numFmtId="0" fontId="17" fillId="0" borderId="0" xfId="50" applyFont="1" applyAlignment="1">
      <alignment horizontal="right"/>
    </xf>
    <xf numFmtId="0" fontId="97" fillId="0" borderId="0" xfId="65" applyFont="1" applyFill="1" applyBorder="1" applyAlignment="1" applyProtection="1">
      <alignment horizontal="center" vertical="center" wrapText="1"/>
      <protection locked="0"/>
    </xf>
    <xf numFmtId="0" fontId="14" fillId="0" borderId="0" xfId="65" applyFont="1" applyFill="1" applyBorder="1" applyAlignment="1" applyProtection="1">
      <alignment horizontal="center" vertical="center" wrapText="1"/>
      <protection locked="0"/>
    </xf>
    <xf numFmtId="0" fontId="19" fillId="0" borderId="0" xfId="65" applyFont="1" applyFill="1" applyBorder="1" applyAlignment="1">
      <alignment horizontal="right"/>
    </xf>
    <xf numFmtId="0" fontId="21" fillId="0" borderId="61" xfId="65" applyFont="1" applyFill="1" applyBorder="1" applyAlignment="1">
      <alignment horizontal="center" vertical="center" wrapText="1"/>
    </xf>
    <xf numFmtId="0" fontId="21" fillId="0" borderId="62" xfId="65" applyFont="1" applyFill="1" applyBorder="1" applyAlignment="1">
      <alignment horizontal="center" vertical="center" wrapText="1"/>
    </xf>
    <xf numFmtId="0" fontId="21" fillId="0" borderId="63" xfId="65" applyFont="1" applyFill="1" applyBorder="1" applyAlignment="1">
      <alignment horizontal="center" vertical="center" wrapText="1"/>
    </xf>
    <xf numFmtId="0" fontId="17" fillId="0" borderId="64" xfId="50" applyFont="1" applyBorder="1" applyAlignment="1">
      <alignment horizontal="left" vertical="center" wrapText="1"/>
    </xf>
    <xf numFmtId="164" fontId="17" fillId="0" borderId="8" xfId="50" applyNumberFormat="1" applyFont="1" applyBorder="1" applyAlignment="1">
      <alignment horizontal="right" vertical="center" wrapText="1"/>
    </xf>
    <xf numFmtId="164" fontId="17" fillId="0" borderId="57" xfId="50" applyNumberFormat="1" applyFont="1" applyBorder="1" applyAlignment="1">
      <alignment horizontal="right" vertical="center" wrapText="1"/>
    </xf>
    <xf numFmtId="0" fontId="17" fillId="0" borderId="65" xfId="50" applyFont="1" applyBorder="1" applyAlignment="1">
      <alignment horizontal="left" vertical="center" wrapText="1"/>
    </xf>
    <xf numFmtId="164" fontId="17" fillId="0" borderId="5" xfId="50" applyNumberFormat="1" applyFont="1" applyBorder="1" applyAlignment="1">
      <alignment horizontal="right" vertical="center" wrapText="1"/>
    </xf>
    <xf numFmtId="164" fontId="17" fillId="0" borderId="6" xfId="50" applyNumberFormat="1" applyFont="1" applyBorder="1" applyAlignment="1">
      <alignment horizontal="right" vertical="center" wrapText="1"/>
    </xf>
    <xf numFmtId="0" fontId="123" fillId="0" borderId="64" xfId="50" applyFont="1" applyBorder="1" applyAlignment="1">
      <alignment horizontal="center" vertical="center" wrapText="1"/>
    </xf>
    <xf numFmtId="0" fontId="123" fillId="0" borderId="65" xfId="50" applyFont="1" applyBorder="1" applyAlignment="1">
      <alignment horizontal="center" vertical="center" wrapText="1"/>
    </xf>
    <xf numFmtId="164" fontId="17" fillId="0" borderId="52" xfId="50" applyNumberFormat="1" applyFont="1" applyBorder="1" applyAlignment="1">
      <alignment horizontal="right" vertical="center" wrapText="1"/>
    </xf>
    <xf numFmtId="164" fontId="17" fillId="0" borderId="53" xfId="50" applyNumberFormat="1" applyFont="1" applyBorder="1" applyAlignment="1">
      <alignment horizontal="right" vertical="center" wrapText="1"/>
    </xf>
    <xf numFmtId="0" fontId="124" fillId="0" borderId="13" xfId="50" applyFont="1" applyBorder="1" applyAlignment="1">
      <alignment horizontal="center" vertical="center" wrapText="1"/>
    </xf>
    <xf numFmtId="0" fontId="124" fillId="0" borderId="70" xfId="50" applyFont="1" applyFill="1" applyBorder="1" applyAlignment="1">
      <alignment horizontal="center" vertical="center" wrapText="1"/>
    </xf>
    <xf numFmtId="0" fontId="21" fillId="0" borderId="70" xfId="50" applyFont="1" applyFill="1" applyBorder="1" applyAlignment="1">
      <alignment horizontal="left" vertical="center" wrapText="1"/>
    </xf>
    <xf numFmtId="164" fontId="21" fillId="0" borderId="70" xfId="50" applyNumberFormat="1" applyFont="1" applyFill="1" applyBorder="1" applyAlignment="1">
      <alignment horizontal="right" vertical="center" wrapText="1"/>
    </xf>
    <xf numFmtId="164" fontId="17" fillId="0" borderId="0" xfId="50" applyNumberFormat="1" applyFont="1"/>
    <xf numFmtId="0" fontId="0" fillId="0" borderId="0" xfId="0" applyFont="1"/>
    <xf numFmtId="0" fontId="50" fillId="0" borderId="0" xfId="50" applyFont="1"/>
    <xf numFmtId="0" fontId="50" fillId="0" borderId="0" xfId="50" applyFont="1" applyAlignment="1"/>
    <xf numFmtId="0" fontId="50" fillId="0" borderId="0" xfId="50" applyFont="1" applyAlignment="1">
      <alignment horizontal="right"/>
    </xf>
    <xf numFmtId="0" fontId="125" fillId="0" borderId="0" xfId="65" applyFont="1" applyFill="1" applyBorder="1" applyAlignment="1" applyProtection="1">
      <alignment horizontal="center" vertical="center" wrapText="1"/>
      <protection locked="0"/>
    </xf>
    <xf numFmtId="0" fontId="21" fillId="0" borderId="1" xfId="65" applyFont="1" applyFill="1" applyBorder="1" applyAlignment="1">
      <alignment horizontal="center" vertical="center" wrapText="1"/>
    </xf>
    <xf numFmtId="0" fontId="21" fillId="0" borderId="2" xfId="65" applyFont="1" applyFill="1" applyBorder="1" applyAlignment="1">
      <alignment horizontal="center" vertical="center" wrapText="1"/>
    </xf>
    <xf numFmtId="0" fontId="21" fillId="0" borderId="3" xfId="65" applyFont="1" applyFill="1" applyBorder="1" applyAlignment="1">
      <alignment horizontal="center" vertical="center" wrapText="1"/>
    </xf>
    <xf numFmtId="0" fontId="126" fillId="0" borderId="69" xfId="50" applyFont="1" applyFill="1" applyBorder="1" applyAlignment="1">
      <alignment horizontal="center"/>
    </xf>
    <xf numFmtId="0" fontId="126" fillId="0" borderId="13" xfId="50" applyFont="1" applyFill="1" applyBorder="1" applyAlignment="1">
      <alignment horizontal="center"/>
    </xf>
    <xf numFmtId="0" fontId="126" fillId="0" borderId="1" xfId="50" applyFont="1" applyFill="1" applyBorder="1" applyAlignment="1">
      <alignment horizontal="center"/>
    </xf>
    <xf numFmtId="0" fontId="126" fillId="0" borderId="2" xfId="50" applyFont="1" applyFill="1" applyBorder="1" applyAlignment="1">
      <alignment horizontal="center"/>
    </xf>
    <xf numFmtId="0" fontId="126" fillId="0" borderId="3" xfId="50" applyFont="1" applyFill="1" applyBorder="1" applyAlignment="1">
      <alignment horizontal="center"/>
    </xf>
    <xf numFmtId="0" fontId="17" fillId="0" borderId="64" xfId="50" applyFont="1" applyBorder="1" applyAlignment="1">
      <alignment horizontal="center" vertical="center" wrapText="1"/>
    </xf>
    <xf numFmtId="164" fontId="17" fillId="0" borderId="8" xfId="50" applyNumberFormat="1" applyFont="1" applyBorder="1" applyAlignment="1">
      <alignment vertical="center"/>
    </xf>
    <xf numFmtId="164" fontId="17" fillId="0" borderId="57" xfId="50" applyNumberFormat="1" applyFont="1" applyBorder="1" applyAlignment="1">
      <alignment vertical="center"/>
    </xf>
    <xf numFmtId="0" fontId="17" fillId="0" borderId="65" xfId="50" applyFont="1" applyBorder="1" applyAlignment="1">
      <alignment horizontal="center" vertical="center" wrapText="1"/>
    </xf>
    <xf numFmtId="164" fontId="17" fillId="0" borderId="5" xfId="50" applyNumberFormat="1" applyFont="1" applyBorder="1" applyAlignment="1">
      <alignment vertical="center"/>
    </xf>
    <xf numFmtId="164" fontId="17" fillId="0" borderId="6" xfId="50" applyNumberFormat="1" applyFont="1" applyBorder="1" applyAlignment="1">
      <alignment vertical="center"/>
    </xf>
    <xf numFmtId="0" fontId="21" fillId="0" borderId="13" xfId="50" applyFont="1" applyBorder="1" applyAlignment="1">
      <alignment horizontal="center" vertical="center" wrapText="1"/>
    </xf>
    <xf numFmtId="164" fontId="21" fillId="0" borderId="2" xfId="50" applyNumberFormat="1" applyFont="1" applyBorder="1" applyAlignment="1">
      <alignment horizontal="right" vertical="center" wrapText="1"/>
    </xf>
    <xf numFmtId="164" fontId="21" fillId="0" borderId="3" xfId="50" applyNumberFormat="1" applyFont="1" applyBorder="1" applyAlignment="1">
      <alignment horizontal="right" vertical="center" wrapText="1"/>
    </xf>
    <xf numFmtId="164" fontId="50" fillId="0" borderId="0" xfId="50" applyNumberFormat="1" applyFont="1"/>
    <xf numFmtId="3" fontId="0" fillId="0" borderId="0" xfId="0" applyNumberFormat="1"/>
    <xf numFmtId="0" fontId="38" fillId="0" borderId="0" xfId="47" applyFill="1"/>
    <xf numFmtId="0" fontId="13" fillId="0" borderId="0" xfId="47" applyFont="1" applyFill="1" applyAlignment="1">
      <alignment horizontal="right"/>
    </xf>
    <xf numFmtId="0" fontId="1" fillId="0" borderId="0" xfId="217"/>
    <xf numFmtId="0" fontId="50" fillId="0" borderId="0" xfId="160" applyFont="1" applyAlignment="1">
      <alignment horizontal="right" vertical="center"/>
    </xf>
    <xf numFmtId="0" fontId="17" fillId="0" borderId="0" xfId="50" applyFont="1" applyAlignment="1"/>
    <xf numFmtId="0" fontId="66" fillId="0" borderId="0" xfId="65" applyFont="1" applyFill="1" applyAlignment="1">
      <alignment vertical="center"/>
    </xf>
    <xf numFmtId="0" fontId="17" fillId="0" borderId="0" xfId="50" applyFont="1" applyFill="1"/>
    <xf numFmtId="0" fontId="66" fillId="0" borderId="0" xfId="65" applyFont="1" applyFill="1" applyBorder="1" applyAlignment="1">
      <alignment horizontal="center" vertical="center" wrapText="1"/>
    </xf>
    <xf numFmtId="0" fontId="67" fillId="0" borderId="0" xfId="65" applyFont="1" applyFill="1" applyBorder="1" applyAlignment="1">
      <alignment horizontal="right" wrapText="1"/>
    </xf>
    <xf numFmtId="3" fontId="63" fillId="0" borderId="13" xfId="48" applyNumberFormat="1" applyFont="1" applyBorder="1" applyAlignment="1">
      <alignment vertical="center"/>
    </xf>
    <xf numFmtId="166" fontId="62" fillId="0" borderId="13" xfId="35" applyNumberFormat="1" applyFont="1" applyFill="1" applyBorder="1" applyAlignment="1">
      <alignment vertical="center"/>
    </xf>
    <xf numFmtId="168" fontId="62" fillId="0" borderId="13" xfId="35" applyNumberFormat="1" applyFont="1" applyFill="1" applyBorder="1" applyAlignment="1">
      <alignment vertical="center"/>
    </xf>
    <xf numFmtId="3" fontId="62" fillId="0" borderId="13" xfId="35" applyNumberFormat="1" applyFont="1" applyBorder="1" applyAlignment="1">
      <alignment vertical="center"/>
    </xf>
    <xf numFmtId="166" fontId="62" fillId="0" borderId="13" xfId="35" applyNumberFormat="1" applyFont="1" applyBorder="1" applyAlignment="1">
      <alignment horizontal="center" vertical="center"/>
    </xf>
    <xf numFmtId="169" fontId="17" fillId="0" borderId="13" xfId="178" applyNumberFormat="1" applyFont="1" applyFill="1" applyBorder="1"/>
    <xf numFmtId="0" fontId="17" fillId="0" borderId="84" xfId="50" applyFont="1" applyBorder="1" applyAlignment="1">
      <alignment horizontal="left" vertical="center" wrapText="1"/>
    </xf>
    <xf numFmtId="0" fontId="17" fillId="0" borderId="79" xfId="50" applyFont="1" applyBorder="1" applyAlignment="1">
      <alignment horizontal="left" vertical="center" wrapText="1"/>
    </xf>
    <xf numFmtId="0" fontId="123" fillId="0" borderId="66" xfId="50" applyFont="1" applyBorder="1" applyAlignment="1">
      <alignment horizontal="center" vertical="center" wrapText="1"/>
    </xf>
    <xf numFmtId="0" fontId="17" fillId="0" borderId="86" xfId="50" applyFont="1" applyBorder="1" applyAlignment="1">
      <alignment horizontal="left" vertical="center" wrapText="1"/>
    </xf>
    <xf numFmtId="164" fontId="17" fillId="0" borderId="68" xfId="50" applyNumberFormat="1" applyFont="1" applyBorder="1" applyAlignment="1">
      <alignment horizontal="right" vertical="center" wrapText="1"/>
    </xf>
    <xf numFmtId="164" fontId="17" fillId="0" borderId="54" xfId="50" applyNumberFormat="1" applyFont="1" applyBorder="1" applyAlignment="1">
      <alignment horizontal="right" vertical="center" wrapText="1"/>
    </xf>
    <xf numFmtId="0" fontId="123" fillId="0" borderId="81" xfId="50" applyFont="1" applyBorder="1" applyAlignment="1">
      <alignment horizontal="center" vertical="center" wrapText="1"/>
    </xf>
    <xf numFmtId="0" fontId="17" fillId="0" borderId="78" xfId="50" applyFont="1" applyBorder="1" applyAlignment="1">
      <alignment horizontal="left" vertical="center" wrapText="1"/>
    </xf>
    <xf numFmtId="0" fontId="21" fillId="0" borderId="77" xfId="50" applyFont="1" applyBorder="1" applyAlignment="1">
      <alignment horizontal="left" vertical="center" wrapText="1"/>
    </xf>
    <xf numFmtId="164" fontId="17" fillId="0" borderId="2" xfId="50" applyNumberFormat="1" applyFont="1" applyBorder="1" applyAlignment="1">
      <alignment horizontal="right" vertical="center" wrapText="1"/>
    </xf>
    <xf numFmtId="164" fontId="17" fillId="0" borderId="3" xfId="50" applyNumberFormat="1" applyFont="1" applyBorder="1" applyAlignment="1">
      <alignment horizontal="right" vertical="center" wrapText="1"/>
    </xf>
    <xf numFmtId="0" fontId="124" fillId="25" borderId="42" xfId="50" applyFont="1" applyFill="1" applyBorder="1" applyAlignment="1">
      <alignment horizontal="center" vertical="center" wrapText="1"/>
    </xf>
    <xf numFmtId="0" fontId="21" fillId="25" borderId="87" xfId="50" applyFont="1" applyFill="1" applyBorder="1" applyAlignment="1">
      <alignment horizontal="left" vertical="center" wrapText="1"/>
    </xf>
    <xf numFmtId="164" fontId="21" fillId="25" borderId="88" xfId="50" applyNumberFormat="1" applyFont="1" applyFill="1" applyBorder="1" applyAlignment="1">
      <alignment horizontal="right" vertical="center" wrapText="1"/>
    </xf>
    <xf numFmtId="164" fontId="21" fillId="25" borderId="89" xfId="50" applyNumberFormat="1" applyFont="1" applyFill="1" applyBorder="1" applyAlignment="1">
      <alignment horizontal="right" vertical="center" wrapText="1"/>
    </xf>
    <xf numFmtId="0" fontId="62" fillId="0" borderId="13" xfId="178" applyFont="1" applyFill="1" applyBorder="1" applyAlignment="1">
      <alignment horizontal="center" vertical="center"/>
    </xf>
    <xf numFmtId="3" fontId="62" fillId="0" borderId="13" xfId="178" applyNumberFormat="1" applyFont="1" applyFill="1" applyBorder="1" applyAlignment="1">
      <alignment horizontal="center" vertical="center"/>
    </xf>
    <xf numFmtId="10" fontId="21" fillId="0" borderId="13" xfId="178" applyNumberFormat="1" applyFont="1" applyFill="1" applyBorder="1" applyAlignment="1">
      <alignment horizontal="center" vertical="center"/>
    </xf>
    <xf numFmtId="164" fontId="21" fillId="25" borderId="3" xfId="50" applyNumberFormat="1" applyFont="1" applyFill="1" applyBorder="1" applyAlignment="1">
      <alignment horizontal="right" vertical="center" wrapText="1"/>
    </xf>
    <xf numFmtId="164" fontId="21" fillId="25" borderId="2" xfId="50" applyNumberFormat="1" applyFont="1" applyFill="1" applyBorder="1" applyAlignment="1">
      <alignment horizontal="right" vertical="center" wrapText="1"/>
    </xf>
    <xf numFmtId="0" fontId="21" fillId="25" borderId="77" xfId="50" applyFont="1" applyFill="1" applyBorder="1" applyAlignment="1">
      <alignment horizontal="left" vertical="center" wrapText="1"/>
    </xf>
    <xf numFmtId="0" fontId="124" fillId="25" borderId="13" xfId="50" applyFont="1" applyFill="1" applyBorder="1" applyAlignment="1">
      <alignment horizontal="center" vertical="center" wrapText="1"/>
    </xf>
    <xf numFmtId="0" fontId="17" fillId="0" borderId="66" xfId="50" applyFont="1" applyBorder="1" applyAlignment="1">
      <alignment horizontal="center" vertical="center" wrapText="1"/>
    </xf>
    <xf numFmtId="164" fontId="17" fillId="0" borderId="68" xfId="50" applyNumberFormat="1" applyFont="1" applyBorder="1" applyAlignment="1">
      <alignment vertical="center"/>
    </xf>
    <xf numFmtId="164" fontId="17" fillId="0" borderId="54" xfId="50" applyNumberFormat="1" applyFont="1" applyBorder="1" applyAlignment="1">
      <alignment vertical="center"/>
    </xf>
    <xf numFmtId="0" fontId="17" fillId="0" borderId="81" xfId="50" applyFont="1" applyBorder="1" applyAlignment="1">
      <alignment horizontal="center" vertical="center" wrapText="1"/>
    </xf>
    <xf numFmtId="164" fontId="17" fillId="0" borderId="52" xfId="50" applyNumberFormat="1" applyFont="1" applyBorder="1" applyAlignment="1">
      <alignment vertical="center"/>
    </xf>
    <xf numFmtId="164" fontId="17" fillId="0" borderId="53" xfId="50" applyNumberFormat="1" applyFont="1" applyBorder="1" applyAlignment="1">
      <alignment vertical="center"/>
    </xf>
    <xf numFmtId="164" fontId="21" fillId="0" borderId="2" xfId="50" applyNumberFormat="1" applyFont="1" applyBorder="1" applyAlignment="1">
      <alignment vertical="center"/>
    </xf>
    <xf numFmtId="164" fontId="21" fillId="0" borderId="3" xfId="50" applyNumberFormat="1" applyFont="1" applyBorder="1" applyAlignment="1">
      <alignment vertical="center"/>
    </xf>
    <xf numFmtId="0" fontId="21" fillId="0" borderId="42" xfId="50" applyFont="1" applyBorder="1" applyAlignment="1">
      <alignment horizontal="center" vertical="center" wrapText="1"/>
    </xf>
    <xf numFmtId="0" fontId="21" fillId="0" borderId="87" xfId="50" applyFont="1" applyBorder="1" applyAlignment="1">
      <alignment horizontal="left" vertical="center" wrapText="1"/>
    </xf>
    <xf numFmtId="164" fontId="21" fillId="0" borderId="88" xfId="50" applyNumberFormat="1" applyFont="1" applyBorder="1" applyAlignment="1">
      <alignment horizontal="right" vertical="center" wrapText="1"/>
    </xf>
    <xf numFmtId="164" fontId="21" fillId="0" borderId="89" xfId="50" applyNumberFormat="1" applyFont="1" applyBorder="1" applyAlignment="1">
      <alignment horizontal="right" vertical="center" wrapText="1"/>
    </xf>
    <xf numFmtId="3" fontId="60" fillId="0" borderId="79" xfId="50" applyNumberFormat="1" applyFont="1" applyBorder="1" applyAlignment="1">
      <alignment horizontal="right" vertical="center" wrapText="1"/>
    </xf>
    <xf numFmtId="0" fontId="0" fillId="0" borderId="0" xfId="0" applyBorder="1"/>
    <xf numFmtId="0" fontId="21" fillId="0" borderId="13" xfId="0" applyFont="1" applyFill="1" applyBorder="1" applyAlignment="1">
      <alignment horizontal="center" vertical="center" wrapText="1"/>
    </xf>
    <xf numFmtId="0" fontId="21" fillId="0" borderId="77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17" fillId="0" borderId="81" xfId="0" applyFont="1" applyFill="1" applyBorder="1" applyAlignment="1">
      <alignment horizontal="center" vertical="center"/>
    </xf>
    <xf numFmtId="0" fontId="128" fillId="0" borderId="78" xfId="0" applyFont="1" applyBorder="1" applyAlignment="1">
      <alignment vertical="center"/>
    </xf>
    <xf numFmtId="169" fontId="128" fillId="0" borderId="53" xfId="0" applyNumberFormat="1" applyFont="1" applyBorder="1" applyAlignment="1">
      <alignment horizontal="right" vertical="center"/>
    </xf>
    <xf numFmtId="0" fontId="17" fillId="0" borderId="65" xfId="0" applyFont="1" applyFill="1" applyBorder="1" applyAlignment="1">
      <alignment horizontal="center" vertical="center"/>
    </xf>
    <xf numFmtId="0" fontId="128" fillId="0" borderId="79" xfId="0" applyFont="1" applyBorder="1" applyAlignment="1">
      <alignment vertical="center"/>
    </xf>
    <xf numFmtId="169" fontId="128" fillId="0" borderId="6" xfId="0" applyNumberFormat="1" applyFont="1" applyBorder="1" applyAlignment="1">
      <alignment horizontal="right" vertical="center"/>
    </xf>
    <xf numFmtId="0" fontId="17" fillId="0" borderId="66" xfId="0" applyFont="1" applyFill="1" applyBorder="1" applyAlignment="1">
      <alignment horizontal="center" vertical="center"/>
    </xf>
    <xf numFmtId="0" fontId="128" fillId="0" borderId="80" xfId="0" applyFont="1" applyBorder="1" applyAlignment="1">
      <alignment vertical="center"/>
    </xf>
    <xf numFmtId="169" fontId="128" fillId="0" borderId="24" xfId="0" applyNumberFormat="1" applyFont="1" applyBorder="1" applyAlignment="1">
      <alignment horizontal="right" vertical="center"/>
    </xf>
    <xf numFmtId="0" fontId="17" fillId="0" borderId="13" xfId="0" applyFont="1" applyFill="1" applyBorder="1" applyAlignment="1">
      <alignment horizontal="center" vertical="center"/>
    </xf>
    <xf numFmtId="0" fontId="21" fillId="0" borderId="77" xfId="0" applyFont="1" applyBorder="1" applyAlignment="1">
      <alignment vertical="center"/>
    </xf>
    <xf numFmtId="169" fontId="21" fillId="0" borderId="3" xfId="0" applyNumberFormat="1" applyFont="1" applyBorder="1" applyAlignment="1">
      <alignment vertical="center"/>
    </xf>
    <xf numFmtId="0" fontId="17" fillId="0" borderId="78" xfId="0" applyFont="1" applyBorder="1" applyAlignment="1">
      <alignment vertical="center"/>
    </xf>
    <xf numFmtId="169" fontId="17" fillId="0" borderId="53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/>
    </xf>
    <xf numFmtId="169" fontId="17" fillId="0" borderId="54" xfId="0" applyNumberFormat="1" applyFont="1" applyBorder="1" applyAlignment="1">
      <alignment vertical="center"/>
    </xf>
    <xf numFmtId="0" fontId="17" fillId="0" borderId="0" xfId="0" applyFont="1"/>
    <xf numFmtId="0" fontId="14" fillId="0" borderId="7" xfId="47" applyFont="1" applyFill="1" applyBorder="1" applyAlignment="1">
      <alignment horizontal="center" vertical="center" wrapText="1"/>
    </xf>
    <xf numFmtId="0" fontId="14" fillId="0" borderId="8" xfId="47" applyFont="1" applyFill="1" applyBorder="1" applyAlignment="1">
      <alignment horizontal="center" vertical="center"/>
    </xf>
    <xf numFmtId="0" fontId="14" fillId="0" borderId="8" xfId="47" applyFont="1" applyFill="1" applyBorder="1" applyAlignment="1">
      <alignment horizontal="center" vertical="center" wrapText="1"/>
    </xf>
    <xf numFmtId="0" fontId="14" fillId="0" borderId="57" xfId="47" applyFont="1" applyFill="1" applyBorder="1" applyAlignment="1">
      <alignment horizontal="center" vertical="center" wrapText="1"/>
    </xf>
    <xf numFmtId="0" fontId="12" fillId="0" borderId="4" xfId="47" applyFont="1" applyFill="1" applyBorder="1" applyAlignment="1">
      <alignment horizontal="center" vertical="center"/>
    </xf>
    <xf numFmtId="0" fontId="12" fillId="0" borderId="5" xfId="47" applyFont="1" applyFill="1" applyBorder="1" applyAlignment="1" applyProtection="1">
      <alignment vertical="center" wrapText="1"/>
      <protection locked="0"/>
    </xf>
    <xf numFmtId="3" fontId="12" fillId="0" borderId="5" xfId="47" applyNumberFormat="1" applyFont="1" applyFill="1" applyBorder="1" applyAlignment="1" applyProtection="1">
      <alignment horizontal="right" vertical="center"/>
    </xf>
    <xf numFmtId="3" fontId="12" fillId="0" borderId="6" xfId="47" applyNumberFormat="1" applyFont="1" applyFill="1" applyBorder="1" applyAlignment="1" applyProtection="1">
      <alignment horizontal="right" vertical="center"/>
    </xf>
    <xf numFmtId="0" fontId="17" fillId="0" borderId="5" xfId="47" applyFont="1" applyFill="1" applyBorder="1" applyAlignment="1">
      <alignment vertical="center"/>
    </xf>
    <xf numFmtId="3" fontId="12" fillId="0" borderId="5" xfId="47" applyNumberFormat="1" applyFont="1" applyFill="1" applyBorder="1" applyAlignment="1" applyProtection="1">
      <alignment horizontal="right" vertical="center"/>
      <protection locked="0"/>
    </xf>
    <xf numFmtId="3" fontId="12" fillId="0" borderId="6" xfId="47" applyNumberFormat="1" applyFont="1" applyFill="1" applyBorder="1" applyAlignment="1" applyProtection="1">
      <alignment horizontal="right" vertical="center"/>
      <protection locked="0"/>
    </xf>
    <xf numFmtId="0" fontId="17" fillId="0" borderId="5" xfId="47" applyFont="1" applyFill="1" applyBorder="1" applyAlignment="1">
      <alignment vertical="center" wrapText="1"/>
    </xf>
    <xf numFmtId="0" fontId="17" fillId="0" borderId="0" xfId="47" applyFont="1" applyBorder="1" applyAlignment="1">
      <alignment vertical="center"/>
    </xf>
    <xf numFmtId="0" fontId="12" fillId="0" borderId="5" xfId="47" applyFont="1" applyFill="1" applyBorder="1" applyAlignment="1">
      <alignment horizontal="left" vertical="center"/>
    </xf>
    <xf numFmtId="0" fontId="12" fillId="0" borderId="5" xfId="47" applyFont="1" applyFill="1" applyBorder="1" applyAlignment="1" applyProtection="1">
      <alignment horizontal="left" vertical="center" wrapText="1"/>
      <protection locked="0"/>
    </xf>
    <xf numFmtId="0" fontId="12" fillId="0" borderId="67" xfId="47" applyFont="1" applyFill="1" applyBorder="1" applyAlignment="1">
      <alignment horizontal="center" vertical="center"/>
    </xf>
    <xf numFmtId="0" fontId="12" fillId="0" borderId="68" xfId="47" applyFont="1" applyFill="1" applyBorder="1" applyAlignment="1" applyProtection="1">
      <alignment horizontal="left" vertical="center" wrapText="1"/>
      <protection locked="0"/>
    </xf>
    <xf numFmtId="3" fontId="12" fillId="0" borderId="68" xfId="47" applyNumberFormat="1" applyFont="1" applyFill="1" applyBorder="1" applyAlignment="1" applyProtection="1">
      <alignment horizontal="right" vertical="center"/>
      <protection locked="0"/>
    </xf>
    <xf numFmtId="3" fontId="12" fillId="0" borderId="54" xfId="47" applyNumberFormat="1" applyFont="1" applyFill="1" applyBorder="1" applyAlignment="1" applyProtection="1">
      <alignment horizontal="right" vertical="center"/>
      <protection locked="0"/>
    </xf>
    <xf numFmtId="0" fontId="12" fillId="0" borderId="1" xfId="47" applyFont="1" applyFill="1" applyBorder="1" applyAlignment="1">
      <alignment horizontal="center" vertical="center"/>
    </xf>
    <xf numFmtId="0" fontId="18" fillId="0" borderId="2" xfId="47" applyFont="1" applyFill="1" applyBorder="1" applyAlignment="1" applyProtection="1">
      <alignment horizontal="left" vertical="center" wrapText="1"/>
      <protection locked="0"/>
    </xf>
    <xf numFmtId="3" fontId="21" fillId="0" borderId="75" xfId="47" applyNumberFormat="1" applyFont="1" applyBorder="1" applyAlignment="1">
      <alignment horizontal="right" vertical="center"/>
    </xf>
    <xf numFmtId="3" fontId="21" fillId="0" borderId="3" xfId="47" applyNumberFormat="1" applyFont="1" applyBorder="1" applyAlignment="1">
      <alignment horizontal="right" vertical="center"/>
    </xf>
    <xf numFmtId="0" fontId="21" fillId="0" borderId="13" xfId="50" applyFont="1" applyFill="1" applyBorder="1" applyAlignment="1">
      <alignment horizontal="center" vertical="center" wrapText="1"/>
    </xf>
    <xf numFmtId="0" fontId="21" fillId="0" borderId="77" xfId="50" applyFont="1" applyFill="1" applyBorder="1" applyAlignment="1">
      <alignment horizontal="center" vertical="center" wrapText="1"/>
    </xf>
    <xf numFmtId="0" fontId="21" fillId="0" borderId="2" xfId="50" applyFont="1" applyFill="1" applyBorder="1" applyAlignment="1">
      <alignment horizontal="center" vertical="center" wrapText="1"/>
    </xf>
    <xf numFmtId="0" fontId="21" fillId="0" borderId="3" xfId="50" applyFont="1" applyFill="1" applyBorder="1" applyAlignment="1">
      <alignment horizontal="center" vertical="center" wrapText="1"/>
    </xf>
    <xf numFmtId="0" fontId="21" fillId="0" borderId="76" xfId="50" applyFont="1" applyFill="1" applyBorder="1" applyAlignment="1">
      <alignment horizontal="center" vertical="center" wrapText="1"/>
    </xf>
    <xf numFmtId="3" fontId="17" fillId="0" borderId="84" xfId="50" applyNumberFormat="1" applyFont="1" applyBorder="1" applyAlignment="1">
      <alignment horizontal="right" vertical="center" wrapText="1"/>
    </xf>
    <xf numFmtId="3" fontId="17" fillId="0" borderId="8" xfId="50" applyNumberFormat="1" applyFont="1" applyBorder="1" applyAlignment="1">
      <alignment horizontal="right" vertical="center" wrapText="1"/>
    </xf>
    <xf numFmtId="3" fontId="17" fillId="0" borderId="57" xfId="50" applyNumberFormat="1" applyFont="1" applyBorder="1" applyAlignment="1">
      <alignment horizontal="right" vertical="center" wrapText="1"/>
    </xf>
    <xf numFmtId="0" fontId="17" fillId="0" borderId="66" xfId="50" applyFont="1" applyBorder="1" applyAlignment="1">
      <alignment horizontal="left" vertical="center" wrapText="1"/>
    </xf>
    <xf numFmtId="3" fontId="17" fillId="0" borderId="86" xfId="50" applyNumberFormat="1" applyFont="1" applyBorder="1" applyAlignment="1">
      <alignment horizontal="right" vertical="center" wrapText="1"/>
    </xf>
    <xf numFmtId="3" fontId="17" fillId="0" borderId="68" xfId="50" applyNumberFormat="1" applyFont="1" applyBorder="1" applyAlignment="1">
      <alignment horizontal="right" vertical="center" wrapText="1"/>
    </xf>
    <xf numFmtId="3" fontId="17" fillId="0" borderId="54" xfId="50" applyNumberFormat="1" applyFont="1" applyBorder="1" applyAlignment="1">
      <alignment horizontal="right" vertical="center" wrapText="1"/>
    </xf>
    <xf numFmtId="0" fontId="21" fillId="0" borderId="13" xfId="50" applyFont="1" applyBorder="1" applyAlignment="1">
      <alignment horizontal="left" vertical="center" wrapText="1"/>
    </xf>
    <xf numFmtId="3" fontId="21" fillId="0" borderId="77" xfId="50" applyNumberFormat="1" applyFont="1" applyBorder="1" applyAlignment="1">
      <alignment horizontal="right" vertical="center" wrapText="1"/>
    </xf>
    <xf numFmtId="3" fontId="21" fillId="0" borderId="2" xfId="50" applyNumberFormat="1" applyFont="1" applyBorder="1" applyAlignment="1">
      <alignment horizontal="right" vertical="center" wrapText="1"/>
    </xf>
    <xf numFmtId="3" fontId="21" fillId="0" borderId="3" xfId="50" applyNumberFormat="1" applyFont="1" applyBorder="1" applyAlignment="1">
      <alignment horizontal="right" vertical="center" wrapText="1"/>
    </xf>
    <xf numFmtId="0" fontId="17" fillId="0" borderId="81" xfId="50" applyFont="1" applyBorder="1" applyAlignment="1">
      <alignment horizontal="left" vertical="center" wrapText="1"/>
    </xf>
    <xf numFmtId="3" fontId="17" fillId="0" borderId="78" xfId="50" applyNumberFormat="1" applyFont="1" applyBorder="1" applyAlignment="1">
      <alignment horizontal="right" vertical="center" wrapText="1"/>
    </xf>
    <xf numFmtId="3" fontId="17" fillId="0" borderId="52" xfId="50" applyNumberFormat="1" applyFont="1" applyBorder="1" applyAlignment="1">
      <alignment horizontal="right" vertical="center" wrapText="1"/>
    </xf>
    <xf numFmtId="3" fontId="17" fillId="0" borderId="53" xfId="50" applyNumberFormat="1" applyFont="1" applyBorder="1" applyAlignment="1">
      <alignment horizontal="right" vertical="center" wrapText="1"/>
    </xf>
    <xf numFmtId="0" fontId="96" fillId="25" borderId="81" xfId="50" applyFont="1" applyFill="1" applyBorder="1" applyAlignment="1">
      <alignment horizontal="center" vertical="center" wrapText="1"/>
    </xf>
    <xf numFmtId="0" fontId="96" fillId="25" borderId="81" xfId="50" applyFont="1" applyFill="1" applyBorder="1" applyAlignment="1">
      <alignment horizontal="left" vertical="center" wrapText="1"/>
    </xf>
    <xf numFmtId="3" fontId="96" fillId="25" borderId="78" xfId="50" applyNumberFormat="1" applyFont="1" applyFill="1" applyBorder="1" applyAlignment="1">
      <alignment horizontal="right" vertical="center" wrapText="1"/>
    </xf>
    <xf numFmtId="3" fontId="96" fillId="25" borderId="52" xfId="50" applyNumberFormat="1" applyFont="1" applyFill="1" applyBorder="1" applyAlignment="1">
      <alignment horizontal="right" vertical="center" wrapText="1"/>
    </xf>
    <xf numFmtId="3" fontId="96" fillId="25" borderId="53" xfId="50" applyNumberFormat="1" applyFont="1" applyFill="1" applyBorder="1" applyAlignment="1">
      <alignment horizontal="right" vertical="center" wrapText="1"/>
    </xf>
    <xf numFmtId="3" fontId="17" fillId="0" borderId="79" xfId="50" applyNumberFormat="1" applyFont="1" applyBorder="1" applyAlignment="1">
      <alignment horizontal="right" vertical="center" wrapText="1"/>
    </xf>
    <xf numFmtId="3" fontId="17" fillId="0" borderId="5" xfId="50" applyNumberFormat="1" applyFont="1" applyBorder="1" applyAlignment="1">
      <alignment horizontal="right" vertical="center" wrapText="1"/>
    </xf>
    <xf numFmtId="3" fontId="17" fillId="0" borderId="6" xfId="50" applyNumberFormat="1" applyFont="1" applyBorder="1" applyAlignment="1">
      <alignment horizontal="right" vertical="center" wrapText="1"/>
    </xf>
    <xf numFmtId="0" fontId="17" fillId="0" borderId="82" xfId="50" applyFont="1" applyBorder="1" applyAlignment="1">
      <alignment horizontal="center" vertical="center" wrapText="1"/>
    </xf>
    <xf numFmtId="0" fontId="17" fillId="0" borderId="82" xfId="50" applyFont="1" applyBorder="1" applyAlignment="1">
      <alignment horizontal="left" vertical="center" wrapText="1"/>
    </xf>
    <xf numFmtId="3" fontId="17" fillId="0" borderId="85" xfId="50" applyNumberFormat="1" applyFont="1" applyBorder="1" applyAlignment="1">
      <alignment horizontal="right" vertical="center" wrapText="1"/>
    </xf>
    <xf numFmtId="3" fontId="17" fillId="0" borderId="62" xfId="50" applyNumberFormat="1" applyFont="1" applyBorder="1" applyAlignment="1">
      <alignment horizontal="right" vertical="center" wrapText="1"/>
    </xf>
    <xf numFmtId="3" fontId="17" fillId="0" borderId="63" xfId="50" applyNumberFormat="1" applyFont="1" applyBorder="1" applyAlignment="1">
      <alignment horizontal="right" vertical="center" wrapText="1"/>
    </xf>
    <xf numFmtId="49" fontId="18" fillId="0" borderId="70" xfId="1" applyNumberFormat="1" applyFont="1" applyFill="1" applyBorder="1" applyAlignment="1" applyProtection="1">
      <alignment horizontal="center" vertical="center" wrapText="1"/>
    </xf>
    <xf numFmtId="0" fontId="21" fillId="0" borderId="70" xfId="0" applyFont="1" applyBorder="1" applyAlignment="1" applyProtection="1">
      <alignment vertical="center" wrapText="1"/>
    </xf>
    <xf numFmtId="0" fontId="21" fillId="0" borderId="70" xfId="0" applyFont="1" applyBorder="1" applyAlignment="1" applyProtection="1">
      <alignment horizontal="center" vertical="center" wrapText="1"/>
    </xf>
    <xf numFmtId="164" fontId="18" fillId="0" borderId="70" xfId="1" applyNumberFormat="1" applyFont="1" applyFill="1" applyBorder="1" applyAlignment="1" applyProtection="1">
      <alignment vertical="center" wrapText="1"/>
    </xf>
    <xf numFmtId="164" fontId="18" fillId="0" borderId="0" xfId="1" applyNumberFormat="1" applyFont="1" applyFill="1" applyBorder="1" applyAlignment="1" applyProtection="1">
      <alignment vertical="center" wrapText="1"/>
    </xf>
    <xf numFmtId="164" fontId="18" fillId="0" borderId="0" xfId="1" applyNumberFormat="1" applyFont="1" applyFill="1" applyBorder="1" applyAlignment="1" applyProtection="1">
      <alignment horizontal="right" vertical="center" wrapText="1"/>
    </xf>
    <xf numFmtId="10" fontId="93" fillId="0" borderId="0" xfId="1" applyNumberFormat="1" applyFont="1" applyFill="1" applyBorder="1" applyAlignment="1" applyProtection="1">
      <alignment horizontal="right" vertical="center"/>
    </xf>
    <xf numFmtId="49" fontId="18" fillId="0" borderId="14" xfId="1" applyNumberFormat="1" applyFont="1" applyFill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vertical="center" wrapText="1"/>
    </xf>
    <xf numFmtId="0" fontId="21" fillId="0" borderId="14" xfId="0" applyFont="1" applyBorder="1" applyAlignment="1" applyProtection="1">
      <alignment horizontal="center" vertical="center" wrapText="1"/>
    </xf>
    <xf numFmtId="164" fontId="18" fillId="0" borderId="14" xfId="1" applyNumberFormat="1" applyFont="1" applyFill="1" applyBorder="1" applyAlignment="1" applyProtection="1">
      <alignment vertical="center" wrapText="1"/>
    </xf>
    <xf numFmtId="49" fontId="18" fillId="0" borderId="0" xfId="1" applyNumberFormat="1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19" fillId="0" borderId="78" xfId="50" applyFont="1" applyBorder="1" applyAlignment="1">
      <alignment horizontal="right" vertical="center" wrapText="1"/>
    </xf>
    <xf numFmtId="164" fontId="19" fillId="0" borderId="53" xfId="50" applyNumberFormat="1" applyFont="1" applyBorder="1" applyAlignment="1">
      <alignment horizontal="right" vertical="center" wrapText="1"/>
    </xf>
    <xf numFmtId="164" fontId="19" fillId="0" borderId="52" xfId="50" applyNumberFormat="1" applyFont="1" applyBorder="1" applyAlignment="1">
      <alignment horizontal="right" vertical="center" wrapText="1"/>
    </xf>
    <xf numFmtId="0" fontId="19" fillId="0" borderId="78" xfId="50" applyFont="1" applyBorder="1" applyAlignment="1">
      <alignment horizontal="left" vertical="center" wrapText="1"/>
    </xf>
    <xf numFmtId="164" fontId="96" fillId="0" borderId="53" xfId="50" applyNumberFormat="1" applyFont="1" applyBorder="1" applyAlignment="1">
      <alignment horizontal="right" vertical="center" wrapText="1"/>
    </xf>
    <xf numFmtId="164" fontId="0" fillId="0" borderId="0" xfId="0" applyNumberFormat="1"/>
    <xf numFmtId="164" fontId="21" fillId="0" borderId="6" xfId="50" applyNumberFormat="1" applyFont="1" applyBorder="1" applyAlignment="1">
      <alignment horizontal="right" vertical="center" wrapText="1"/>
    </xf>
    <xf numFmtId="0" fontId="66" fillId="0" borderId="25" xfId="178" applyFont="1" applyBorder="1" applyAlignment="1">
      <alignment horizontal="center" vertical="center" wrapText="1"/>
    </xf>
    <xf numFmtId="0" fontId="111" fillId="0" borderId="28" xfId="0" applyFont="1" applyBorder="1" applyAlignment="1">
      <alignment horizontal="center" vertical="center" wrapText="1"/>
    </xf>
    <xf numFmtId="0" fontId="111" fillId="0" borderId="29" xfId="0" applyFont="1" applyBorder="1" applyAlignment="1">
      <alignment horizontal="center" vertical="center" wrapText="1"/>
    </xf>
    <xf numFmtId="0" fontId="111" fillId="0" borderId="32" xfId="0" applyFont="1" applyBorder="1" applyAlignment="1">
      <alignment horizontal="center" vertical="center" wrapText="1"/>
    </xf>
    <xf numFmtId="0" fontId="111" fillId="0" borderId="12" xfId="0" applyFont="1" applyBorder="1" applyAlignment="1">
      <alignment horizontal="center" vertical="center" wrapText="1"/>
    </xf>
    <xf numFmtId="0" fontId="111" fillId="0" borderId="31" xfId="0" applyFont="1" applyBorder="1" applyAlignment="1">
      <alignment horizontal="center" vertical="center" wrapText="1"/>
    </xf>
    <xf numFmtId="3" fontId="9" fillId="0" borderId="0" xfId="1" applyNumberFormat="1" applyFont="1" applyFill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164" fontId="11" fillId="0" borderId="0" xfId="1" applyNumberFormat="1" applyFont="1" applyFill="1" applyBorder="1" applyAlignment="1" applyProtection="1">
      <alignment horizontal="left" vertical="center"/>
    </xf>
    <xf numFmtId="164" fontId="10" fillId="0" borderId="0" xfId="1" applyNumberFormat="1" applyFont="1" applyFill="1" applyBorder="1" applyAlignment="1" applyProtection="1">
      <alignment horizontal="center" vertical="center"/>
    </xf>
    <xf numFmtId="0" fontId="25" fillId="0" borderId="0" xfId="1" applyFont="1" applyFill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horizontal="center" vertical="center" wrapText="1"/>
    </xf>
    <xf numFmtId="164" fontId="25" fillId="0" borderId="11" xfId="0" applyNumberFormat="1" applyFont="1" applyFill="1" applyBorder="1" applyAlignment="1" applyProtection="1">
      <alignment horizontal="center" vertical="center" wrapText="1"/>
    </xf>
    <xf numFmtId="44" fontId="65" fillId="0" borderId="0" xfId="212" applyFont="1" applyFill="1" applyAlignment="1" applyProtection="1">
      <alignment horizontal="center" vertical="center" wrapText="1"/>
    </xf>
    <xf numFmtId="164" fontId="65" fillId="0" borderId="0" xfId="0" applyNumberFormat="1" applyFont="1" applyFill="1" applyAlignment="1" applyProtection="1">
      <alignment horizontal="center" vertical="center" wrapText="1"/>
    </xf>
    <xf numFmtId="0" fontId="21" fillId="0" borderId="13" xfId="51" applyFont="1" applyBorder="1" applyAlignment="1">
      <alignment horizontal="center" vertical="center" wrapText="1"/>
    </xf>
    <xf numFmtId="0" fontId="21" fillId="0" borderId="10" xfId="51" applyFont="1" applyBorder="1" applyAlignment="1">
      <alignment horizontal="center" vertical="center"/>
    </xf>
    <xf numFmtId="0" fontId="21" fillId="0" borderId="27" xfId="51" applyFont="1" applyBorder="1" applyAlignment="1">
      <alignment horizontal="center" vertical="center"/>
    </xf>
    <xf numFmtId="0" fontId="64" fillId="0" borderId="0" xfId="51" applyFont="1" applyBorder="1" applyAlignment="1">
      <alignment horizontal="center" vertical="center" wrapText="1"/>
    </xf>
    <xf numFmtId="0" fontId="21" fillId="0" borderId="13" xfId="144" applyFont="1" applyFill="1" applyBorder="1" applyAlignment="1">
      <alignment horizontal="center" vertical="center" wrapText="1"/>
    </xf>
    <xf numFmtId="164" fontId="64" fillId="0" borderId="0" xfId="0" applyNumberFormat="1" applyFont="1" applyFill="1" applyAlignment="1">
      <alignment horizontal="center" vertical="center" wrapText="1"/>
    </xf>
    <xf numFmtId="164" fontId="19" fillId="0" borderId="12" xfId="0" applyNumberFormat="1" applyFont="1" applyFill="1" applyBorder="1" applyAlignment="1" applyProtection="1">
      <alignment horizontal="right" wrapText="1"/>
    </xf>
    <xf numFmtId="0" fontId="21" fillId="0" borderId="13" xfId="144" applyFont="1" applyFill="1" applyBorder="1" applyAlignment="1">
      <alignment horizontal="center" vertical="center"/>
    </xf>
    <xf numFmtId="0" fontId="64" fillId="0" borderId="13" xfId="48" applyFont="1" applyBorder="1" applyAlignment="1">
      <alignment horizontal="center" vertical="center"/>
    </xf>
    <xf numFmtId="0" fontId="68" fillId="0" borderId="0" xfId="48" applyFont="1" applyBorder="1"/>
    <xf numFmtId="0" fontId="62" fillId="0" borderId="13" xfId="48" applyFont="1" applyBorder="1" applyAlignment="1">
      <alignment horizontal="left" vertical="center"/>
    </xf>
    <xf numFmtId="0" fontId="60" fillId="0" borderId="13" xfId="48" applyFont="1" applyBorder="1" applyAlignment="1">
      <alignment horizontal="left" vertical="center" wrapText="1"/>
    </xf>
    <xf numFmtId="0" fontId="62" fillId="0" borderId="13" xfId="48" applyFont="1" applyBorder="1" applyAlignment="1">
      <alignment vertical="center"/>
    </xf>
    <xf numFmtId="0" fontId="60" fillId="0" borderId="13" xfId="48" applyFont="1" applyBorder="1" applyAlignment="1">
      <alignment horizontal="left" vertical="center"/>
    </xf>
    <xf numFmtId="0" fontId="60" fillId="0" borderId="10" xfId="48" applyFont="1" applyBorder="1" applyAlignment="1">
      <alignment horizontal="left" vertical="top"/>
    </xf>
    <xf numFmtId="0" fontId="60" fillId="0" borderId="27" xfId="48" applyFont="1" applyBorder="1" applyAlignment="1">
      <alignment horizontal="left" vertical="top"/>
    </xf>
    <xf numFmtId="0" fontId="60" fillId="0" borderId="11" xfId="48" applyFont="1" applyBorder="1" applyAlignment="1">
      <alignment horizontal="left" vertical="top"/>
    </xf>
    <xf numFmtId="0" fontId="116" fillId="0" borderId="0" xfId="48" applyFont="1" applyAlignment="1">
      <alignment horizontal="center" vertical="center" wrapText="1"/>
    </xf>
    <xf numFmtId="0" fontId="62" fillId="0" borderId="13" xfId="48" applyFont="1" applyBorder="1" applyAlignment="1">
      <alignment horizontal="center" vertical="center" wrapText="1"/>
    </xf>
    <xf numFmtId="0" fontId="70" fillId="0" borderId="13" xfId="48" applyFont="1" applyBorder="1" applyAlignment="1">
      <alignment horizontal="left" vertical="center" wrapText="1"/>
    </xf>
    <xf numFmtId="0" fontId="64" fillId="0" borderId="0" xfId="178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7" fillId="0" borderId="0" xfId="0" applyFont="1" applyBorder="1" applyAlignment="1">
      <alignment horizontal="right"/>
    </xf>
    <xf numFmtId="164" fontId="62" fillId="0" borderId="13" xfId="67" applyNumberFormat="1" applyFont="1" applyBorder="1" applyAlignment="1">
      <alignment horizontal="center" vertical="center"/>
    </xf>
    <xf numFmtId="164" fontId="62" fillId="0" borderId="13" xfId="67" applyNumberFormat="1" applyFont="1" applyBorder="1" applyAlignment="1">
      <alignment vertical="center"/>
    </xf>
    <xf numFmtId="164" fontId="21" fillId="0" borderId="13" xfId="67" applyNumberFormat="1" applyFont="1" applyFill="1" applyBorder="1" applyAlignment="1">
      <alignment horizontal="center" vertical="center"/>
    </xf>
    <xf numFmtId="164" fontId="21" fillId="0" borderId="13" xfId="67" applyNumberFormat="1" applyFont="1" applyBorder="1" applyAlignment="1">
      <alignment horizontal="center" vertical="center"/>
    </xf>
    <xf numFmtId="164" fontId="21" fillId="0" borderId="13" xfId="67" applyNumberFormat="1" applyFont="1" applyBorder="1" applyAlignment="1">
      <alignment horizontal="center" vertical="center" wrapText="1"/>
    </xf>
    <xf numFmtId="164" fontId="21" fillId="0" borderId="13" xfId="67" applyNumberFormat="1" applyFont="1" applyBorder="1" applyAlignment="1">
      <alignment vertical="center" wrapText="1"/>
    </xf>
    <xf numFmtId="164" fontId="17" fillId="0" borderId="0" xfId="160" applyNumberFormat="1" applyFont="1" applyFill="1" applyBorder="1" applyAlignment="1">
      <alignment horizontal="left" vertical="center" wrapText="1"/>
    </xf>
    <xf numFmtId="10" fontId="17" fillId="0" borderId="0" xfId="160" applyNumberFormat="1" applyFont="1" applyFill="1" applyBorder="1" applyAlignment="1">
      <alignment horizontal="left" vertical="center"/>
    </xf>
    <xf numFmtId="14" fontId="17" fillId="0" borderId="0" xfId="160" applyNumberFormat="1" applyFont="1" applyFill="1" applyBorder="1" applyAlignment="1">
      <alignment horizontal="left" vertical="center"/>
    </xf>
    <xf numFmtId="0" fontId="17" fillId="0" borderId="0" xfId="160" applyNumberFormat="1" applyFont="1" applyFill="1" applyBorder="1" applyAlignment="1">
      <alignment horizontal="left" vertical="center"/>
    </xf>
    <xf numFmtId="0" fontId="9" fillId="0" borderId="34" xfId="213" applyFont="1" applyFill="1" applyBorder="1" applyAlignment="1" applyProtection="1">
      <alignment horizontal="center" vertical="center" wrapText="1"/>
    </xf>
    <xf numFmtId="0" fontId="9" fillId="0" borderId="35" xfId="213" applyFont="1" applyFill="1" applyBorder="1" applyAlignment="1" applyProtection="1">
      <alignment horizontal="center" vertical="center" wrapText="1"/>
    </xf>
    <xf numFmtId="0" fontId="9" fillId="0" borderId="36" xfId="213" applyFont="1" applyFill="1" applyBorder="1" applyAlignment="1" applyProtection="1">
      <alignment horizontal="center" vertical="center" wrapText="1"/>
    </xf>
    <xf numFmtId="0" fontId="25" fillId="0" borderId="0" xfId="213" applyFont="1" applyFill="1" applyBorder="1" applyAlignment="1" applyProtection="1">
      <alignment horizontal="center" vertical="center"/>
    </xf>
    <xf numFmtId="164" fontId="21" fillId="0" borderId="0" xfId="160" applyNumberFormat="1" applyFont="1" applyFill="1" applyBorder="1" applyAlignment="1">
      <alignment horizontal="left" vertical="center" wrapText="1"/>
    </xf>
    <xf numFmtId="164" fontId="21" fillId="0" borderId="38" xfId="160" applyNumberFormat="1" applyFont="1" applyFill="1" applyBorder="1" applyAlignment="1">
      <alignment horizontal="left" vertical="center" wrapText="1"/>
    </xf>
    <xf numFmtId="164" fontId="17" fillId="0" borderId="38" xfId="160" applyNumberFormat="1" applyFont="1" applyFill="1" applyBorder="1" applyAlignment="1">
      <alignment horizontal="left" vertical="center" wrapText="1"/>
    </xf>
    <xf numFmtId="10" fontId="9" fillId="0" borderId="0" xfId="1" applyNumberFormat="1" applyFont="1" applyFill="1" applyAlignment="1" applyProtection="1">
      <alignment horizontal="center" vertical="center" wrapText="1"/>
    </xf>
    <xf numFmtId="164" fontId="11" fillId="0" borderId="12" xfId="1" applyNumberFormat="1" applyFont="1" applyFill="1" applyBorder="1" applyAlignment="1" applyProtection="1">
      <alignment horizontal="left" vertical="center"/>
    </xf>
    <xf numFmtId="164" fontId="10" fillId="0" borderId="28" xfId="1" applyNumberFormat="1" applyFont="1" applyFill="1" applyBorder="1" applyAlignment="1" applyProtection="1">
      <alignment horizontal="center" vertical="center"/>
    </xf>
    <xf numFmtId="164" fontId="10" fillId="0" borderId="12" xfId="1" applyNumberFormat="1" applyFont="1" applyFill="1" applyBorder="1" applyAlignment="1" applyProtection="1">
      <alignment horizontal="center" vertical="center"/>
    </xf>
    <xf numFmtId="164" fontId="100" fillId="0" borderId="12" xfId="1" applyNumberFormat="1" applyFont="1" applyFill="1" applyBorder="1" applyAlignment="1" applyProtection="1">
      <alignment horizontal="center" vertical="center"/>
    </xf>
    <xf numFmtId="3" fontId="6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3" fontId="66" fillId="0" borderId="0" xfId="0" applyNumberFormat="1" applyFont="1" applyBorder="1" applyAlignment="1">
      <alignment horizontal="center" vertical="center" wrapText="1"/>
    </xf>
    <xf numFmtId="3" fontId="66" fillId="0" borderId="0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right"/>
    </xf>
    <xf numFmtId="0" fontId="65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171" applyFont="1" applyFill="1" applyAlignment="1" applyProtection="1">
      <alignment horizontal="center" vertical="center" wrapText="1"/>
    </xf>
    <xf numFmtId="0" fontId="9" fillId="0" borderId="0" xfId="171" applyFont="1" applyFill="1" applyAlignment="1" applyProtection="1">
      <alignment horizontal="center" vertical="center"/>
    </xf>
    <xf numFmtId="0" fontId="103" fillId="0" borderId="13" xfId="171" applyFont="1" applyFill="1" applyBorder="1" applyAlignment="1" applyProtection="1">
      <alignment horizontal="left" vertical="center" indent="1"/>
    </xf>
    <xf numFmtId="0" fontId="17" fillId="0" borderId="13" xfId="2" applyFont="1" applyBorder="1" applyAlignment="1">
      <alignment horizontal="center" vertical="center"/>
    </xf>
    <xf numFmtId="0" fontId="63" fillId="0" borderId="13" xfId="0" applyFont="1" applyBorder="1" applyAlignment="1">
      <alignment horizontal="center" vertical="center"/>
    </xf>
    <xf numFmtId="0" fontId="17" fillId="0" borderId="13" xfId="2" applyFont="1" applyBorder="1" applyAlignment="1">
      <alignment vertical="center"/>
    </xf>
    <xf numFmtId="0" fontId="63" fillId="0" borderId="13" xfId="0" applyFont="1" applyBorder="1" applyAlignment="1">
      <alignment vertical="center"/>
    </xf>
    <xf numFmtId="0" fontId="17" fillId="0" borderId="13" xfId="2" applyFont="1" applyBorder="1" applyAlignment="1"/>
    <xf numFmtId="0" fontId="63" fillId="0" borderId="13" xfId="0" applyFont="1" applyBorder="1" applyAlignment="1"/>
    <xf numFmtId="0" fontId="9" fillId="0" borderId="0" xfId="0" applyFont="1" applyFill="1" applyAlignment="1">
      <alignment horizontal="center" vertical="center" wrapText="1"/>
    </xf>
    <xf numFmtId="0" fontId="67" fillId="0" borderId="0" xfId="2" applyFont="1" applyBorder="1" applyAlignment="1">
      <alignment horizontal="right" vertical="center" wrapText="1"/>
    </xf>
    <xf numFmtId="0" fontId="21" fillId="0" borderId="13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center" vertical="center"/>
    </xf>
    <xf numFmtId="0" fontId="66" fillId="0" borderId="0" xfId="174" applyFont="1" applyFill="1" applyBorder="1" applyAlignment="1">
      <alignment horizontal="center" vertical="center" wrapText="1"/>
    </xf>
    <xf numFmtId="0" fontId="110" fillId="0" borderId="0" xfId="174" applyFont="1" applyFill="1" applyBorder="1" applyAlignment="1">
      <alignment horizontal="center" vertical="center" wrapText="1"/>
    </xf>
    <xf numFmtId="0" fontId="107" fillId="0" borderId="0" xfId="173" applyFont="1" applyAlignment="1">
      <alignment horizontal="center" vertical="center" wrapText="1"/>
    </xf>
    <xf numFmtId="0" fontId="107" fillId="0" borderId="0" xfId="173" applyFont="1" applyAlignment="1">
      <alignment horizontal="center" vertical="center"/>
    </xf>
    <xf numFmtId="0" fontId="107" fillId="0" borderId="0" xfId="173" applyFont="1" applyBorder="1" applyAlignment="1">
      <alignment horizontal="center" vertical="center"/>
    </xf>
    <xf numFmtId="0" fontId="9" fillId="0" borderId="0" xfId="1" applyFont="1" applyFill="1" applyAlignment="1" applyProtection="1">
      <alignment horizontal="center" wrapText="1"/>
    </xf>
    <xf numFmtId="0" fontId="9" fillId="0" borderId="0" xfId="1" applyFont="1" applyFill="1" applyAlignment="1" applyProtection="1">
      <alignment horizontal="center"/>
    </xf>
    <xf numFmtId="164" fontId="11" fillId="0" borderId="0" xfId="1" applyNumberFormat="1" applyFont="1" applyFill="1" applyBorder="1" applyAlignment="1" applyProtection="1">
      <alignment horizontal="left"/>
    </xf>
    <xf numFmtId="0" fontId="66" fillId="0" borderId="0" xfId="172" applyFont="1" applyAlignment="1">
      <alignment horizontal="center" vertical="center" wrapText="1"/>
    </xf>
    <xf numFmtId="0" fontId="19" fillId="0" borderId="0" xfId="172" applyFont="1" applyBorder="1" applyAlignment="1">
      <alignment horizontal="right"/>
    </xf>
    <xf numFmtId="0" fontId="62" fillId="0" borderId="13" xfId="172" applyFont="1" applyBorder="1" applyAlignment="1">
      <alignment horizontal="center" vertical="center" wrapText="1"/>
    </xf>
    <xf numFmtId="0" fontId="62" fillId="0" borderId="90" xfId="172" applyFont="1" applyBorder="1" applyAlignment="1">
      <alignment horizontal="center" vertical="center" wrapText="1"/>
    </xf>
    <xf numFmtId="0" fontId="62" fillId="0" borderId="76" xfId="172" applyFont="1" applyBorder="1" applyAlignment="1">
      <alignment horizontal="center" vertical="center" wrapText="1"/>
    </xf>
    <xf numFmtId="0" fontId="107" fillId="0" borderId="0" xfId="175" applyFont="1" applyAlignment="1">
      <alignment horizontal="center" vertical="center" wrapText="1"/>
    </xf>
    <xf numFmtId="164" fontId="65" fillId="0" borderId="0" xfId="1" applyNumberFormat="1" applyFont="1" applyFill="1" applyBorder="1" applyAlignment="1" applyProtection="1">
      <alignment horizontal="center" vertical="center" wrapText="1"/>
    </xf>
    <xf numFmtId="0" fontId="66" fillId="0" borderId="0" xfId="0" applyFont="1" applyFill="1" applyAlignment="1" applyProtection="1">
      <alignment horizontal="center" vertical="center" wrapText="1"/>
      <protection locked="0"/>
    </xf>
    <xf numFmtId="0" fontId="65" fillId="0" borderId="0" xfId="65" applyFont="1" applyFill="1" applyBorder="1" applyAlignment="1" applyProtection="1">
      <alignment horizontal="center" vertical="center" wrapText="1"/>
      <protection locked="0"/>
    </xf>
    <xf numFmtId="0" fontId="19" fillId="0" borderId="12" xfId="65" applyFont="1" applyFill="1" applyBorder="1" applyAlignment="1">
      <alignment horizontal="center"/>
    </xf>
    <xf numFmtId="0" fontId="21" fillId="25" borderId="69" xfId="50" applyFont="1" applyFill="1" applyBorder="1" applyAlignment="1">
      <alignment horizontal="center" vertical="center"/>
    </xf>
    <xf numFmtId="0" fontId="21" fillId="25" borderId="55" xfId="50" applyFont="1" applyFill="1" applyBorder="1" applyAlignment="1">
      <alignment horizontal="center" vertical="center"/>
    </xf>
    <xf numFmtId="0" fontId="21" fillId="25" borderId="56" xfId="50" applyFont="1" applyFill="1" applyBorder="1" applyAlignment="1">
      <alignment horizontal="center" vertical="center"/>
    </xf>
    <xf numFmtId="0" fontId="124" fillId="0" borderId="64" xfId="65" applyFont="1" applyFill="1" applyBorder="1" applyAlignment="1">
      <alignment horizontal="center" vertical="center" wrapText="1"/>
    </xf>
    <xf numFmtId="0" fontId="124" fillId="0" borderId="82" xfId="65" applyFont="1" applyFill="1" applyBorder="1" applyAlignment="1">
      <alignment horizontal="center" vertical="center" wrapText="1"/>
    </xf>
    <xf numFmtId="0" fontId="21" fillId="0" borderId="59" xfId="65" applyFont="1" applyFill="1" applyBorder="1" applyAlignment="1">
      <alignment horizontal="center" vertical="center" wrapText="1"/>
    </xf>
    <xf numFmtId="0" fontId="21" fillId="0" borderId="83" xfId="65" applyFont="1" applyFill="1" applyBorder="1" applyAlignment="1">
      <alignment horizontal="center" vertical="center" wrapText="1"/>
    </xf>
    <xf numFmtId="0" fontId="21" fillId="0" borderId="7" xfId="65" applyFont="1" applyFill="1" applyBorder="1" applyAlignment="1">
      <alignment horizontal="center" vertical="center"/>
    </xf>
    <xf numFmtId="0" fontId="21" fillId="0" borderId="8" xfId="65" applyFont="1" applyFill="1" applyBorder="1" applyAlignment="1">
      <alignment horizontal="center" vertical="center"/>
    </xf>
    <xf numFmtId="0" fontId="21" fillId="0" borderId="57" xfId="65" applyFont="1" applyFill="1" applyBorder="1" applyAlignment="1">
      <alignment horizontal="center" vertical="center"/>
    </xf>
    <xf numFmtId="0" fontId="21" fillId="0" borderId="58" xfId="65" applyFont="1" applyFill="1" applyBorder="1" applyAlignment="1">
      <alignment horizontal="center" vertical="center" wrapText="1"/>
    </xf>
    <xf numFmtId="0" fontId="21" fillId="0" borderId="60" xfId="65" applyFont="1" applyFill="1" applyBorder="1" applyAlignment="1">
      <alignment horizontal="center" vertical="center" wrapText="1"/>
    </xf>
    <xf numFmtId="0" fontId="19" fillId="0" borderId="0" xfId="65" applyFont="1" applyFill="1" applyBorder="1" applyAlignment="1">
      <alignment horizontal="center"/>
    </xf>
    <xf numFmtId="0" fontId="21" fillId="25" borderId="10" xfId="50" applyFont="1" applyFill="1" applyBorder="1" applyAlignment="1">
      <alignment horizontal="center" vertical="center" wrapText="1"/>
    </xf>
    <xf numFmtId="0" fontId="21" fillId="25" borderId="55" xfId="50" applyFont="1" applyFill="1" applyBorder="1" applyAlignment="1">
      <alignment horizontal="center" vertical="center" wrapText="1"/>
    </xf>
    <xf numFmtId="0" fontId="21" fillId="25" borderId="56" xfId="50" applyFont="1" applyFill="1" applyBorder="1" applyAlignment="1">
      <alignment horizontal="center" vertical="center" wrapText="1"/>
    </xf>
    <xf numFmtId="0" fontId="67" fillId="0" borderId="0" xfId="65" applyFont="1" applyFill="1" applyBorder="1" applyAlignment="1">
      <alignment horizontal="center" wrapText="1"/>
    </xf>
    <xf numFmtId="0" fontId="21" fillId="0" borderId="14" xfId="65" applyFont="1" applyFill="1" applyBorder="1" applyAlignment="1">
      <alignment horizontal="center" vertical="center" wrapText="1"/>
    </xf>
    <xf numFmtId="0" fontId="21" fillId="0" borderId="42" xfId="65" applyFont="1" applyFill="1" applyBorder="1" applyAlignment="1">
      <alignment horizontal="center" vertical="center" wrapText="1"/>
    </xf>
    <xf numFmtId="0" fontId="14" fillId="0" borderId="69" xfId="65" applyFont="1" applyFill="1" applyBorder="1" applyAlignment="1" applyProtection="1">
      <alignment horizontal="center" vertical="center" wrapText="1"/>
      <protection locked="0"/>
    </xf>
    <xf numFmtId="0" fontId="14" fillId="0" borderId="55" xfId="65" applyFont="1" applyFill="1" applyBorder="1" applyAlignment="1" applyProtection="1">
      <alignment horizontal="center" vertical="center" wrapText="1"/>
      <protection locked="0"/>
    </xf>
    <xf numFmtId="0" fontId="14" fillId="0" borderId="56" xfId="65" applyFont="1" applyFill="1" applyBorder="1" applyAlignment="1" applyProtection="1">
      <alignment horizontal="center" vertical="center" wrapText="1"/>
      <protection locked="0"/>
    </xf>
    <xf numFmtId="0" fontId="21" fillId="0" borderId="69" xfId="65" applyFont="1" applyFill="1" applyBorder="1" applyAlignment="1">
      <alignment horizontal="center" vertical="center" wrapText="1"/>
    </xf>
    <xf numFmtId="0" fontId="21" fillId="0" borderId="55" xfId="65" applyFont="1" applyFill="1" applyBorder="1" applyAlignment="1">
      <alignment horizontal="center" vertical="center" wrapText="1"/>
    </xf>
    <xf numFmtId="0" fontId="21" fillId="0" borderId="56" xfId="65" applyFont="1" applyFill="1" applyBorder="1" applyAlignment="1">
      <alignment horizontal="center" vertical="center" wrapText="1"/>
    </xf>
    <xf numFmtId="0" fontId="65" fillId="0" borderId="0" xfId="47" applyFont="1" applyFill="1" applyAlignment="1" applyProtection="1">
      <alignment horizontal="center" vertical="center" wrapText="1"/>
      <protection locked="0"/>
    </xf>
    <xf numFmtId="0" fontId="66" fillId="0" borderId="0" xfId="65" applyFont="1" applyFill="1" applyBorder="1" applyAlignment="1">
      <alignment horizontal="center" vertical="center" wrapText="1"/>
    </xf>
  </cellXfs>
  <cellStyles count="230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alculation 2" xfId="216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Input 2" xfId="219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0 2" xfId="220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10" xfId="217"/>
    <cellStyle name="Normál 2 2" xfId="50"/>
    <cellStyle name="Normál 2 2 10" xfId="51"/>
    <cellStyle name="Normál 2 2 2" xfId="134"/>
    <cellStyle name="Normál 2 2 2 2" xfId="222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 5 3" xfId="223"/>
    <cellStyle name="Normál 2 6" xfId="221"/>
    <cellStyle name="Normál 2 7" xfId="214"/>
    <cellStyle name="Normál 2 8" xfId="218"/>
    <cellStyle name="Normál 2 9" xfId="215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5 4" xfId="224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 4" xfId="225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 9 2" xfId="226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3"/>
    <cellStyle name="Normál_SEGEDLETEK" xfId="171"/>
    <cellStyle name="Normal_tanusitv" xfId="69"/>
    <cellStyle name="Note" xfId="70"/>
    <cellStyle name="Note 2" xfId="227"/>
    <cellStyle name="Output" xfId="71"/>
    <cellStyle name="Output 2" xfId="228"/>
    <cellStyle name="Összesen 2" xfId="162"/>
    <cellStyle name="Pénznem" xfId="212" builtinId="4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Total 2" xfId="229"/>
    <cellStyle name="Warning Text" xfId="75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externalLink" Target="externalLinks/externalLink10.xml"/><Relationship Id="rId47" Type="http://schemas.openxmlformats.org/officeDocument/2006/relationships/externalLink" Target="externalLinks/externalLink15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46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externalLink" Target="externalLinks/externalLink8.xml"/><Relationship Id="rId45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2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externalLink" Target="externalLinks/externalLink11.xml"/><Relationship Id="rId48" Type="http://schemas.openxmlformats.org/officeDocument/2006/relationships/externalLink" Target="externalLinks/externalLink16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yalne/Documents/2017/K&#214;LTS&#201;GVET&#201;S%20TERVEZ&#201;S/2017.%20&#233;vi%20&#246;nkorm&#225;nyzati%20k&#246;lts&#233;gvet&#233;s%20minta/rendelet%20mell&#233;klet%20mint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2017.&#233;vi%20k&#246;lts&#233;gvet&#233;s/K&#214;LTS&#201;GVET&#201;S%20TERVEZ&#201;S/&#214;NKORM&#193;NYZAT/Test&#252;leti%20anyag%20II/Test&#252;leti%20t&#225;bl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"/>
      <sheetName val="4. sz.mell 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sz.mell."/>
      <sheetName val="2.1.sz.mell  "/>
      <sheetName val="2.2.sz.mell  "/>
      <sheetName val="3.sz.mell"/>
      <sheetName val="4. sz.mell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  <sheetName val="Munka1"/>
    </sheetNames>
    <sheetDataSet>
      <sheetData sheetId="0"/>
      <sheetData sheetId="1"/>
      <sheetData sheetId="2"/>
      <sheetData sheetId="3"/>
      <sheetData sheetId="4"/>
      <sheetData sheetId="5">
        <row r="13">
          <cell r="G13">
            <v>58440500</v>
          </cell>
        </row>
        <row r="19">
          <cell r="G19">
            <v>123810571</v>
          </cell>
        </row>
      </sheetData>
      <sheetData sheetId="6">
        <row r="20">
          <cell r="E20">
            <v>431297184</v>
          </cell>
        </row>
      </sheetData>
      <sheetData sheetId="7"/>
      <sheetData sheetId="8"/>
      <sheetData sheetId="9">
        <row r="13">
          <cell r="F13">
            <v>55826180</v>
          </cell>
        </row>
        <row r="22">
          <cell r="D22">
            <v>8696669</v>
          </cell>
          <cell r="E22">
            <v>8449674</v>
          </cell>
        </row>
        <row r="24">
          <cell r="C24">
            <v>2840025</v>
          </cell>
        </row>
        <row r="25">
          <cell r="C25">
            <v>712800</v>
          </cell>
        </row>
        <row r="26">
          <cell r="C26">
            <v>31149012</v>
          </cell>
        </row>
      </sheetData>
      <sheetData sheetId="10"/>
      <sheetData sheetId="11"/>
      <sheetData sheetId="12"/>
      <sheetData sheetId="13">
        <row r="37">
          <cell r="G37">
            <v>273351171</v>
          </cell>
        </row>
      </sheetData>
      <sheetData sheetId="14"/>
      <sheetData sheetId="15"/>
      <sheetData sheetId="16">
        <row r="37">
          <cell r="F37">
            <v>27195291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D8">
            <v>23997938</v>
          </cell>
        </row>
      </sheetData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workbookViewId="0">
      <selection sqref="A1:C2"/>
    </sheetView>
  </sheetViews>
  <sheetFormatPr defaultColWidth="10.69921875" defaultRowHeight="13" x14ac:dyDescent="0.3"/>
  <cols>
    <col min="1" max="2" width="8.796875" style="173" customWidth="1"/>
    <col min="3" max="3" width="73.5" style="162" customWidth="1"/>
    <col min="4" max="256" width="10.69921875" style="162"/>
    <col min="257" max="258" width="8.796875" style="162" customWidth="1"/>
    <col min="259" max="259" width="73.5" style="162" customWidth="1"/>
    <col min="260" max="512" width="10.69921875" style="162"/>
    <col min="513" max="514" width="8.796875" style="162" customWidth="1"/>
    <col min="515" max="515" width="73.5" style="162" customWidth="1"/>
    <col min="516" max="768" width="10.69921875" style="162"/>
    <col min="769" max="770" width="8.796875" style="162" customWidth="1"/>
    <col min="771" max="771" width="73.5" style="162" customWidth="1"/>
    <col min="772" max="1024" width="10.69921875" style="162"/>
    <col min="1025" max="1026" width="8.796875" style="162" customWidth="1"/>
    <col min="1027" max="1027" width="73.5" style="162" customWidth="1"/>
    <col min="1028" max="1280" width="10.69921875" style="162"/>
    <col min="1281" max="1282" width="8.796875" style="162" customWidth="1"/>
    <col min="1283" max="1283" width="73.5" style="162" customWidth="1"/>
    <col min="1284" max="1536" width="10.69921875" style="162"/>
    <col min="1537" max="1538" width="8.796875" style="162" customWidth="1"/>
    <col min="1539" max="1539" width="73.5" style="162" customWidth="1"/>
    <col min="1540" max="1792" width="10.69921875" style="162"/>
    <col min="1793" max="1794" width="8.796875" style="162" customWidth="1"/>
    <col min="1795" max="1795" width="73.5" style="162" customWidth="1"/>
    <col min="1796" max="2048" width="10.69921875" style="162"/>
    <col min="2049" max="2050" width="8.796875" style="162" customWidth="1"/>
    <col min="2051" max="2051" width="73.5" style="162" customWidth="1"/>
    <col min="2052" max="2304" width="10.69921875" style="162"/>
    <col min="2305" max="2306" width="8.796875" style="162" customWidth="1"/>
    <col min="2307" max="2307" width="73.5" style="162" customWidth="1"/>
    <col min="2308" max="2560" width="10.69921875" style="162"/>
    <col min="2561" max="2562" width="8.796875" style="162" customWidth="1"/>
    <col min="2563" max="2563" width="73.5" style="162" customWidth="1"/>
    <col min="2564" max="2816" width="10.69921875" style="162"/>
    <col min="2817" max="2818" width="8.796875" style="162" customWidth="1"/>
    <col min="2819" max="2819" width="73.5" style="162" customWidth="1"/>
    <col min="2820" max="3072" width="10.69921875" style="162"/>
    <col min="3073" max="3074" width="8.796875" style="162" customWidth="1"/>
    <col min="3075" max="3075" width="73.5" style="162" customWidth="1"/>
    <col min="3076" max="3328" width="10.69921875" style="162"/>
    <col min="3329" max="3330" width="8.796875" style="162" customWidth="1"/>
    <col min="3331" max="3331" width="73.5" style="162" customWidth="1"/>
    <col min="3332" max="3584" width="10.69921875" style="162"/>
    <col min="3585" max="3586" width="8.796875" style="162" customWidth="1"/>
    <col min="3587" max="3587" width="73.5" style="162" customWidth="1"/>
    <col min="3588" max="3840" width="10.69921875" style="162"/>
    <col min="3841" max="3842" width="8.796875" style="162" customWidth="1"/>
    <col min="3843" max="3843" width="73.5" style="162" customWidth="1"/>
    <col min="3844" max="4096" width="10.69921875" style="162"/>
    <col min="4097" max="4098" width="8.796875" style="162" customWidth="1"/>
    <col min="4099" max="4099" width="73.5" style="162" customWidth="1"/>
    <col min="4100" max="4352" width="10.69921875" style="162"/>
    <col min="4353" max="4354" width="8.796875" style="162" customWidth="1"/>
    <col min="4355" max="4355" width="73.5" style="162" customWidth="1"/>
    <col min="4356" max="4608" width="10.69921875" style="162"/>
    <col min="4609" max="4610" width="8.796875" style="162" customWidth="1"/>
    <col min="4611" max="4611" width="73.5" style="162" customWidth="1"/>
    <col min="4612" max="4864" width="10.69921875" style="162"/>
    <col min="4865" max="4866" width="8.796875" style="162" customWidth="1"/>
    <col min="4867" max="4867" width="73.5" style="162" customWidth="1"/>
    <col min="4868" max="5120" width="10.69921875" style="162"/>
    <col min="5121" max="5122" width="8.796875" style="162" customWidth="1"/>
    <col min="5123" max="5123" width="73.5" style="162" customWidth="1"/>
    <col min="5124" max="5376" width="10.69921875" style="162"/>
    <col min="5377" max="5378" width="8.796875" style="162" customWidth="1"/>
    <col min="5379" max="5379" width="73.5" style="162" customWidth="1"/>
    <col min="5380" max="5632" width="10.69921875" style="162"/>
    <col min="5633" max="5634" width="8.796875" style="162" customWidth="1"/>
    <col min="5635" max="5635" width="73.5" style="162" customWidth="1"/>
    <col min="5636" max="5888" width="10.69921875" style="162"/>
    <col min="5889" max="5890" width="8.796875" style="162" customWidth="1"/>
    <col min="5891" max="5891" width="73.5" style="162" customWidth="1"/>
    <col min="5892" max="6144" width="10.69921875" style="162"/>
    <col min="6145" max="6146" width="8.796875" style="162" customWidth="1"/>
    <col min="6147" max="6147" width="73.5" style="162" customWidth="1"/>
    <col min="6148" max="6400" width="10.69921875" style="162"/>
    <col min="6401" max="6402" width="8.796875" style="162" customWidth="1"/>
    <col min="6403" max="6403" width="73.5" style="162" customWidth="1"/>
    <col min="6404" max="6656" width="10.69921875" style="162"/>
    <col min="6657" max="6658" width="8.796875" style="162" customWidth="1"/>
    <col min="6659" max="6659" width="73.5" style="162" customWidth="1"/>
    <col min="6660" max="6912" width="10.69921875" style="162"/>
    <col min="6913" max="6914" width="8.796875" style="162" customWidth="1"/>
    <col min="6915" max="6915" width="73.5" style="162" customWidth="1"/>
    <col min="6916" max="7168" width="10.69921875" style="162"/>
    <col min="7169" max="7170" width="8.796875" style="162" customWidth="1"/>
    <col min="7171" max="7171" width="73.5" style="162" customWidth="1"/>
    <col min="7172" max="7424" width="10.69921875" style="162"/>
    <col min="7425" max="7426" width="8.796875" style="162" customWidth="1"/>
    <col min="7427" max="7427" width="73.5" style="162" customWidth="1"/>
    <col min="7428" max="7680" width="10.69921875" style="162"/>
    <col min="7681" max="7682" width="8.796875" style="162" customWidth="1"/>
    <col min="7683" max="7683" width="73.5" style="162" customWidth="1"/>
    <col min="7684" max="7936" width="10.69921875" style="162"/>
    <col min="7937" max="7938" width="8.796875" style="162" customWidth="1"/>
    <col min="7939" max="7939" width="73.5" style="162" customWidth="1"/>
    <col min="7940" max="8192" width="10.69921875" style="162"/>
    <col min="8193" max="8194" width="8.796875" style="162" customWidth="1"/>
    <col min="8195" max="8195" width="73.5" style="162" customWidth="1"/>
    <col min="8196" max="8448" width="10.69921875" style="162"/>
    <col min="8449" max="8450" width="8.796875" style="162" customWidth="1"/>
    <col min="8451" max="8451" width="73.5" style="162" customWidth="1"/>
    <col min="8452" max="8704" width="10.69921875" style="162"/>
    <col min="8705" max="8706" width="8.796875" style="162" customWidth="1"/>
    <col min="8707" max="8707" width="73.5" style="162" customWidth="1"/>
    <col min="8708" max="8960" width="10.69921875" style="162"/>
    <col min="8961" max="8962" width="8.796875" style="162" customWidth="1"/>
    <col min="8963" max="8963" width="73.5" style="162" customWidth="1"/>
    <col min="8964" max="9216" width="10.69921875" style="162"/>
    <col min="9217" max="9218" width="8.796875" style="162" customWidth="1"/>
    <col min="9219" max="9219" width="73.5" style="162" customWidth="1"/>
    <col min="9220" max="9472" width="10.69921875" style="162"/>
    <col min="9473" max="9474" width="8.796875" style="162" customWidth="1"/>
    <col min="9475" max="9475" width="73.5" style="162" customWidth="1"/>
    <col min="9476" max="9728" width="10.69921875" style="162"/>
    <col min="9729" max="9730" width="8.796875" style="162" customWidth="1"/>
    <col min="9731" max="9731" width="73.5" style="162" customWidth="1"/>
    <col min="9732" max="9984" width="10.69921875" style="162"/>
    <col min="9985" max="9986" width="8.796875" style="162" customWidth="1"/>
    <col min="9987" max="9987" width="73.5" style="162" customWidth="1"/>
    <col min="9988" max="10240" width="10.69921875" style="162"/>
    <col min="10241" max="10242" width="8.796875" style="162" customWidth="1"/>
    <col min="10243" max="10243" width="73.5" style="162" customWidth="1"/>
    <col min="10244" max="10496" width="10.69921875" style="162"/>
    <col min="10497" max="10498" width="8.796875" style="162" customWidth="1"/>
    <col min="10499" max="10499" width="73.5" style="162" customWidth="1"/>
    <col min="10500" max="10752" width="10.69921875" style="162"/>
    <col min="10753" max="10754" width="8.796875" style="162" customWidth="1"/>
    <col min="10755" max="10755" width="73.5" style="162" customWidth="1"/>
    <col min="10756" max="11008" width="10.69921875" style="162"/>
    <col min="11009" max="11010" width="8.796875" style="162" customWidth="1"/>
    <col min="11011" max="11011" width="73.5" style="162" customWidth="1"/>
    <col min="11012" max="11264" width="10.69921875" style="162"/>
    <col min="11265" max="11266" width="8.796875" style="162" customWidth="1"/>
    <col min="11267" max="11267" width="73.5" style="162" customWidth="1"/>
    <col min="11268" max="11520" width="10.69921875" style="162"/>
    <col min="11521" max="11522" width="8.796875" style="162" customWidth="1"/>
    <col min="11523" max="11523" width="73.5" style="162" customWidth="1"/>
    <col min="11524" max="11776" width="10.69921875" style="162"/>
    <col min="11777" max="11778" width="8.796875" style="162" customWidth="1"/>
    <col min="11779" max="11779" width="73.5" style="162" customWidth="1"/>
    <col min="11780" max="12032" width="10.69921875" style="162"/>
    <col min="12033" max="12034" width="8.796875" style="162" customWidth="1"/>
    <col min="12035" max="12035" width="73.5" style="162" customWidth="1"/>
    <col min="12036" max="12288" width="10.69921875" style="162"/>
    <col min="12289" max="12290" width="8.796875" style="162" customWidth="1"/>
    <col min="12291" max="12291" width="73.5" style="162" customWidth="1"/>
    <col min="12292" max="12544" width="10.69921875" style="162"/>
    <col min="12545" max="12546" width="8.796875" style="162" customWidth="1"/>
    <col min="12547" max="12547" width="73.5" style="162" customWidth="1"/>
    <col min="12548" max="12800" width="10.69921875" style="162"/>
    <col min="12801" max="12802" width="8.796875" style="162" customWidth="1"/>
    <col min="12803" max="12803" width="73.5" style="162" customWidth="1"/>
    <col min="12804" max="13056" width="10.69921875" style="162"/>
    <col min="13057" max="13058" width="8.796875" style="162" customWidth="1"/>
    <col min="13059" max="13059" width="73.5" style="162" customWidth="1"/>
    <col min="13060" max="13312" width="10.69921875" style="162"/>
    <col min="13313" max="13314" width="8.796875" style="162" customWidth="1"/>
    <col min="13315" max="13315" width="73.5" style="162" customWidth="1"/>
    <col min="13316" max="13568" width="10.69921875" style="162"/>
    <col min="13569" max="13570" width="8.796875" style="162" customWidth="1"/>
    <col min="13571" max="13571" width="73.5" style="162" customWidth="1"/>
    <col min="13572" max="13824" width="10.69921875" style="162"/>
    <col min="13825" max="13826" width="8.796875" style="162" customWidth="1"/>
    <col min="13827" max="13827" width="73.5" style="162" customWidth="1"/>
    <col min="13828" max="14080" width="10.69921875" style="162"/>
    <col min="14081" max="14082" width="8.796875" style="162" customWidth="1"/>
    <col min="14083" max="14083" width="73.5" style="162" customWidth="1"/>
    <col min="14084" max="14336" width="10.69921875" style="162"/>
    <col min="14337" max="14338" width="8.796875" style="162" customWidth="1"/>
    <col min="14339" max="14339" width="73.5" style="162" customWidth="1"/>
    <col min="14340" max="14592" width="10.69921875" style="162"/>
    <col min="14593" max="14594" width="8.796875" style="162" customWidth="1"/>
    <col min="14595" max="14595" width="73.5" style="162" customWidth="1"/>
    <col min="14596" max="14848" width="10.69921875" style="162"/>
    <col min="14849" max="14850" width="8.796875" style="162" customWidth="1"/>
    <col min="14851" max="14851" width="73.5" style="162" customWidth="1"/>
    <col min="14852" max="15104" width="10.69921875" style="162"/>
    <col min="15105" max="15106" width="8.796875" style="162" customWidth="1"/>
    <col min="15107" max="15107" width="73.5" style="162" customWidth="1"/>
    <col min="15108" max="15360" width="10.69921875" style="162"/>
    <col min="15361" max="15362" width="8.796875" style="162" customWidth="1"/>
    <col min="15363" max="15363" width="73.5" style="162" customWidth="1"/>
    <col min="15364" max="15616" width="10.69921875" style="162"/>
    <col min="15617" max="15618" width="8.796875" style="162" customWidth="1"/>
    <col min="15619" max="15619" width="73.5" style="162" customWidth="1"/>
    <col min="15620" max="15872" width="10.69921875" style="162"/>
    <col min="15873" max="15874" width="8.796875" style="162" customWidth="1"/>
    <col min="15875" max="15875" width="73.5" style="162" customWidth="1"/>
    <col min="15876" max="16128" width="10.69921875" style="162"/>
    <col min="16129" max="16130" width="8.796875" style="162" customWidth="1"/>
    <col min="16131" max="16131" width="73.5" style="162" customWidth="1"/>
    <col min="16132" max="16384" width="10.69921875" style="162"/>
  </cols>
  <sheetData>
    <row r="1" spans="1:3" x14ac:dyDescent="0.3">
      <c r="A1" s="1006" t="s">
        <v>630</v>
      </c>
      <c r="B1" s="1007"/>
      <c r="C1" s="1008"/>
    </row>
    <row r="2" spans="1:3" ht="41.25" customHeight="1" x14ac:dyDescent="0.3">
      <c r="A2" s="1009"/>
      <c r="B2" s="1010"/>
      <c r="C2" s="1011"/>
    </row>
    <row r="4" spans="1:3" s="174" customFormat="1" ht="30" x14ac:dyDescent="0.3">
      <c r="A4" s="261" t="s">
        <v>625</v>
      </c>
      <c r="B4" s="261" t="s">
        <v>626</v>
      </c>
      <c r="C4" s="261" t="s">
        <v>627</v>
      </c>
    </row>
    <row r="5" spans="1:3" s="163" customFormat="1" ht="24" customHeight="1" x14ac:dyDescent="0.3">
      <c r="A5" s="262" t="s">
        <v>628</v>
      </c>
      <c r="B5" s="263"/>
      <c r="C5" s="264" t="s">
        <v>381</v>
      </c>
    </row>
    <row r="6" spans="1:3" s="163" customFormat="1" ht="24" customHeight="1" x14ac:dyDescent="0.3">
      <c r="A6" s="262" t="s">
        <v>629</v>
      </c>
      <c r="B6" s="263"/>
      <c r="C6" s="264" t="s">
        <v>631</v>
      </c>
    </row>
    <row r="7" spans="1:3" s="163" customFormat="1" ht="24" customHeight="1" x14ac:dyDescent="0.3">
      <c r="A7" s="262"/>
      <c r="B7" s="263" t="s">
        <v>10</v>
      </c>
      <c r="C7" s="265" t="s">
        <v>400</v>
      </c>
    </row>
    <row r="8" spans="1:3" s="163" customFormat="1" ht="24" customHeight="1" x14ac:dyDescent="0.3">
      <c r="A8" s="262" t="s">
        <v>388</v>
      </c>
      <c r="B8" s="263"/>
      <c r="C8" s="264" t="s">
        <v>632</v>
      </c>
    </row>
    <row r="9" spans="1:3" s="163" customFormat="1" ht="24" customHeight="1" x14ac:dyDescent="0.3">
      <c r="A9" s="263"/>
      <c r="B9" s="263" t="s">
        <v>10</v>
      </c>
      <c r="C9" s="265" t="s">
        <v>427</v>
      </c>
    </row>
    <row r="10" spans="1:3" s="163" customFormat="1" ht="19.5" customHeight="1" x14ac:dyDescent="0.3">
      <c r="A10" s="175"/>
      <c r="B10" s="175"/>
      <c r="C10" s="176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5"/>
  <sheetViews>
    <sheetView view="pageLayout" zoomScaleNormal="100" workbookViewId="0">
      <selection sqref="A1:G1"/>
    </sheetView>
  </sheetViews>
  <sheetFormatPr defaultRowHeight="13" x14ac:dyDescent="0.3"/>
  <cols>
    <col min="1" max="1" width="32.19921875" style="44" customWidth="1"/>
    <col min="2" max="6" width="16.5" style="44" customWidth="1"/>
    <col min="7" max="7" width="13.796875" style="44" customWidth="1"/>
    <col min="8" max="257" width="9.296875" style="44"/>
    <col min="258" max="258" width="34.796875" style="44" customWidth="1"/>
    <col min="259" max="262" width="16.5" style="44" customWidth="1"/>
    <col min="263" max="263" width="13.796875" style="44" customWidth="1"/>
    <col min="264" max="513" width="9.296875" style="44"/>
    <col min="514" max="514" width="34.796875" style="44" customWidth="1"/>
    <col min="515" max="518" width="16.5" style="44" customWidth="1"/>
    <col min="519" max="519" width="13.796875" style="44" customWidth="1"/>
    <col min="520" max="769" width="9.296875" style="44"/>
    <col min="770" max="770" width="34.796875" style="44" customWidth="1"/>
    <col min="771" max="774" width="16.5" style="44" customWidth="1"/>
    <col min="775" max="775" width="13.796875" style="44" customWidth="1"/>
    <col min="776" max="1025" width="9.296875" style="44"/>
    <col min="1026" max="1026" width="34.796875" style="44" customWidth="1"/>
    <col min="1027" max="1030" width="16.5" style="44" customWidth="1"/>
    <col min="1031" max="1031" width="13.796875" style="44" customWidth="1"/>
    <col min="1032" max="1281" width="9.296875" style="44"/>
    <col min="1282" max="1282" width="34.796875" style="44" customWidth="1"/>
    <col min="1283" max="1286" width="16.5" style="44" customWidth="1"/>
    <col min="1287" max="1287" width="13.796875" style="44" customWidth="1"/>
    <col min="1288" max="1537" width="9.296875" style="44"/>
    <col min="1538" max="1538" width="34.796875" style="44" customWidth="1"/>
    <col min="1539" max="1542" width="16.5" style="44" customWidth="1"/>
    <col min="1543" max="1543" width="13.796875" style="44" customWidth="1"/>
    <col min="1544" max="1793" width="9.296875" style="44"/>
    <col min="1794" max="1794" width="34.796875" style="44" customWidth="1"/>
    <col min="1795" max="1798" width="16.5" style="44" customWidth="1"/>
    <col min="1799" max="1799" width="13.796875" style="44" customWidth="1"/>
    <col min="1800" max="2049" width="9.296875" style="44"/>
    <col min="2050" max="2050" width="34.796875" style="44" customWidth="1"/>
    <col min="2051" max="2054" width="16.5" style="44" customWidth="1"/>
    <col min="2055" max="2055" width="13.796875" style="44" customWidth="1"/>
    <col min="2056" max="2305" width="9.296875" style="44"/>
    <col min="2306" max="2306" width="34.796875" style="44" customWidth="1"/>
    <col min="2307" max="2310" width="16.5" style="44" customWidth="1"/>
    <col min="2311" max="2311" width="13.796875" style="44" customWidth="1"/>
    <col min="2312" max="2561" width="9.296875" style="44"/>
    <col min="2562" max="2562" width="34.796875" style="44" customWidth="1"/>
    <col min="2563" max="2566" width="16.5" style="44" customWidth="1"/>
    <col min="2567" max="2567" width="13.796875" style="44" customWidth="1"/>
    <col min="2568" max="2817" width="9.296875" style="44"/>
    <col min="2818" max="2818" width="34.796875" style="44" customWidth="1"/>
    <col min="2819" max="2822" width="16.5" style="44" customWidth="1"/>
    <col min="2823" max="2823" width="13.796875" style="44" customWidth="1"/>
    <col min="2824" max="3073" width="9.296875" style="44"/>
    <col min="3074" max="3074" width="34.796875" style="44" customWidth="1"/>
    <col min="3075" max="3078" width="16.5" style="44" customWidth="1"/>
    <col min="3079" max="3079" width="13.796875" style="44" customWidth="1"/>
    <col min="3080" max="3329" width="9.296875" style="44"/>
    <col min="3330" max="3330" width="34.796875" style="44" customWidth="1"/>
    <col min="3331" max="3334" width="16.5" style="44" customWidth="1"/>
    <col min="3335" max="3335" width="13.796875" style="44" customWidth="1"/>
    <col min="3336" max="3585" width="9.296875" style="44"/>
    <col min="3586" max="3586" width="34.796875" style="44" customWidth="1"/>
    <col min="3587" max="3590" width="16.5" style="44" customWidth="1"/>
    <col min="3591" max="3591" width="13.796875" style="44" customWidth="1"/>
    <col min="3592" max="3841" width="9.296875" style="44"/>
    <col min="3842" max="3842" width="34.796875" style="44" customWidth="1"/>
    <col min="3843" max="3846" width="16.5" style="44" customWidth="1"/>
    <col min="3847" max="3847" width="13.796875" style="44" customWidth="1"/>
    <col min="3848" max="4097" width="9.296875" style="44"/>
    <col min="4098" max="4098" width="34.796875" style="44" customWidth="1"/>
    <col min="4099" max="4102" width="16.5" style="44" customWidth="1"/>
    <col min="4103" max="4103" width="13.796875" style="44" customWidth="1"/>
    <col min="4104" max="4353" width="9.296875" style="44"/>
    <col min="4354" max="4354" width="34.796875" style="44" customWidth="1"/>
    <col min="4355" max="4358" width="16.5" style="44" customWidth="1"/>
    <col min="4359" max="4359" width="13.796875" style="44" customWidth="1"/>
    <col min="4360" max="4609" width="9.296875" style="44"/>
    <col min="4610" max="4610" width="34.796875" style="44" customWidth="1"/>
    <col min="4611" max="4614" width="16.5" style="44" customWidth="1"/>
    <col min="4615" max="4615" width="13.796875" style="44" customWidth="1"/>
    <col min="4616" max="4865" width="9.296875" style="44"/>
    <col min="4866" max="4866" width="34.796875" style="44" customWidth="1"/>
    <col min="4867" max="4870" width="16.5" style="44" customWidth="1"/>
    <col min="4871" max="4871" width="13.796875" style="44" customWidth="1"/>
    <col min="4872" max="5121" width="9.296875" style="44"/>
    <col min="5122" max="5122" width="34.796875" style="44" customWidth="1"/>
    <col min="5123" max="5126" width="16.5" style="44" customWidth="1"/>
    <col min="5127" max="5127" width="13.796875" style="44" customWidth="1"/>
    <col min="5128" max="5377" width="9.296875" style="44"/>
    <col min="5378" max="5378" width="34.796875" style="44" customWidth="1"/>
    <col min="5379" max="5382" width="16.5" style="44" customWidth="1"/>
    <col min="5383" max="5383" width="13.796875" style="44" customWidth="1"/>
    <col min="5384" max="5633" width="9.296875" style="44"/>
    <col min="5634" max="5634" width="34.796875" style="44" customWidth="1"/>
    <col min="5635" max="5638" width="16.5" style="44" customWidth="1"/>
    <col min="5639" max="5639" width="13.796875" style="44" customWidth="1"/>
    <col min="5640" max="5889" width="9.296875" style="44"/>
    <col min="5890" max="5890" width="34.796875" style="44" customWidth="1"/>
    <col min="5891" max="5894" width="16.5" style="44" customWidth="1"/>
    <col min="5895" max="5895" width="13.796875" style="44" customWidth="1"/>
    <col min="5896" max="6145" width="9.296875" style="44"/>
    <col min="6146" max="6146" width="34.796875" style="44" customWidth="1"/>
    <col min="6147" max="6150" width="16.5" style="44" customWidth="1"/>
    <col min="6151" max="6151" width="13.796875" style="44" customWidth="1"/>
    <col min="6152" max="6401" width="9.296875" style="44"/>
    <col min="6402" max="6402" width="34.796875" style="44" customWidth="1"/>
    <col min="6403" max="6406" width="16.5" style="44" customWidth="1"/>
    <col min="6407" max="6407" width="13.796875" style="44" customWidth="1"/>
    <col min="6408" max="6657" width="9.296875" style="44"/>
    <col min="6658" max="6658" width="34.796875" style="44" customWidth="1"/>
    <col min="6659" max="6662" width="16.5" style="44" customWidth="1"/>
    <col min="6663" max="6663" width="13.796875" style="44" customWidth="1"/>
    <col min="6664" max="6913" width="9.296875" style="44"/>
    <col min="6914" max="6914" width="34.796875" style="44" customWidth="1"/>
    <col min="6915" max="6918" width="16.5" style="44" customWidth="1"/>
    <col min="6919" max="6919" width="13.796875" style="44" customWidth="1"/>
    <col min="6920" max="7169" width="9.296875" style="44"/>
    <col min="7170" max="7170" width="34.796875" style="44" customWidth="1"/>
    <col min="7171" max="7174" width="16.5" style="44" customWidth="1"/>
    <col min="7175" max="7175" width="13.796875" style="44" customWidth="1"/>
    <col min="7176" max="7425" width="9.296875" style="44"/>
    <col min="7426" max="7426" width="34.796875" style="44" customWidth="1"/>
    <col min="7427" max="7430" width="16.5" style="44" customWidth="1"/>
    <col min="7431" max="7431" width="13.796875" style="44" customWidth="1"/>
    <col min="7432" max="7681" width="9.296875" style="44"/>
    <col min="7682" max="7682" width="34.796875" style="44" customWidth="1"/>
    <col min="7683" max="7686" width="16.5" style="44" customWidth="1"/>
    <col min="7687" max="7687" width="13.796875" style="44" customWidth="1"/>
    <col min="7688" max="7937" width="9.296875" style="44"/>
    <col min="7938" max="7938" width="34.796875" style="44" customWidth="1"/>
    <col min="7939" max="7942" width="16.5" style="44" customWidth="1"/>
    <col min="7943" max="7943" width="13.796875" style="44" customWidth="1"/>
    <col min="7944" max="8193" width="9.296875" style="44"/>
    <col min="8194" max="8194" width="34.796875" style="44" customWidth="1"/>
    <col min="8195" max="8198" width="16.5" style="44" customWidth="1"/>
    <col min="8199" max="8199" width="13.796875" style="44" customWidth="1"/>
    <col min="8200" max="8449" width="9.296875" style="44"/>
    <col min="8450" max="8450" width="34.796875" style="44" customWidth="1"/>
    <col min="8451" max="8454" width="16.5" style="44" customWidth="1"/>
    <col min="8455" max="8455" width="13.796875" style="44" customWidth="1"/>
    <col min="8456" max="8705" width="9.296875" style="44"/>
    <col min="8706" max="8706" width="34.796875" style="44" customWidth="1"/>
    <col min="8707" max="8710" width="16.5" style="44" customWidth="1"/>
    <col min="8711" max="8711" width="13.796875" style="44" customWidth="1"/>
    <col min="8712" max="8961" width="9.296875" style="44"/>
    <col min="8962" max="8962" width="34.796875" style="44" customWidth="1"/>
    <col min="8963" max="8966" width="16.5" style="44" customWidth="1"/>
    <col min="8967" max="8967" width="13.796875" style="44" customWidth="1"/>
    <col min="8968" max="9217" width="9.296875" style="44"/>
    <col min="9218" max="9218" width="34.796875" style="44" customWidth="1"/>
    <col min="9219" max="9222" width="16.5" style="44" customWidth="1"/>
    <col min="9223" max="9223" width="13.796875" style="44" customWidth="1"/>
    <col min="9224" max="9473" width="9.296875" style="44"/>
    <col min="9474" max="9474" width="34.796875" style="44" customWidth="1"/>
    <col min="9475" max="9478" width="16.5" style="44" customWidth="1"/>
    <col min="9479" max="9479" width="13.796875" style="44" customWidth="1"/>
    <col min="9480" max="9729" width="9.296875" style="44"/>
    <col min="9730" max="9730" width="34.796875" style="44" customWidth="1"/>
    <col min="9731" max="9734" width="16.5" style="44" customWidth="1"/>
    <col min="9735" max="9735" width="13.796875" style="44" customWidth="1"/>
    <col min="9736" max="9985" width="9.296875" style="44"/>
    <col min="9986" max="9986" width="34.796875" style="44" customWidth="1"/>
    <col min="9987" max="9990" width="16.5" style="44" customWidth="1"/>
    <col min="9991" max="9991" width="13.796875" style="44" customWidth="1"/>
    <col min="9992" max="10241" width="9.296875" style="44"/>
    <col min="10242" max="10242" width="34.796875" style="44" customWidth="1"/>
    <col min="10243" max="10246" width="16.5" style="44" customWidth="1"/>
    <col min="10247" max="10247" width="13.796875" style="44" customWidth="1"/>
    <col min="10248" max="10497" width="9.296875" style="44"/>
    <col min="10498" max="10498" width="34.796875" style="44" customWidth="1"/>
    <col min="10499" max="10502" width="16.5" style="44" customWidth="1"/>
    <col min="10503" max="10503" width="13.796875" style="44" customWidth="1"/>
    <col min="10504" max="10753" width="9.296875" style="44"/>
    <col min="10754" max="10754" width="34.796875" style="44" customWidth="1"/>
    <col min="10755" max="10758" width="16.5" style="44" customWidth="1"/>
    <col min="10759" max="10759" width="13.796875" style="44" customWidth="1"/>
    <col min="10760" max="11009" width="9.296875" style="44"/>
    <col min="11010" max="11010" width="34.796875" style="44" customWidth="1"/>
    <col min="11011" max="11014" width="16.5" style="44" customWidth="1"/>
    <col min="11015" max="11015" width="13.796875" style="44" customWidth="1"/>
    <col min="11016" max="11265" width="9.296875" style="44"/>
    <col min="11266" max="11266" width="34.796875" style="44" customWidth="1"/>
    <col min="11267" max="11270" width="16.5" style="44" customWidth="1"/>
    <col min="11271" max="11271" width="13.796875" style="44" customWidth="1"/>
    <col min="11272" max="11521" width="9.296875" style="44"/>
    <col min="11522" max="11522" width="34.796875" style="44" customWidth="1"/>
    <col min="11523" max="11526" width="16.5" style="44" customWidth="1"/>
    <col min="11527" max="11527" width="13.796875" style="44" customWidth="1"/>
    <col min="11528" max="11777" width="9.296875" style="44"/>
    <col min="11778" max="11778" width="34.796875" style="44" customWidth="1"/>
    <col min="11779" max="11782" width="16.5" style="44" customWidth="1"/>
    <col min="11783" max="11783" width="13.796875" style="44" customWidth="1"/>
    <col min="11784" max="12033" width="9.296875" style="44"/>
    <col min="12034" max="12034" width="34.796875" style="44" customWidth="1"/>
    <col min="12035" max="12038" width="16.5" style="44" customWidth="1"/>
    <col min="12039" max="12039" width="13.796875" style="44" customWidth="1"/>
    <col min="12040" max="12289" width="9.296875" style="44"/>
    <col min="12290" max="12290" width="34.796875" style="44" customWidth="1"/>
    <col min="12291" max="12294" width="16.5" style="44" customWidth="1"/>
    <col min="12295" max="12295" width="13.796875" style="44" customWidth="1"/>
    <col min="12296" max="12545" width="9.296875" style="44"/>
    <col min="12546" max="12546" width="34.796875" style="44" customWidth="1"/>
    <col min="12547" max="12550" width="16.5" style="44" customWidth="1"/>
    <col min="12551" max="12551" width="13.796875" style="44" customWidth="1"/>
    <col min="12552" max="12801" width="9.296875" style="44"/>
    <col min="12802" max="12802" width="34.796875" style="44" customWidth="1"/>
    <col min="12803" max="12806" width="16.5" style="44" customWidth="1"/>
    <col min="12807" max="12807" width="13.796875" style="44" customWidth="1"/>
    <col min="12808" max="13057" width="9.296875" style="44"/>
    <col min="13058" max="13058" width="34.796875" style="44" customWidth="1"/>
    <col min="13059" max="13062" width="16.5" style="44" customWidth="1"/>
    <col min="13063" max="13063" width="13.796875" style="44" customWidth="1"/>
    <col min="13064" max="13313" width="9.296875" style="44"/>
    <col min="13314" max="13314" width="34.796875" style="44" customWidth="1"/>
    <col min="13315" max="13318" width="16.5" style="44" customWidth="1"/>
    <col min="13319" max="13319" width="13.796875" style="44" customWidth="1"/>
    <col min="13320" max="13569" width="9.296875" style="44"/>
    <col min="13570" max="13570" width="34.796875" style="44" customWidth="1"/>
    <col min="13571" max="13574" width="16.5" style="44" customWidth="1"/>
    <col min="13575" max="13575" width="13.796875" style="44" customWidth="1"/>
    <col min="13576" max="13825" width="9.296875" style="44"/>
    <col min="13826" max="13826" width="34.796875" style="44" customWidth="1"/>
    <col min="13827" max="13830" width="16.5" style="44" customWidth="1"/>
    <col min="13831" max="13831" width="13.796875" style="44" customWidth="1"/>
    <col min="13832" max="14081" width="9.296875" style="44"/>
    <col min="14082" max="14082" width="34.796875" style="44" customWidth="1"/>
    <col min="14083" max="14086" width="16.5" style="44" customWidth="1"/>
    <col min="14087" max="14087" width="13.796875" style="44" customWidth="1"/>
    <col min="14088" max="14337" width="9.296875" style="44"/>
    <col min="14338" max="14338" width="34.796875" style="44" customWidth="1"/>
    <col min="14339" max="14342" width="16.5" style="44" customWidth="1"/>
    <col min="14343" max="14343" width="13.796875" style="44" customWidth="1"/>
    <col min="14344" max="14593" width="9.296875" style="44"/>
    <col min="14594" max="14594" width="34.796875" style="44" customWidth="1"/>
    <col min="14595" max="14598" width="16.5" style="44" customWidth="1"/>
    <col min="14599" max="14599" width="13.796875" style="44" customWidth="1"/>
    <col min="14600" max="14849" width="9.296875" style="44"/>
    <col min="14850" max="14850" width="34.796875" style="44" customWidth="1"/>
    <col min="14851" max="14854" width="16.5" style="44" customWidth="1"/>
    <col min="14855" max="14855" width="13.796875" style="44" customWidth="1"/>
    <col min="14856" max="15105" width="9.296875" style="44"/>
    <col min="15106" max="15106" width="34.796875" style="44" customWidth="1"/>
    <col min="15107" max="15110" width="16.5" style="44" customWidth="1"/>
    <col min="15111" max="15111" width="13.796875" style="44" customWidth="1"/>
    <col min="15112" max="15361" width="9.296875" style="44"/>
    <col min="15362" max="15362" width="34.796875" style="44" customWidth="1"/>
    <col min="15363" max="15366" width="16.5" style="44" customWidth="1"/>
    <col min="15367" max="15367" width="13.796875" style="44" customWidth="1"/>
    <col min="15368" max="15617" width="9.296875" style="44"/>
    <col min="15618" max="15618" width="34.796875" style="44" customWidth="1"/>
    <col min="15619" max="15622" width="16.5" style="44" customWidth="1"/>
    <col min="15623" max="15623" width="13.796875" style="44" customWidth="1"/>
    <col min="15624" max="15873" width="9.296875" style="44"/>
    <col min="15874" max="15874" width="34.796875" style="44" customWidth="1"/>
    <col min="15875" max="15878" width="16.5" style="44" customWidth="1"/>
    <col min="15879" max="15879" width="13.796875" style="44" customWidth="1"/>
    <col min="15880" max="16129" width="9.296875" style="44"/>
    <col min="16130" max="16130" width="34.796875" style="44" customWidth="1"/>
    <col min="16131" max="16134" width="16.5" style="44" customWidth="1"/>
    <col min="16135" max="16135" width="13.796875" style="44" customWidth="1"/>
    <col min="16136" max="16384" width="9.296875" style="44"/>
  </cols>
  <sheetData>
    <row r="1" spans="1:7" ht="39.75" customHeight="1" x14ac:dyDescent="0.3">
      <c r="A1" s="1056" t="s">
        <v>446</v>
      </c>
      <c r="B1" s="1057"/>
      <c r="C1" s="1057"/>
      <c r="D1" s="1057"/>
      <c r="E1" s="1057"/>
      <c r="F1" s="1057"/>
      <c r="G1" s="1058"/>
    </row>
    <row r="2" spans="1:7" ht="16.5" customHeight="1" x14ac:dyDescent="0.3">
      <c r="A2" s="672"/>
      <c r="B2" s="1059"/>
      <c r="C2" s="1059"/>
      <c r="D2" s="673"/>
      <c r="E2" s="673"/>
      <c r="F2" s="673"/>
      <c r="G2" s="674"/>
    </row>
    <row r="3" spans="1:7" ht="15.75" customHeight="1" x14ac:dyDescent="0.3">
      <c r="A3" s="675" t="s">
        <v>428</v>
      </c>
      <c r="B3" s="1060" t="s">
        <v>876</v>
      </c>
      <c r="C3" s="1060"/>
      <c r="D3" s="1060"/>
      <c r="E3" s="1060"/>
      <c r="F3" s="1060"/>
      <c r="G3" s="1061"/>
    </row>
    <row r="4" spans="1:7" ht="15" customHeight="1" x14ac:dyDescent="0.3">
      <c r="A4" s="675" t="s">
        <v>429</v>
      </c>
      <c r="B4" s="1060" t="s">
        <v>877</v>
      </c>
      <c r="C4" s="1060"/>
      <c r="D4" s="1060"/>
      <c r="E4" s="1060"/>
      <c r="F4" s="1060"/>
      <c r="G4" s="1061"/>
    </row>
    <row r="5" spans="1:7" x14ac:dyDescent="0.3">
      <c r="A5" s="675" t="s">
        <v>878</v>
      </c>
      <c r="B5" s="1060" t="s">
        <v>879</v>
      </c>
      <c r="C5" s="1060"/>
      <c r="D5" s="1060"/>
      <c r="E5" s="1060"/>
      <c r="F5" s="1060"/>
      <c r="G5" s="1061"/>
    </row>
    <row r="6" spans="1:7" ht="15.75" customHeight="1" x14ac:dyDescent="0.3">
      <c r="A6" s="675" t="s">
        <v>880</v>
      </c>
      <c r="B6" s="1052">
        <v>277000000</v>
      </c>
      <c r="C6" s="1052"/>
      <c r="D6" s="149"/>
      <c r="E6" s="670"/>
      <c r="F6" s="670"/>
      <c r="G6" s="676"/>
    </row>
    <row r="7" spans="1:7" ht="15.75" customHeight="1" x14ac:dyDescent="0.3">
      <c r="A7" s="675" t="s">
        <v>812</v>
      </c>
      <c r="B7" s="1052" t="s">
        <v>381</v>
      </c>
      <c r="C7" s="1052"/>
      <c r="D7" s="1052"/>
      <c r="E7" s="677"/>
      <c r="F7" s="677"/>
      <c r="G7" s="676"/>
    </row>
    <row r="8" spans="1:7" ht="15.5" x14ac:dyDescent="0.3">
      <c r="A8" s="675" t="s">
        <v>430</v>
      </c>
      <c r="B8" s="1053">
        <v>1</v>
      </c>
      <c r="C8" s="1053"/>
      <c r="D8" s="671"/>
      <c r="E8" s="671"/>
      <c r="F8" s="671"/>
      <c r="G8" s="676"/>
    </row>
    <row r="9" spans="1:7" ht="15.5" x14ac:dyDescent="0.3">
      <c r="A9" s="675" t="s">
        <v>431</v>
      </c>
      <c r="B9" s="1054">
        <v>42887</v>
      </c>
      <c r="C9" s="1055"/>
      <c r="D9" s="669"/>
      <c r="E9" s="669"/>
      <c r="F9" s="669"/>
      <c r="G9" s="676"/>
    </row>
    <row r="10" spans="1:7" ht="15.5" x14ac:dyDescent="0.3">
      <c r="A10" s="675" t="s">
        <v>432</v>
      </c>
      <c r="B10" s="1054">
        <v>43921</v>
      </c>
      <c r="C10" s="1055"/>
      <c r="D10" s="669"/>
      <c r="E10" s="669"/>
      <c r="F10" s="669"/>
      <c r="G10" s="676"/>
    </row>
    <row r="11" spans="1:7" ht="13.5" thickBot="1" x14ac:dyDescent="0.35">
      <c r="A11" s="678"/>
      <c r="B11" s="679"/>
      <c r="C11" s="679"/>
      <c r="D11" s="679"/>
      <c r="E11" s="679"/>
      <c r="F11" s="679"/>
      <c r="G11" s="680"/>
    </row>
    <row r="12" spans="1:7" ht="26" x14ac:dyDescent="0.3">
      <c r="A12" s="681" t="s">
        <v>267</v>
      </c>
      <c r="B12" s="682" t="s">
        <v>433</v>
      </c>
      <c r="C12" s="683" t="s">
        <v>434</v>
      </c>
      <c r="D12" s="683" t="s">
        <v>435</v>
      </c>
      <c r="E12" s="683" t="s">
        <v>599</v>
      </c>
      <c r="F12" s="683" t="s">
        <v>818</v>
      </c>
      <c r="G12" s="684" t="s">
        <v>405</v>
      </c>
    </row>
    <row r="13" spans="1:7" x14ac:dyDescent="0.3">
      <c r="A13" s="685" t="s">
        <v>436</v>
      </c>
      <c r="B13" s="366"/>
      <c r="C13" s="366">
        <v>277000000</v>
      </c>
      <c r="D13" s="366"/>
      <c r="E13" s="366"/>
      <c r="F13" s="366"/>
      <c r="G13" s="686">
        <f>SUM(B13:F13)</f>
        <v>277000000</v>
      </c>
    </row>
    <row r="14" spans="1:7" x14ac:dyDescent="0.3">
      <c r="A14" s="687" t="s">
        <v>437</v>
      </c>
      <c r="B14" s="367"/>
      <c r="C14" s="367"/>
      <c r="D14" s="367"/>
      <c r="E14" s="367"/>
      <c r="F14" s="367"/>
      <c r="G14" s="688"/>
    </row>
    <row r="15" spans="1:7" x14ac:dyDescent="0.3">
      <c r="A15" s="689" t="s">
        <v>438</v>
      </c>
      <c r="B15" s="368"/>
      <c r="C15" s="368">
        <v>277000000</v>
      </c>
      <c r="D15" s="368"/>
      <c r="E15" s="368"/>
      <c r="F15" s="368"/>
      <c r="G15" s="690">
        <f>SUM(B15:F15)</f>
        <v>277000000</v>
      </c>
    </row>
    <row r="16" spans="1:7" ht="15" customHeight="1" x14ac:dyDescent="0.3">
      <c r="A16" s="689"/>
      <c r="B16" s="368"/>
      <c r="C16" s="368"/>
      <c r="D16" s="368"/>
      <c r="E16" s="368"/>
      <c r="F16" s="368"/>
      <c r="G16" s="690"/>
    </row>
    <row r="17" spans="1:11" x14ac:dyDescent="0.3">
      <c r="A17" s="685" t="s">
        <v>439</v>
      </c>
      <c r="B17" s="369">
        <v>0</v>
      </c>
      <c r="C17" s="369">
        <f>SUM(C18:C26)</f>
        <v>803250</v>
      </c>
      <c r="D17" s="369">
        <f>SUM(D18:D26)</f>
        <v>81672690</v>
      </c>
      <c r="E17" s="369">
        <f>SUM(E18:E26)</f>
        <v>129222732</v>
      </c>
      <c r="F17" s="369">
        <f>SUM(F21:F22)</f>
        <v>65301328</v>
      </c>
      <c r="G17" s="691">
        <f>SUM(B17:F17)</f>
        <v>277000000</v>
      </c>
    </row>
    <row r="18" spans="1:11" x14ac:dyDescent="0.3">
      <c r="A18" s="687" t="s">
        <v>437</v>
      </c>
      <c r="B18" s="367"/>
      <c r="C18" s="367"/>
      <c r="D18" s="367"/>
      <c r="E18" s="367"/>
      <c r="F18" s="367"/>
      <c r="G18" s="688"/>
    </row>
    <row r="19" spans="1:11" x14ac:dyDescent="0.3">
      <c r="A19" s="692" t="s">
        <v>440</v>
      </c>
      <c r="B19" s="370"/>
      <c r="C19" s="370">
        <v>0</v>
      </c>
      <c r="D19" s="370">
        <v>0</v>
      </c>
      <c r="E19" s="370">
        <v>0</v>
      </c>
      <c r="F19" s="370"/>
      <c r="G19" s="690">
        <v>0</v>
      </c>
    </row>
    <row r="20" spans="1:11" ht="26" x14ac:dyDescent="0.3">
      <c r="A20" s="692" t="s">
        <v>206</v>
      </c>
      <c r="B20" s="370"/>
      <c r="C20" s="370">
        <v>0</v>
      </c>
      <c r="D20" s="370">
        <v>0</v>
      </c>
      <c r="E20" s="370">
        <v>0</v>
      </c>
      <c r="F20" s="370"/>
      <c r="G20" s="690">
        <v>0</v>
      </c>
    </row>
    <row r="21" spans="1:11" x14ac:dyDescent="0.3">
      <c r="A21" s="692" t="s">
        <v>441</v>
      </c>
      <c r="B21" s="370">
        <v>0</v>
      </c>
      <c r="C21" s="370">
        <v>803250</v>
      </c>
      <c r="D21" s="370">
        <v>18139923</v>
      </c>
      <c r="E21" s="370">
        <v>5157198</v>
      </c>
      <c r="F21" s="370">
        <v>3268561</v>
      </c>
      <c r="G21" s="690">
        <f>SUM(B21:F21)</f>
        <v>27368932</v>
      </c>
    </row>
    <row r="22" spans="1:11" x14ac:dyDescent="0.3">
      <c r="A22" s="692" t="s">
        <v>442</v>
      </c>
      <c r="B22" s="370">
        <v>0</v>
      </c>
      <c r="C22" s="370">
        <v>0</v>
      </c>
      <c r="D22" s="370">
        <v>63532767</v>
      </c>
      <c r="E22" s="370">
        <v>124065534</v>
      </c>
      <c r="F22" s="370">
        <v>62032767</v>
      </c>
      <c r="G22" s="690">
        <f>SUM(D22:F22)</f>
        <v>249631068</v>
      </c>
    </row>
    <row r="23" spans="1:11" x14ac:dyDescent="0.3">
      <c r="A23" s="689" t="s">
        <v>437</v>
      </c>
      <c r="B23" s="370"/>
      <c r="C23" s="370"/>
      <c r="D23" s="370"/>
      <c r="E23" s="370"/>
      <c r="F23" s="370"/>
      <c r="G23" s="690"/>
    </row>
    <row r="24" spans="1:11" x14ac:dyDescent="0.3">
      <c r="A24" s="689" t="s">
        <v>881</v>
      </c>
      <c r="B24" s="370"/>
      <c r="C24" s="370"/>
      <c r="D24" s="370"/>
      <c r="E24" s="370"/>
      <c r="F24" s="370">
        <v>0</v>
      </c>
      <c r="G24" s="690">
        <v>0</v>
      </c>
    </row>
    <row r="25" spans="1:11" x14ac:dyDescent="0.3">
      <c r="A25" s="692" t="s">
        <v>443</v>
      </c>
      <c r="B25" s="370"/>
      <c r="C25" s="370"/>
      <c r="D25" s="370"/>
      <c r="E25" s="370"/>
      <c r="F25" s="370"/>
      <c r="G25" s="690">
        <v>0</v>
      </c>
    </row>
    <row r="26" spans="1:11" x14ac:dyDescent="0.3">
      <c r="A26" s="692" t="s">
        <v>235</v>
      </c>
      <c r="B26" s="370"/>
      <c r="C26" s="370"/>
      <c r="D26" s="370"/>
      <c r="E26" s="370"/>
      <c r="F26" s="370"/>
      <c r="G26" s="690">
        <v>0</v>
      </c>
    </row>
    <row r="27" spans="1:11" ht="27" x14ac:dyDescent="0.3">
      <c r="A27" s="693" t="s">
        <v>444</v>
      </c>
      <c r="B27" s="371">
        <v>0</v>
      </c>
      <c r="C27" s="371">
        <v>5405991</v>
      </c>
      <c r="D27" s="371">
        <v>77069949</v>
      </c>
      <c r="E27" s="371">
        <v>129222732</v>
      </c>
      <c r="F27" s="371">
        <v>65301328</v>
      </c>
      <c r="G27" s="694">
        <f>SUM(B27:F27)</f>
        <v>277000000</v>
      </c>
    </row>
    <row r="28" spans="1:11" ht="27.5" thickBot="1" x14ac:dyDescent="0.35">
      <c r="A28" s="695" t="s">
        <v>445</v>
      </c>
      <c r="B28" s="696">
        <v>0</v>
      </c>
      <c r="C28" s="696">
        <v>0</v>
      </c>
      <c r="D28" s="696"/>
      <c r="E28" s="696"/>
      <c r="F28" s="696"/>
      <c r="G28" s="697">
        <v>0</v>
      </c>
    </row>
    <row r="29" spans="1:11" x14ac:dyDescent="0.3">
      <c r="A29" s="46"/>
      <c r="B29" s="45"/>
      <c r="C29" s="45"/>
      <c r="D29" s="45"/>
      <c r="E29" s="45"/>
    </row>
    <row r="30" spans="1:11" ht="13.5" thickBot="1" x14ac:dyDescent="0.35">
      <c r="A30" s="47"/>
      <c r="B30" s="45"/>
      <c r="C30" s="45"/>
      <c r="D30" s="45"/>
      <c r="E30" s="45"/>
    </row>
    <row r="31" spans="1:11" ht="17.5" x14ac:dyDescent="0.3">
      <c r="A31" s="1056" t="s">
        <v>446</v>
      </c>
      <c r="B31" s="1057"/>
      <c r="C31" s="1057"/>
      <c r="D31" s="1057"/>
      <c r="E31" s="1057"/>
      <c r="F31" s="1057"/>
      <c r="G31" s="1058"/>
    </row>
    <row r="32" spans="1:11" ht="15" x14ac:dyDescent="0.3">
      <c r="A32" s="672"/>
      <c r="B32" s="1059"/>
      <c r="C32" s="1059"/>
      <c r="D32" s="698"/>
      <c r="E32" s="698"/>
      <c r="F32" s="698"/>
      <c r="G32" s="699"/>
      <c r="H32" s="45"/>
      <c r="I32" s="45"/>
      <c r="J32" s="45"/>
      <c r="K32" s="45"/>
    </row>
    <row r="33" spans="1:11" x14ac:dyDescent="0.3">
      <c r="A33" s="675" t="s">
        <v>428</v>
      </c>
      <c r="B33" s="1060" t="s">
        <v>814</v>
      </c>
      <c r="C33" s="1060"/>
      <c r="D33" s="1060"/>
      <c r="E33" s="1060"/>
      <c r="F33" s="1060"/>
      <c r="G33" s="1061"/>
      <c r="H33" s="45"/>
      <c r="I33" s="45"/>
      <c r="J33" s="45"/>
      <c r="K33" s="45"/>
    </row>
    <row r="34" spans="1:11" ht="12.75" customHeight="1" x14ac:dyDescent="0.3">
      <c r="A34" s="675" t="s">
        <v>882</v>
      </c>
      <c r="B34" s="1060" t="s">
        <v>883</v>
      </c>
      <c r="C34" s="1060"/>
      <c r="D34" s="1060"/>
      <c r="E34" s="1060"/>
      <c r="F34" s="1060"/>
      <c r="G34" s="1061"/>
      <c r="H34" s="45"/>
      <c r="I34" s="45"/>
      <c r="J34" s="45"/>
      <c r="K34" s="45"/>
    </row>
    <row r="35" spans="1:11" ht="12.75" customHeight="1" x14ac:dyDescent="0.3">
      <c r="A35" s="675" t="s">
        <v>878</v>
      </c>
      <c r="B35" s="1060" t="s">
        <v>884</v>
      </c>
      <c r="C35" s="1060"/>
      <c r="D35" s="1060"/>
      <c r="E35" s="1060"/>
      <c r="F35" s="1060"/>
      <c r="G35" s="1061"/>
      <c r="H35" s="45"/>
      <c r="I35" s="45"/>
      <c r="J35" s="45"/>
      <c r="K35" s="45"/>
    </row>
    <row r="36" spans="1:11" ht="12.75" customHeight="1" x14ac:dyDescent="0.3">
      <c r="A36" s="675" t="s">
        <v>880</v>
      </c>
      <c r="B36" s="1052">
        <v>90000000</v>
      </c>
      <c r="C36" s="1052"/>
      <c r="D36" s="149"/>
      <c r="E36" s="149"/>
      <c r="F36" s="149"/>
      <c r="G36" s="676"/>
      <c r="H36" s="45"/>
      <c r="I36" s="45"/>
      <c r="J36" s="45"/>
      <c r="K36" s="45"/>
    </row>
    <row r="37" spans="1:11" ht="15.5" x14ac:dyDescent="0.3">
      <c r="A37" s="675" t="s">
        <v>812</v>
      </c>
      <c r="B37" s="1052" t="s">
        <v>381</v>
      </c>
      <c r="C37" s="1052"/>
      <c r="D37" s="1052"/>
      <c r="E37" s="670"/>
      <c r="F37" s="670"/>
      <c r="G37" s="676"/>
      <c r="H37" s="45"/>
      <c r="I37" s="45"/>
      <c r="J37" s="45"/>
      <c r="K37" s="45"/>
    </row>
    <row r="38" spans="1:11" ht="15.75" customHeight="1" x14ac:dyDescent="0.3">
      <c r="A38" s="675" t="s">
        <v>430</v>
      </c>
      <c r="B38" s="1053">
        <v>1</v>
      </c>
      <c r="C38" s="1053"/>
      <c r="D38" s="671"/>
      <c r="E38" s="671"/>
      <c r="F38" s="671"/>
      <c r="G38" s="676"/>
      <c r="H38" s="45"/>
      <c r="I38" s="45"/>
      <c r="J38" s="45"/>
      <c r="K38" s="45"/>
    </row>
    <row r="39" spans="1:11" ht="15.5" x14ac:dyDescent="0.3">
      <c r="A39" s="675" t="s">
        <v>431</v>
      </c>
      <c r="B39" s="1054">
        <v>42917</v>
      </c>
      <c r="C39" s="1054"/>
      <c r="D39" s="669"/>
      <c r="E39" s="669"/>
      <c r="F39" s="669"/>
      <c r="G39" s="676"/>
      <c r="H39" s="45"/>
      <c r="I39" s="45"/>
      <c r="J39" s="45"/>
      <c r="K39" s="45"/>
    </row>
    <row r="40" spans="1:11" ht="15.5" x14ac:dyDescent="0.3">
      <c r="A40" s="675" t="s">
        <v>432</v>
      </c>
      <c r="B40" s="1054">
        <v>43465</v>
      </c>
      <c r="C40" s="1054"/>
      <c r="D40" s="669"/>
      <c r="E40" s="669"/>
      <c r="F40" s="669"/>
      <c r="G40" s="676"/>
      <c r="H40" s="45"/>
      <c r="I40" s="45"/>
      <c r="J40" s="45"/>
      <c r="K40" s="45"/>
    </row>
    <row r="41" spans="1:11" ht="13.5" thickBot="1" x14ac:dyDescent="0.35">
      <c r="A41" s="678"/>
      <c r="B41" s="679"/>
      <c r="C41" s="679"/>
      <c r="D41" s="679"/>
      <c r="E41" s="679"/>
      <c r="F41" s="679"/>
      <c r="G41" s="680"/>
      <c r="H41" s="45"/>
      <c r="I41" s="45"/>
      <c r="J41" s="45"/>
      <c r="K41" s="45"/>
    </row>
    <row r="42" spans="1:11" ht="26" x14ac:dyDescent="0.3">
      <c r="A42" s="681" t="s">
        <v>267</v>
      </c>
      <c r="B42" s="682" t="s">
        <v>433</v>
      </c>
      <c r="C42" s="683" t="s">
        <v>885</v>
      </c>
      <c r="D42" s="683" t="s">
        <v>435</v>
      </c>
      <c r="E42" s="700" t="s">
        <v>599</v>
      </c>
      <c r="F42" s="700" t="s">
        <v>818</v>
      </c>
      <c r="G42" s="684" t="s">
        <v>405</v>
      </c>
      <c r="H42" s="45"/>
      <c r="I42" s="45"/>
      <c r="J42" s="45"/>
      <c r="K42" s="45"/>
    </row>
    <row r="43" spans="1:11" x14ac:dyDescent="0.3">
      <c r="A43" s="685" t="s">
        <v>436</v>
      </c>
      <c r="B43" s="366"/>
      <c r="C43" s="366">
        <v>90000000</v>
      </c>
      <c r="D43" s="366"/>
      <c r="E43" s="701"/>
      <c r="F43" s="701"/>
      <c r="G43" s="686">
        <f>C43</f>
        <v>90000000</v>
      </c>
      <c r="H43" s="45"/>
      <c r="I43" s="45"/>
      <c r="J43" s="45"/>
      <c r="K43" s="45"/>
    </row>
    <row r="44" spans="1:11" x14ac:dyDescent="0.3">
      <c r="A44" s="687" t="s">
        <v>437</v>
      </c>
      <c r="B44" s="367"/>
      <c r="C44" s="367"/>
      <c r="D44" s="367"/>
      <c r="E44" s="702"/>
      <c r="F44" s="702"/>
      <c r="G44" s="688"/>
      <c r="H44" s="45"/>
      <c r="I44" s="45"/>
      <c r="J44" s="45"/>
      <c r="K44" s="45"/>
    </row>
    <row r="45" spans="1:11" x14ac:dyDescent="0.3">
      <c r="A45" s="689" t="s">
        <v>438</v>
      </c>
      <c r="B45" s="368"/>
      <c r="C45" s="368">
        <f>C43</f>
        <v>90000000</v>
      </c>
      <c r="D45" s="368"/>
      <c r="E45" s="703"/>
      <c r="F45" s="703"/>
      <c r="G45" s="690">
        <v>90000000</v>
      </c>
      <c r="H45" s="45"/>
      <c r="I45" s="45"/>
      <c r="J45" s="45"/>
      <c r="K45" s="45"/>
    </row>
    <row r="46" spans="1:11" x14ac:dyDescent="0.3">
      <c r="A46" s="689"/>
      <c r="B46" s="368"/>
      <c r="C46" s="368"/>
      <c r="D46" s="368"/>
      <c r="E46" s="703"/>
      <c r="F46" s="703"/>
      <c r="G46" s="690"/>
      <c r="H46" s="45"/>
      <c r="I46" s="45"/>
      <c r="J46" s="45"/>
      <c r="K46" s="45"/>
    </row>
    <row r="47" spans="1:11" x14ac:dyDescent="0.3">
      <c r="A47" s="685" t="s">
        <v>439</v>
      </c>
      <c r="B47" s="369">
        <f>SUM(B48:B56)</f>
        <v>4424000</v>
      </c>
      <c r="C47" s="369">
        <v>5041500</v>
      </c>
      <c r="D47" s="369">
        <f>SUM(D48:D56)</f>
        <v>80534500</v>
      </c>
      <c r="E47" s="704"/>
      <c r="F47" s="704"/>
      <c r="G47" s="691">
        <f>SUM(B47:D47)</f>
        <v>90000000</v>
      </c>
      <c r="H47" s="45"/>
      <c r="I47" s="45"/>
      <c r="J47" s="45"/>
      <c r="K47" s="45"/>
    </row>
    <row r="48" spans="1:11" x14ac:dyDescent="0.3">
      <c r="A48" s="687" t="s">
        <v>437</v>
      </c>
      <c r="B48" s="367"/>
      <c r="C48" s="367"/>
      <c r="D48" s="367"/>
      <c r="E48" s="702"/>
      <c r="F48" s="702"/>
      <c r="G48" s="688"/>
      <c r="H48" s="45"/>
      <c r="I48" s="45"/>
      <c r="J48" s="45"/>
      <c r="K48" s="45"/>
    </row>
    <row r="49" spans="1:11" x14ac:dyDescent="0.3">
      <c r="A49" s="692" t="s">
        <v>440</v>
      </c>
      <c r="B49" s="370"/>
      <c r="C49" s="370">
        <v>0</v>
      </c>
      <c r="D49" s="370">
        <v>0</v>
      </c>
      <c r="E49" s="705"/>
      <c r="F49" s="705"/>
      <c r="G49" s="690">
        <v>0</v>
      </c>
      <c r="H49" s="45"/>
      <c r="I49" s="45"/>
      <c r="J49" s="45"/>
      <c r="K49" s="45"/>
    </row>
    <row r="50" spans="1:11" ht="26" x14ac:dyDescent="0.3">
      <c r="A50" s="692" t="s">
        <v>206</v>
      </c>
      <c r="B50" s="370"/>
      <c r="C50" s="370">
        <v>0</v>
      </c>
      <c r="D50" s="370">
        <v>0</v>
      </c>
      <c r="E50" s="705"/>
      <c r="F50" s="705"/>
      <c r="G50" s="690">
        <v>0</v>
      </c>
      <c r="H50" s="45"/>
      <c r="I50" s="45"/>
      <c r="J50" s="706"/>
      <c r="K50" s="45"/>
    </row>
    <row r="51" spans="1:11" x14ac:dyDescent="0.3">
      <c r="A51" s="692" t="s">
        <v>441</v>
      </c>
      <c r="B51" s="370">
        <v>4424000</v>
      </c>
      <c r="C51" s="370">
        <v>5041500</v>
      </c>
      <c r="D51" s="370"/>
      <c r="E51" s="705"/>
      <c r="F51" s="705"/>
      <c r="G51" s="690">
        <f>SUM(B51:D51)</f>
        <v>9465500</v>
      </c>
      <c r="H51" s="45"/>
      <c r="I51" s="45"/>
      <c r="J51" s="45"/>
      <c r="K51" s="45"/>
    </row>
    <row r="52" spans="1:11" x14ac:dyDescent="0.3">
      <c r="A52" s="692" t="s">
        <v>442</v>
      </c>
      <c r="B52" s="370"/>
      <c r="C52" s="370">
        <v>0</v>
      </c>
      <c r="D52" s="370">
        <v>78048010</v>
      </c>
      <c r="E52" s="705"/>
      <c r="F52" s="705"/>
      <c r="G52" s="690">
        <f>SUM(D52:D52)</f>
        <v>78048010</v>
      </c>
      <c r="H52" s="45"/>
      <c r="I52" s="45"/>
      <c r="J52" s="45"/>
      <c r="K52" s="45"/>
    </row>
    <row r="53" spans="1:11" x14ac:dyDescent="0.3">
      <c r="A53" s="689" t="s">
        <v>437</v>
      </c>
      <c r="B53" s="370"/>
      <c r="C53" s="370"/>
      <c r="D53" s="370"/>
      <c r="E53" s="705"/>
      <c r="F53" s="705"/>
      <c r="G53" s="690"/>
      <c r="H53" s="45"/>
      <c r="I53" s="45"/>
      <c r="J53" s="45"/>
      <c r="K53" s="45"/>
    </row>
    <row r="54" spans="1:11" x14ac:dyDescent="0.3">
      <c r="A54" s="689" t="s">
        <v>881</v>
      </c>
      <c r="B54" s="370"/>
      <c r="C54" s="370"/>
      <c r="D54" s="370">
        <v>2486490</v>
      </c>
      <c r="E54" s="705"/>
      <c r="F54" s="705"/>
      <c r="G54" s="690">
        <v>2486490</v>
      </c>
      <c r="H54" s="45"/>
      <c r="I54" s="45"/>
      <c r="J54" s="45"/>
      <c r="K54" s="45"/>
    </row>
    <row r="55" spans="1:11" x14ac:dyDescent="0.3">
      <c r="A55" s="692" t="s">
        <v>443</v>
      </c>
      <c r="B55" s="370"/>
      <c r="C55" s="370"/>
      <c r="D55" s="370"/>
      <c r="E55" s="705"/>
      <c r="F55" s="705"/>
      <c r="G55" s="690">
        <v>0</v>
      </c>
    </row>
    <row r="56" spans="1:11" x14ac:dyDescent="0.3">
      <c r="A56" s="692" t="s">
        <v>235</v>
      </c>
      <c r="B56" s="370"/>
      <c r="C56" s="370"/>
      <c r="D56" s="370"/>
      <c r="E56" s="705"/>
      <c r="F56" s="705"/>
      <c r="G56" s="690">
        <v>0</v>
      </c>
    </row>
    <row r="57" spans="1:11" ht="27" x14ac:dyDescent="0.3">
      <c r="A57" s="693" t="s">
        <v>444</v>
      </c>
      <c r="B57" s="371">
        <v>4424000</v>
      </c>
      <c r="C57" s="371">
        <v>5041500</v>
      </c>
      <c r="D57" s="371">
        <v>80534500</v>
      </c>
      <c r="E57" s="707"/>
      <c r="F57" s="707"/>
      <c r="G57" s="694">
        <f>SUM(B57,C57,D57)</f>
        <v>90000000</v>
      </c>
    </row>
    <row r="58" spans="1:11" ht="27.5" thickBot="1" x14ac:dyDescent="0.35">
      <c r="A58" s="695" t="s">
        <v>445</v>
      </c>
      <c r="B58" s="696">
        <v>0</v>
      </c>
      <c r="C58" s="696">
        <v>0</v>
      </c>
      <c r="D58" s="696"/>
      <c r="E58" s="708"/>
      <c r="F58" s="708"/>
      <c r="G58" s="697">
        <v>0</v>
      </c>
    </row>
    <row r="59" spans="1:11" ht="13.5" x14ac:dyDescent="0.3">
      <c r="A59" s="709"/>
      <c r="B59" s="710"/>
      <c r="C59" s="710"/>
      <c r="D59" s="710"/>
      <c r="E59" s="710"/>
      <c r="F59" s="711"/>
    </row>
    <row r="60" spans="1:11" ht="12.75" customHeight="1" thickBot="1" x14ac:dyDescent="0.35"/>
    <row r="61" spans="1:11" ht="12.75" customHeight="1" x14ac:dyDescent="0.3">
      <c r="A61" s="1056" t="s">
        <v>446</v>
      </c>
      <c r="B61" s="1057"/>
      <c r="C61" s="1057"/>
      <c r="D61" s="1057"/>
      <c r="E61" s="1057"/>
      <c r="F61" s="1057"/>
      <c r="G61" s="1058"/>
    </row>
    <row r="62" spans="1:11" ht="12.75" customHeight="1" x14ac:dyDescent="0.3">
      <c r="A62" s="672"/>
      <c r="B62" s="1059"/>
      <c r="C62" s="1059"/>
      <c r="D62" s="698"/>
      <c r="E62" s="698"/>
      <c r="F62" s="698"/>
      <c r="G62" s="699"/>
    </row>
    <row r="63" spans="1:11" x14ac:dyDescent="0.3">
      <c r="A63" s="675" t="s">
        <v>428</v>
      </c>
      <c r="B63" s="1060" t="s">
        <v>886</v>
      </c>
      <c r="C63" s="1060"/>
      <c r="D63" s="1060"/>
      <c r="E63" s="1060"/>
      <c r="F63" s="1060"/>
      <c r="G63" s="1061"/>
    </row>
    <row r="64" spans="1:11" ht="15.75" customHeight="1" x14ac:dyDescent="0.3">
      <c r="A64" s="675" t="s">
        <v>882</v>
      </c>
      <c r="B64" s="1060" t="s">
        <v>887</v>
      </c>
      <c r="C64" s="1060"/>
      <c r="D64" s="1060"/>
      <c r="E64" s="1060"/>
      <c r="F64" s="1060"/>
      <c r="G64" s="1061"/>
    </row>
    <row r="65" spans="1:7" ht="15.75" customHeight="1" x14ac:dyDescent="0.3">
      <c r="A65" s="675" t="s">
        <v>878</v>
      </c>
      <c r="B65" s="1060" t="s">
        <v>888</v>
      </c>
      <c r="C65" s="1060"/>
      <c r="D65" s="1060"/>
      <c r="E65" s="1060"/>
      <c r="F65" s="1060"/>
      <c r="G65" s="1061"/>
    </row>
    <row r="66" spans="1:7" ht="15.5" x14ac:dyDescent="0.3">
      <c r="A66" s="675" t="s">
        <v>880</v>
      </c>
      <c r="B66" s="1052">
        <v>60348839</v>
      </c>
      <c r="C66" s="1052"/>
      <c r="D66" s="149"/>
      <c r="E66" s="149"/>
      <c r="F66" s="149"/>
      <c r="G66" s="676"/>
    </row>
    <row r="67" spans="1:7" ht="15.5" x14ac:dyDescent="0.3">
      <c r="A67" s="675" t="s">
        <v>812</v>
      </c>
      <c r="B67" s="1052" t="s">
        <v>381</v>
      </c>
      <c r="C67" s="1052"/>
      <c r="D67" s="1052"/>
      <c r="E67" s="670"/>
      <c r="F67" s="670"/>
      <c r="G67" s="676"/>
    </row>
    <row r="68" spans="1:7" ht="15.5" x14ac:dyDescent="0.3">
      <c r="A68" s="675" t="s">
        <v>430</v>
      </c>
      <c r="B68" s="1053">
        <v>1</v>
      </c>
      <c r="C68" s="1053"/>
      <c r="D68" s="671"/>
      <c r="E68" s="671"/>
      <c r="F68" s="671"/>
      <c r="G68" s="676"/>
    </row>
    <row r="69" spans="1:7" ht="15.5" x14ac:dyDescent="0.3">
      <c r="A69" s="675" t="s">
        <v>431</v>
      </c>
      <c r="B69" s="1054">
        <v>42917</v>
      </c>
      <c r="C69" s="1055"/>
      <c r="D69" s="669"/>
      <c r="E69" s="669"/>
      <c r="F69" s="669"/>
      <c r="G69" s="676"/>
    </row>
    <row r="70" spans="1:7" ht="15.5" x14ac:dyDescent="0.3">
      <c r="A70" s="675" t="s">
        <v>432</v>
      </c>
      <c r="B70" s="1054">
        <v>43465</v>
      </c>
      <c r="C70" s="1055"/>
      <c r="D70" s="669"/>
      <c r="E70" s="669"/>
      <c r="F70" s="669"/>
      <c r="G70" s="676"/>
    </row>
    <row r="71" spans="1:7" ht="13.5" thickBot="1" x14ac:dyDescent="0.35">
      <c r="A71" s="678"/>
      <c r="B71" s="679"/>
      <c r="C71" s="679"/>
      <c r="D71" s="679"/>
      <c r="E71" s="679"/>
      <c r="F71" s="679"/>
      <c r="G71" s="680"/>
    </row>
    <row r="72" spans="1:7" ht="26" x14ac:dyDescent="0.3">
      <c r="A72" s="681" t="s">
        <v>267</v>
      </c>
      <c r="B72" s="682" t="s">
        <v>433</v>
      </c>
      <c r="C72" s="683" t="s">
        <v>885</v>
      </c>
      <c r="D72" s="683" t="s">
        <v>435</v>
      </c>
      <c r="E72" s="700" t="s">
        <v>599</v>
      </c>
      <c r="F72" s="700" t="s">
        <v>818</v>
      </c>
      <c r="G72" s="684" t="s">
        <v>405</v>
      </c>
    </row>
    <row r="73" spans="1:7" x14ac:dyDescent="0.3">
      <c r="A73" s="685" t="s">
        <v>436</v>
      </c>
      <c r="B73" s="366"/>
      <c r="C73" s="366">
        <v>60348839</v>
      </c>
      <c r="D73" s="366"/>
      <c r="E73" s="701"/>
      <c r="F73" s="701"/>
      <c r="G73" s="686">
        <f>C73</f>
        <v>60348839</v>
      </c>
    </row>
    <row r="74" spans="1:7" x14ac:dyDescent="0.3">
      <c r="A74" s="687" t="s">
        <v>437</v>
      </c>
      <c r="B74" s="367"/>
      <c r="C74" s="367"/>
      <c r="D74" s="367"/>
      <c r="E74" s="702"/>
      <c r="F74" s="702"/>
      <c r="G74" s="688"/>
    </row>
    <row r="75" spans="1:7" x14ac:dyDescent="0.3">
      <c r="A75" s="689" t="s">
        <v>438</v>
      </c>
      <c r="B75" s="368"/>
      <c r="C75" s="368">
        <f>C73</f>
        <v>60348839</v>
      </c>
      <c r="D75" s="368"/>
      <c r="E75" s="703"/>
      <c r="F75" s="703"/>
      <c r="G75" s="690"/>
    </row>
    <row r="76" spans="1:7" x14ac:dyDescent="0.3">
      <c r="A76" s="689"/>
      <c r="B76" s="368"/>
      <c r="C76" s="368"/>
      <c r="D76" s="368"/>
      <c r="E76" s="703"/>
      <c r="F76" s="703"/>
      <c r="G76" s="690"/>
    </row>
    <row r="77" spans="1:7" x14ac:dyDescent="0.3">
      <c r="A77" s="685" t="s">
        <v>439</v>
      </c>
      <c r="B77" s="369">
        <f>SUM(B78:B86)</f>
        <v>2976999</v>
      </c>
      <c r="C77" s="369">
        <f>SUM(C81,C82)</f>
        <v>4067179</v>
      </c>
      <c r="D77" s="369">
        <f>SUM(D84,D82,D81)</f>
        <v>53304361</v>
      </c>
      <c r="E77" s="704"/>
      <c r="F77" s="704"/>
      <c r="G77" s="691">
        <f>SUM(B77:D77)</f>
        <v>60348539</v>
      </c>
    </row>
    <row r="78" spans="1:7" x14ac:dyDescent="0.3">
      <c r="A78" s="687" t="s">
        <v>437</v>
      </c>
      <c r="B78" s="367"/>
      <c r="C78" s="367"/>
      <c r="D78" s="367"/>
      <c r="E78" s="702"/>
      <c r="F78" s="702"/>
      <c r="G78" s="688"/>
    </row>
    <row r="79" spans="1:7" x14ac:dyDescent="0.3">
      <c r="A79" s="692" t="s">
        <v>440</v>
      </c>
      <c r="B79" s="370"/>
      <c r="C79" s="370">
        <v>0</v>
      </c>
      <c r="D79" s="370">
        <v>0</v>
      </c>
      <c r="E79" s="705"/>
      <c r="F79" s="705"/>
      <c r="G79" s="690">
        <v>0</v>
      </c>
    </row>
    <row r="80" spans="1:7" ht="26" x14ac:dyDescent="0.3">
      <c r="A80" s="692" t="s">
        <v>206</v>
      </c>
      <c r="B80" s="370"/>
      <c r="C80" s="370">
        <v>0</v>
      </c>
      <c r="D80" s="370">
        <v>0</v>
      </c>
      <c r="E80" s="705"/>
      <c r="F80" s="705"/>
      <c r="G80" s="690">
        <v>0</v>
      </c>
    </row>
    <row r="81" spans="1:7" x14ac:dyDescent="0.3">
      <c r="A81" s="692" t="s">
        <v>441</v>
      </c>
      <c r="B81" s="370">
        <v>2976999</v>
      </c>
      <c r="C81" s="370">
        <v>4067179</v>
      </c>
      <c r="D81" s="370"/>
      <c r="E81" s="705"/>
      <c r="F81" s="705"/>
      <c r="G81" s="690">
        <f>SUM(B81,C81,D81)</f>
        <v>7044178</v>
      </c>
    </row>
    <row r="82" spans="1:7" x14ac:dyDescent="0.3">
      <c r="A82" s="692" t="s">
        <v>442</v>
      </c>
      <c r="B82" s="370"/>
      <c r="C82" s="370"/>
      <c r="D82" s="370">
        <v>53056621</v>
      </c>
      <c r="E82" s="705"/>
      <c r="F82" s="705"/>
      <c r="G82" s="690">
        <f>SUM(C82:D82)</f>
        <v>53056621</v>
      </c>
    </row>
    <row r="83" spans="1:7" x14ac:dyDescent="0.3">
      <c r="A83" s="689" t="s">
        <v>437</v>
      </c>
      <c r="B83" s="370"/>
      <c r="C83" s="370"/>
      <c r="D83" s="370"/>
      <c r="E83" s="705"/>
      <c r="F83" s="705"/>
      <c r="G83" s="690"/>
    </row>
    <row r="84" spans="1:7" x14ac:dyDescent="0.3">
      <c r="A84" s="689" t="s">
        <v>881</v>
      </c>
      <c r="B84" s="370"/>
      <c r="C84" s="370"/>
      <c r="D84" s="370">
        <v>247740</v>
      </c>
      <c r="E84" s="705"/>
      <c r="F84" s="705"/>
      <c r="G84" s="690">
        <v>247740</v>
      </c>
    </row>
    <row r="85" spans="1:7" x14ac:dyDescent="0.3">
      <c r="A85" s="692" t="s">
        <v>443</v>
      </c>
      <c r="B85" s="370"/>
      <c r="C85" s="370"/>
      <c r="D85" s="370"/>
      <c r="E85" s="705"/>
      <c r="F85" s="705"/>
      <c r="G85" s="690">
        <v>0</v>
      </c>
    </row>
    <row r="86" spans="1:7" x14ac:dyDescent="0.3">
      <c r="A86" s="692" t="s">
        <v>235</v>
      </c>
      <c r="B86" s="370"/>
      <c r="C86" s="370"/>
      <c r="D86" s="370"/>
      <c r="E86" s="705"/>
      <c r="F86" s="705"/>
      <c r="G86" s="690">
        <v>0</v>
      </c>
    </row>
    <row r="87" spans="1:7" ht="12.75" customHeight="1" x14ac:dyDescent="0.3">
      <c r="A87" s="693" t="s">
        <v>444</v>
      </c>
      <c r="B87" s="371">
        <v>2976999</v>
      </c>
      <c r="C87" s="371">
        <v>4067179</v>
      </c>
      <c r="D87" s="371">
        <v>53304361</v>
      </c>
      <c r="E87" s="707"/>
      <c r="F87" s="707"/>
      <c r="G87" s="694">
        <v>60348539</v>
      </c>
    </row>
    <row r="88" spans="1:7" ht="12.75" customHeight="1" thickBot="1" x14ac:dyDescent="0.35">
      <c r="A88" s="695" t="s">
        <v>445</v>
      </c>
      <c r="B88" s="696">
        <v>0</v>
      </c>
      <c r="C88" s="696">
        <v>0</v>
      </c>
      <c r="D88" s="696"/>
      <c r="E88" s="708"/>
      <c r="F88" s="708"/>
      <c r="G88" s="697">
        <v>0</v>
      </c>
    </row>
    <row r="89" spans="1:7" ht="12.75" customHeight="1" x14ac:dyDescent="0.3"/>
    <row r="90" spans="1:7" ht="13.5" thickBot="1" x14ac:dyDescent="0.35"/>
    <row r="91" spans="1:7" ht="15.75" customHeight="1" x14ac:dyDescent="0.3">
      <c r="A91" s="1056" t="s">
        <v>446</v>
      </c>
      <c r="B91" s="1057"/>
      <c r="C91" s="1057"/>
      <c r="D91" s="1057"/>
      <c r="E91" s="1057"/>
      <c r="F91" s="1057"/>
      <c r="G91" s="1058"/>
    </row>
    <row r="92" spans="1:7" ht="15" x14ac:dyDescent="0.3">
      <c r="A92" s="672"/>
      <c r="B92" s="1059"/>
      <c r="C92" s="1059"/>
      <c r="D92" s="673"/>
      <c r="E92" s="673"/>
      <c r="F92" s="673"/>
      <c r="G92" s="674"/>
    </row>
    <row r="93" spans="1:7" x14ac:dyDescent="0.3">
      <c r="A93" s="675" t="s">
        <v>428</v>
      </c>
      <c r="B93" s="1060" t="s">
        <v>889</v>
      </c>
      <c r="C93" s="1060"/>
      <c r="D93" s="1060"/>
      <c r="E93" s="1060"/>
      <c r="F93" s="1060"/>
      <c r="G93" s="1061"/>
    </row>
    <row r="94" spans="1:7" ht="12.75" customHeight="1" x14ac:dyDescent="0.3">
      <c r="A94" s="675" t="s">
        <v>429</v>
      </c>
      <c r="B94" s="1060" t="s">
        <v>890</v>
      </c>
      <c r="C94" s="1060"/>
      <c r="D94" s="1060"/>
      <c r="E94" s="1060"/>
      <c r="F94" s="1060"/>
      <c r="G94" s="1061"/>
    </row>
    <row r="95" spans="1:7" ht="12.75" customHeight="1" x14ac:dyDescent="0.3">
      <c r="A95" s="675" t="s">
        <v>878</v>
      </c>
      <c r="B95" s="1060" t="s">
        <v>891</v>
      </c>
      <c r="C95" s="1060"/>
      <c r="D95" s="1060"/>
      <c r="E95" s="1060"/>
      <c r="F95" s="1060"/>
      <c r="G95" s="1061"/>
    </row>
    <row r="96" spans="1:7" ht="15.5" x14ac:dyDescent="0.3">
      <c r="A96" s="675" t="s">
        <v>880</v>
      </c>
      <c r="B96" s="1052">
        <v>300000000</v>
      </c>
      <c r="C96" s="1052"/>
      <c r="D96" s="149"/>
      <c r="E96" s="670"/>
      <c r="F96" s="670"/>
      <c r="G96" s="676"/>
    </row>
    <row r="97" spans="1:7" ht="15.75" customHeight="1" x14ac:dyDescent="0.3">
      <c r="A97" s="675" t="s">
        <v>812</v>
      </c>
      <c r="B97" s="1052" t="s">
        <v>381</v>
      </c>
      <c r="C97" s="1052"/>
      <c r="D97" s="1052"/>
      <c r="E97" s="1052"/>
      <c r="F97" s="1052"/>
      <c r="G97" s="1062"/>
    </row>
    <row r="98" spans="1:7" ht="15.75" customHeight="1" x14ac:dyDescent="0.3">
      <c r="A98" s="675" t="s">
        <v>600</v>
      </c>
      <c r="B98" s="1052" t="s">
        <v>892</v>
      </c>
      <c r="C98" s="1052"/>
      <c r="D98" s="1052"/>
      <c r="E98" s="1052"/>
      <c r="F98" s="1052"/>
      <c r="G98" s="1062"/>
    </row>
    <row r="99" spans="1:7" ht="15.5" x14ac:dyDescent="0.3">
      <c r="A99" s="675" t="s">
        <v>430</v>
      </c>
      <c r="B99" s="1053">
        <v>1</v>
      </c>
      <c r="C99" s="1053"/>
      <c r="D99" s="671"/>
      <c r="E99" s="671"/>
      <c r="F99" s="671"/>
      <c r="G99" s="676"/>
    </row>
    <row r="100" spans="1:7" ht="15.5" x14ac:dyDescent="0.3">
      <c r="A100" s="675" t="s">
        <v>431</v>
      </c>
      <c r="B100" s="1054">
        <v>42993</v>
      </c>
      <c r="C100" s="1055"/>
      <c r="D100" s="669"/>
      <c r="E100" s="669"/>
      <c r="F100" s="669"/>
      <c r="G100" s="676"/>
    </row>
    <row r="101" spans="1:7" ht="15.5" x14ac:dyDescent="0.3">
      <c r="A101" s="675" t="s">
        <v>432</v>
      </c>
      <c r="B101" s="1054">
        <v>43434</v>
      </c>
      <c r="C101" s="1055"/>
      <c r="D101" s="669"/>
      <c r="E101" s="669"/>
      <c r="F101" s="669"/>
      <c r="G101" s="676"/>
    </row>
    <row r="102" spans="1:7" ht="13.5" thickBot="1" x14ac:dyDescent="0.35">
      <c r="A102" s="678"/>
      <c r="B102" s="679"/>
      <c r="C102" s="679"/>
      <c r="D102" s="679"/>
      <c r="E102" s="679"/>
      <c r="F102" s="679"/>
      <c r="G102" s="680"/>
    </row>
    <row r="103" spans="1:7" ht="26" x14ac:dyDescent="0.3">
      <c r="A103" s="681" t="s">
        <v>267</v>
      </c>
      <c r="B103" s="682" t="s">
        <v>433</v>
      </c>
      <c r="C103" s="683" t="s">
        <v>434</v>
      </c>
      <c r="D103" s="683" t="s">
        <v>435</v>
      </c>
      <c r="E103" s="683" t="s">
        <v>599</v>
      </c>
      <c r="F103" s="700" t="s">
        <v>818</v>
      </c>
      <c r="G103" s="684" t="s">
        <v>405</v>
      </c>
    </row>
    <row r="104" spans="1:7" x14ac:dyDescent="0.3">
      <c r="A104" s="685" t="s">
        <v>436</v>
      </c>
      <c r="B104" s="366"/>
      <c r="C104" s="366">
        <v>299847600</v>
      </c>
      <c r="D104" s="366"/>
      <c r="E104" s="366"/>
      <c r="F104" s="701"/>
      <c r="G104" s="686">
        <v>299847600</v>
      </c>
    </row>
    <row r="105" spans="1:7" x14ac:dyDescent="0.3">
      <c r="A105" s="687" t="s">
        <v>437</v>
      </c>
      <c r="B105" s="367"/>
      <c r="C105" s="367"/>
      <c r="D105" s="367"/>
      <c r="E105" s="367"/>
      <c r="F105" s="702"/>
      <c r="G105" s="688"/>
    </row>
    <row r="106" spans="1:7" x14ac:dyDescent="0.3">
      <c r="A106" s="689" t="s">
        <v>438</v>
      </c>
      <c r="B106" s="368"/>
      <c r="C106" s="368">
        <v>299847600</v>
      </c>
      <c r="D106" s="368"/>
      <c r="E106" s="368"/>
      <c r="F106" s="703"/>
      <c r="G106" s="690">
        <v>299847600</v>
      </c>
    </row>
    <row r="107" spans="1:7" x14ac:dyDescent="0.3">
      <c r="A107" s="689"/>
      <c r="B107" s="368"/>
      <c r="C107" s="368"/>
      <c r="D107" s="368"/>
      <c r="E107" s="368"/>
      <c r="F107" s="703"/>
      <c r="G107" s="690"/>
    </row>
    <row r="108" spans="1:7" x14ac:dyDescent="0.3">
      <c r="A108" s="685" t="s">
        <v>439</v>
      </c>
      <c r="B108" s="369"/>
      <c r="C108" s="369">
        <v>0</v>
      </c>
      <c r="D108" s="369">
        <f>SUM(D110:D112)</f>
        <v>299847600</v>
      </c>
      <c r="E108" s="369">
        <v>0</v>
      </c>
      <c r="F108" s="704"/>
      <c r="G108" s="691">
        <f>SUM(B108:E108)</f>
        <v>299847600</v>
      </c>
    </row>
    <row r="109" spans="1:7" x14ac:dyDescent="0.3">
      <c r="A109" s="687" t="s">
        <v>437</v>
      </c>
      <c r="B109" s="367"/>
      <c r="C109" s="367"/>
      <c r="D109" s="367"/>
      <c r="E109" s="367"/>
      <c r="F109" s="702"/>
      <c r="G109" s="688"/>
    </row>
    <row r="110" spans="1:7" x14ac:dyDescent="0.3">
      <c r="A110" s="692" t="s">
        <v>893</v>
      </c>
      <c r="B110" s="370"/>
      <c r="C110" s="370">
        <v>0</v>
      </c>
      <c r="D110" s="370">
        <v>1233700</v>
      </c>
      <c r="E110" s="370">
        <v>0</v>
      </c>
      <c r="F110" s="705"/>
      <c r="G110" s="690">
        <v>1233700</v>
      </c>
    </row>
    <row r="111" spans="1:7" x14ac:dyDescent="0.3">
      <c r="A111" s="692" t="s">
        <v>441</v>
      </c>
      <c r="B111" s="370"/>
      <c r="C111" s="370"/>
      <c r="D111" s="370">
        <v>30114000</v>
      </c>
      <c r="E111" s="370">
        <v>0</v>
      </c>
      <c r="F111" s="705"/>
      <c r="G111" s="690">
        <f>SUM(E111,D111,C111,B111)</f>
        <v>30114000</v>
      </c>
    </row>
    <row r="112" spans="1:7" x14ac:dyDescent="0.3">
      <c r="A112" s="692" t="s">
        <v>442</v>
      </c>
      <c r="B112" s="370"/>
      <c r="C112" s="370">
        <v>0</v>
      </c>
      <c r="D112" s="370">
        <v>268499900</v>
      </c>
      <c r="E112" s="370">
        <v>0</v>
      </c>
      <c r="F112" s="705"/>
      <c r="G112" s="690">
        <f>SUM(D112,E112)</f>
        <v>268499900</v>
      </c>
    </row>
    <row r="113" spans="1:7" ht="12.75" customHeight="1" x14ac:dyDescent="0.3">
      <c r="A113" s="689" t="s">
        <v>437</v>
      </c>
      <c r="B113" s="370"/>
      <c r="C113" s="370"/>
      <c r="D113" s="370"/>
      <c r="E113" s="370"/>
      <c r="F113" s="705"/>
      <c r="G113" s="690"/>
    </row>
    <row r="114" spans="1:7" ht="12.75" customHeight="1" x14ac:dyDescent="0.3">
      <c r="A114" s="689" t="s">
        <v>881</v>
      </c>
      <c r="B114" s="370"/>
      <c r="C114" s="370"/>
      <c r="D114" s="370"/>
      <c r="E114" s="370"/>
      <c r="F114" s="705"/>
      <c r="G114" s="690"/>
    </row>
    <row r="115" spans="1:7" ht="12.75" customHeight="1" x14ac:dyDescent="0.3">
      <c r="A115" s="692" t="s">
        <v>443</v>
      </c>
      <c r="B115" s="370"/>
      <c r="C115" s="370"/>
      <c r="D115" s="370"/>
      <c r="E115" s="370"/>
      <c r="F115" s="705"/>
      <c r="G115" s="690">
        <v>0</v>
      </c>
    </row>
    <row r="116" spans="1:7" x14ac:dyDescent="0.3">
      <c r="A116" s="692" t="s">
        <v>235</v>
      </c>
      <c r="B116" s="370"/>
      <c r="C116" s="370"/>
      <c r="D116" s="370"/>
      <c r="E116" s="370"/>
      <c r="F116" s="705"/>
      <c r="G116" s="690">
        <v>0</v>
      </c>
    </row>
    <row r="117" spans="1:7" ht="15.75" customHeight="1" x14ac:dyDescent="0.3">
      <c r="A117" s="693" t="s">
        <v>444</v>
      </c>
      <c r="B117" s="371"/>
      <c r="C117" s="371"/>
      <c r="D117" s="371">
        <f>SUM(D110:D112)</f>
        <v>299847600</v>
      </c>
      <c r="E117" s="371">
        <v>0</v>
      </c>
      <c r="F117" s="707"/>
      <c r="G117" s="694">
        <f>SUM(G110:G112)</f>
        <v>299847600</v>
      </c>
    </row>
    <row r="118" spans="1:7" ht="15.75" customHeight="1" thickBot="1" x14ac:dyDescent="0.35">
      <c r="A118" s="695" t="s">
        <v>445</v>
      </c>
      <c r="B118" s="696">
        <v>0</v>
      </c>
      <c r="C118" s="696">
        <v>0</v>
      </c>
      <c r="D118" s="696"/>
      <c r="E118" s="696"/>
      <c r="F118" s="708"/>
      <c r="G118" s="697">
        <v>0</v>
      </c>
    </row>
    <row r="120" spans="1:7" ht="13.5" thickBot="1" x14ac:dyDescent="0.35"/>
    <row r="121" spans="1:7" ht="17.5" x14ac:dyDescent="0.3">
      <c r="A121" s="1056" t="s">
        <v>446</v>
      </c>
      <c r="B121" s="1057"/>
      <c r="C121" s="1057"/>
      <c r="D121" s="1057"/>
      <c r="E121" s="1057"/>
      <c r="F121" s="1057"/>
      <c r="G121" s="1058"/>
    </row>
    <row r="122" spans="1:7" ht="15" x14ac:dyDescent="0.3">
      <c r="A122" s="672"/>
      <c r="B122" s="1059"/>
      <c r="C122" s="1059"/>
      <c r="D122" s="673"/>
      <c r="E122" s="673"/>
      <c r="F122" s="673"/>
      <c r="G122" s="674"/>
    </row>
    <row r="123" spans="1:7" x14ac:dyDescent="0.3">
      <c r="A123" s="675" t="s">
        <v>428</v>
      </c>
      <c r="B123" s="1060" t="s">
        <v>815</v>
      </c>
      <c r="C123" s="1060"/>
      <c r="D123" s="1060"/>
      <c r="E123" s="1060"/>
      <c r="F123" s="1060"/>
      <c r="G123" s="1061"/>
    </row>
    <row r="124" spans="1:7" x14ac:dyDescent="0.3">
      <c r="A124" s="675" t="s">
        <v>429</v>
      </c>
      <c r="B124" s="1060" t="s">
        <v>894</v>
      </c>
      <c r="C124" s="1060"/>
      <c r="D124" s="1060"/>
      <c r="E124" s="1060"/>
      <c r="F124" s="1060"/>
      <c r="G124" s="1061"/>
    </row>
    <row r="125" spans="1:7" x14ac:dyDescent="0.3">
      <c r="A125" s="675" t="s">
        <v>878</v>
      </c>
      <c r="B125" s="1060" t="s">
        <v>891</v>
      </c>
      <c r="C125" s="1060"/>
      <c r="D125" s="1060"/>
      <c r="E125" s="1060"/>
      <c r="F125" s="1060"/>
      <c r="G125" s="1061"/>
    </row>
    <row r="126" spans="1:7" ht="15.5" x14ac:dyDescent="0.3">
      <c r="A126" s="675" t="s">
        <v>880</v>
      </c>
      <c r="B126" s="1052">
        <v>448162650</v>
      </c>
      <c r="C126" s="1052"/>
      <c r="D126" s="149"/>
      <c r="E126" s="670"/>
      <c r="F126" s="670"/>
      <c r="G126" s="676"/>
    </row>
    <row r="127" spans="1:7" ht="12.75" customHeight="1" x14ac:dyDescent="0.3">
      <c r="A127" s="675" t="s">
        <v>812</v>
      </c>
      <c r="B127" s="1052" t="s">
        <v>381</v>
      </c>
      <c r="C127" s="1052"/>
      <c r="D127" s="1052"/>
      <c r="E127" s="1052"/>
      <c r="F127" s="1052"/>
      <c r="G127" s="1062"/>
    </row>
    <row r="128" spans="1:7" ht="12.75" customHeight="1" x14ac:dyDescent="0.3">
      <c r="A128" s="675" t="s">
        <v>600</v>
      </c>
      <c r="B128" s="1052" t="s">
        <v>892</v>
      </c>
      <c r="C128" s="1052"/>
      <c r="D128" s="1052"/>
      <c r="E128" s="1052"/>
      <c r="F128" s="1052"/>
      <c r="G128" s="1062"/>
    </row>
    <row r="129" spans="1:7" ht="15.5" x14ac:dyDescent="0.3">
      <c r="A129" s="675" t="s">
        <v>430</v>
      </c>
      <c r="B129" s="1053">
        <v>1</v>
      </c>
      <c r="C129" s="1053"/>
      <c r="D129" s="671"/>
      <c r="E129" s="671"/>
      <c r="F129" s="671"/>
      <c r="G129" s="676"/>
    </row>
    <row r="130" spans="1:7" ht="15.75" customHeight="1" x14ac:dyDescent="0.3">
      <c r="A130" s="675" t="s">
        <v>431</v>
      </c>
      <c r="B130" s="1054">
        <v>42887</v>
      </c>
      <c r="C130" s="1055"/>
      <c r="D130" s="669"/>
      <c r="E130" s="669"/>
      <c r="F130" s="669"/>
      <c r="G130" s="676"/>
    </row>
    <row r="131" spans="1:7" ht="15.75" customHeight="1" x14ac:dyDescent="0.3">
      <c r="A131" s="675" t="s">
        <v>432</v>
      </c>
      <c r="B131" s="1054">
        <v>43646</v>
      </c>
      <c r="C131" s="1055"/>
      <c r="D131" s="669"/>
      <c r="E131" s="669"/>
      <c r="F131" s="669"/>
      <c r="G131" s="676"/>
    </row>
    <row r="132" spans="1:7" ht="13.5" thickBot="1" x14ac:dyDescent="0.35">
      <c r="A132" s="678"/>
      <c r="B132" s="679"/>
      <c r="C132" s="679"/>
      <c r="D132" s="679"/>
      <c r="E132" s="679"/>
      <c r="F132" s="679"/>
      <c r="G132" s="680"/>
    </row>
    <row r="133" spans="1:7" ht="26" x14ac:dyDescent="0.3">
      <c r="A133" s="681" t="s">
        <v>267</v>
      </c>
      <c r="B133" s="682" t="s">
        <v>433</v>
      </c>
      <c r="C133" s="683" t="s">
        <v>434</v>
      </c>
      <c r="D133" s="683" t="s">
        <v>435</v>
      </c>
      <c r="E133" s="683" t="s">
        <v>599</v>
      </c>
      <c r="F133" s="700" t="s">
        <v>818</v>
      </c>
      <c r="G133" s="684" t="s">
        <v>405</v>
      </c>
    </row>
    <row r="134" spans="1:7" x14ac:dyDescent="0.3">
      <c r="A134" s="685" t="s">
        <v>436</v>
      </c>
      <c r="B134" s="366"/>
      <c r="C134" s="366">
        <v>448010250</v>
      </c>
      <c r="D134" s="366"/>
      <c r="E134" s="366"/>
      <c r="F134" s="701"/>
      <c r="G134" s="686">
        <v>448010250</v>
      </c>
    </row>
    <row r="135" spans="1:7" x14ac:dyDescent="0.3">
      <c r="A135" s="687" t="s">
        <v>437</v>
      </c>
      <c r="B135" s="367"/>
      <c r="C135" s="367"/>
      <c r="D135" s="367"/>
      <c r="E135" s="367"/>
      <c r="F135" s="702"/>
      <c r="G135" s="688"/>
    </row>
    <row r="136" spans="1:7" x14ac:dyDescent="0.3">
      <c r="A136" s="689" t="s">
        <v>438</v>
      </c>
      <c r="B136" s="368"/>
      <c r="C136" s="368">
        <v>448010250</v>
      </c>
      <c r="D136" s="368"/>
      <c r="E136" s="368"/>
      <c r="F136" s="703"/>
      <c r="G136" s="690">
        <v>448010250</v>
      </c>
    </row>
    <row r="137" spans="1:7" x14ac:dyDescent="0.3">
      <c r="A137" s="689"/>
      <c r="B137" s="368"/>
      <c r="C137" s="368"/>
      <c r="D137" s="368"/>
      <c r="E137" s="368"/>
      <c r="F137" s="703"/>
      <c r="G137" s="690"/>
    </row>
    <row r="138" spans="1:7" x14ac:dyDescent="0.3">
      <c r="A138" s="685" t="s">
        <v>439</v>
      </c>
      <c r="B138" s="369"/>
      <c r="C138" s="369">
        <v>8547350</v>
      </c>
      <c r="D138" s="369">
        <f>SUM(D139:D147)</f>
        <v>226686641</v>
      </c>
      <c r="E138" s="369">
        <f>SUM(E139:E147)</f>
        <v>212776259</v>
      </c>
      <c r="F138" s="704"/>
      <c r="G138" s="691">
        <f>SUM(B138:E138)</f>
        <v>448010250</v>
      </c>
    </row>
    <row r="139" spans="1:7" x14ac:dyDescent="0.3">
      <c r="A139" s="687" t="s">
        <v>437</v>
      </c>
      <c r="B139" s="367"/>
      <c r="C139" s="367"/>
      <c r="D139" s="367"/>
      <c r="E139" s="367"/>
      <c r="F139" s="702"/>
      <c r="G139" s="688"/>
    </row>
    <row r="140" spans="1:7" x14ac:dyDescent="0.3">
      <c r="A140" s="692" t="s">
        <v>440</v>
      </c>
      <c r="B140" s="370"/>
      <c r="C140" s="370">
        <v>0</v>
      </c>
      <c r="D140" s="370">
        <v>0</v>
      </c>
      <c r="E140" s="370">
        <v>0</v>
      </c>
      <c r="F140" s="705"/>
      <c r="G140" s="690">
        <v>0</v>
      </c>
    </row>
    <row r="141" spans="1:7" ht="12.75" customHeight="1" x14ac:dyDescent="0.3">
      <c r="A141" s="692" t="s">
        <v>206</v>
      </c>
      <c r="B141" s="370"/>
      <c r="C141" s="370">
        <v>0</v>
      </c>
      <c r="D141" s="370">
        <v>0</v>
      </c>
      <c r="E141" s="370">
        <v>0</v>
      </c>
      <c r="F141" s="705"/>
      <c r="G141" s="690">
        <v>0</v>
      </c>
    </row>
    <row r="142" spans="1:7" ht="12.75" customHeight="1" x14ac:dyDescent="0.3">
      <c r="A142" s="692" t="s">
        <v>441</v>
      </c>
      <c r="B142" s="370"/>
      <c r="C142" s="370">
        <v>8547350</v>
      </c>
      <c r="D142" s="370">
        <v>28950816</v>
      </c>
      <c r="E142" s="370">
        <v>15040434</v>
      </c>
      <c r="F142" s="705"/>
      <c r="G142" s="690">
        <f>SUM(E142,D142,C142,B142)</f>
        <v>52538600</v>
      </c>
    </row>
    <row r="143" spans="1:7" ht="12.75" customHeight="1" x14ac:dyDescent="0.3">
      <c r="A143" s="692" t="s">
        <v>442</v>
      </c>
      <c r="B143" s="370"/>
      <c r="C143" s="370">
        <v>0</v>
      </c>
      <c r="D143" s="370">
        <v>197735825</v>
      </c>
      <c r="E143" s="370">
        <v>197735825</v>
      </c>
      <c r="F143" s="705"/>
      <c r="G143" s="690">
        <f>SUM(D143,E143)</f>
        <v>395471650</v>
      </c>
    </row>
    <row r="144" spans="1:7" x14ac:dyDescent="0.3">
      <c r="A144" s="689" t="s">
        <v>437</v>
      </c>
      <c r="B144" s="370"/>
      <c r="C144" s="370"/>
      <c r="D144" s="370"/>
      <c r="E144" s="370"/>
      <c r="F144" s="705"/>
      <c r="G144" s="690"/>
    </row>
    <row r="145" spans="1:7" ht="15.75" customHeight="1" x14ac:dyDescent="0.3">
      <c r="A145" s="689" t="s">
        <v>881</v>
      </c>
      <c r="B145" s="370"/>
      <c r="C145" s="370"/>
      <c r="D145" s="370"/>
      <c r="E145" s="370"/>
      <c r="F145" s="705"/>
      <c r="G145" s="690"/>
    </row>
    <row r="146" spans="1:7" x14ac:dyDescent="0.3">
      <c r="A146" s="692" t="s">
        <v>443</v>
      </c>
      <c r="B146" s="370"/>
      <c r="C146" s="370"/>
      <c r="D146" s="370"/>
      <c r="E146" s="370"/>
      <c r="F146" s="705"/>
      <c r="G146" s="690">
        <v>0</v>
      </c>
    </row>
    <row r="147" spans="1:7" x14ac:dyDescent="0.3">
      <c r="A147" s="692" t="s">
        <v>235</v>
      </c>
      <c r="B147" s="370"/>
      <c r="C147" s="370"/>
      <c r="D147" s="370"/>
      <c r="E147" s="370"/>
      <c r="F147" s="705"/>
      <c r="G147" s="690">
        <v>0</v>
      </c>
    </row>
    <row r="148" spans="1:7" ht="27" x14ac:dyDescent="0.3">
      <c r="A148" s="693" t="s">
        <v>444</v>
      </c>
      <c r="B148" s="371"/>
      <c r="C148" s="371">
        <v>8547350</v>
      </c>
      <c r="D148" s="371">
        <f>SUM(D142,D143)</f>
        <v>226686641</v>
      </c>
      <c r="E148" s="371">
        <f>SUM(E142,E143)</f>
        <v>212776259</v>
      </c>
      <c r="F148" s="707"/>
      <c r="G148" s="694">
        <f>SUM(G142,G143)</f>
        <v>448010250</v>
      </c>
    </row>
    <row r="149" spans="1:7" ht="27.5" thickBot="1" x14ac:dyDescent="0.35">
      <c r="A149" s="695" t="s">
        <v>895</v>
      </c>
      <c r="B149" s="696">
        <v>0</v>
      </c>
      <c r="C149" s="696">
        <v>0</v>
      </c>
      <c r="D149" s="696"/>
      <c r="E149" s="696">
        <v>152400</v>
      </c>
      <c r="F149" s="708"/>
      <c r="G149" s="697">
        <v>152400</v>
      </c>
    </row>
    <row r="151" spans="1:7" ht="13.5" thickBot="1" x14ac:dyDescent="0.35"/>
    <row r="152" spans="1:7" ht="17.5" x14ac:dyDescent="0.3">
      <c r="A152" s="1056" t="s">
        <v>446</v>
      </c>
      <c r="B152" s="1057"/>
      <c r="C152" s="1057"/>
      <c r="D152" s="1057"/>
      <c r="E152" s="1057"/>
      <c r="F152" s="1057"/>
      <c r="G152" s="1058"/>
    </row>
    <row r="153" spans="1:7" ht="15" x14ac:dyDescent="0.3">
      <c r="A153" s="672"/>
      <c r="B153" s="1059"/>
      <c r="C153" s="1059"/>
      <c r="D153" s="698"/>
      <c r="E153" s="698"/>
      <c r="F153" s="698"/>
      <c r="G153" s="699"/>
    </row>
    <row r="154" spans="1:7" x14ac:dyDescent="0.3">
      <c r="A154" s="675" t="s">
        <v>428</v>
      </c>
      <c r="B154" s="1060" t="s">
        <v>810</v>
      </c>
      <c r="C154" s="1060"/>
      <c r="D154" s="1060"/>
      <c r="E154" s="1060"/>
      <c r="F154" s="1060"/>
      <c r="G154" s="1061"/>
    </row>
    <row r="155" spans="1:7" x14ac:dyDescent="0.3">
      <c r="A155" s="675" t="s">
        <v>882</v>
      </c>
      <c r="B155" s="1060" t="s">
        <v>811</v>
      </c>
      <c r="C155" s="1060"/>
      <c r="D155" s="1060"/>
      <c r="E155" s="1060"/>
      <c r="F155" s="1060"/>
      <c r="G155" s="1061"/>
    </row>
    <row r="156" spans="1:7" x14ac:dyDescent="0.3">
      <c r="A156" s="675" t="s">
        <v>878</v>
      </c>
      <c r="B156" s="1060" t="s">
        <v>896</v>
      </c>
      <c r="C156" s="1060"/>
      <c r="D156" s="1060"/>
      <c r="E156" s="1060"/>
      <c r="F156" s="1060"/>
      <c r="G156" s="1061"/>
    </row>
    <row r="157" spans="1:7" ht="15.5" x14ac:dyDescent="0.3">
      <c r="A157" s="675" t="s">
        <v>880</v>
      </c>
      <c r="B157" s="1052" t="s">
        <v>897</v>
      </c>
      <c r="C157" s="1052"/>
      <c r="D157" s="149"/>
      <c r="E157" s="149"/>
      <c r="F157" s="149"/>
      <c r="G157" s="676"/>
    </row>
    <row r="158" spans="1:7" ht="12.75" customHeight="1" x14ac:dyDescent="0.3">
      <c r="A158" s="675" t="s">
        <v>812</v>
      </c>
      <c r="B158" s="1052" t="s">
        <v>381</v>
      </c>
      <c r="C158" s="1052"/>
      <c r="D158" s="1052"/>
      <c r="E158" s="670"/>
      <c r="F158" s="670"/>
      <c r="G158" s="676"/>
    </row>
    <row r="159" spans="1:7" ht="12.75" customHeight="1" x14ac:dyDescent="0.3">
      <c r="A159" s="675" t="s">
        <v>430</v>
      </c>
      <c r="B159" s="1053">
        <v>1</v>
      </c>
      <c r="C159" s="1053"/>
      <c r="D159" s="671"/>
      <c r="E159" s="671"/>
      <c r="F159" s="671"/>
      <c r="G159" s="676"/>
    </row>
    <row r="160" spans="1:7" ht="15.5" x14ac:dyDescent="0.3">
      <c r="A160" s="675" t="s">
        <v>431</v>
      </c>
      <c r="B160" s="1054">
        <v>42887</v>
      </c>
      <c r="C160" s="1055"/>
      <c r="D160" s="669"/>
      <c r="E160" s="669"/>
      <c r="F160" s="669"/>
      <c r="G160" s="676"/>
    </row>
    <row r="161" spans="1:7" ht="15.75" customHeight="1" x14ac:dyDescent="0.3">
      <c r="A161" s="675" t="s">
        <v>432</v>
      </c>
      <c r="B161" s="1054">
        <v>43524</v>
      </c>
      <c r="C161" s="1055"/>
      <c r="D161" s="669"/>
      <c r="E161" s="669"/>
      <c r="F161" s="669"/>
      <c r="G161" s="676"/>
    </row>
    <row r="162" spans="1:7" ht="15.75" customHeight="1" thickBot="1" x14ac:dyDescent="0.35">
      <c r="A162" s="678"/>
      <c r="B162" s="679"/>
      <c r="C162" s="679"/>
      <c r="D162" s="679"/>
      <c r="E162" s="679"/>
      <c r="F162" s="679"/>
      <c r="G162" s="680"/>
    </row>
    <row r="163" spans="1:7" ht="26" x14ac:dyDescent="0.3">
      <c r="A163" s="681" t="s">
        <v>267</v>
      </c>
      <c r="B163" s="682" t="s">
        <v>433</v>
      </c>
      <c r="C163" s="683" t="s">
        <v>885</v>
      </c>
      <c r="D163" s="683" t="s">
        <v>435</v>
      </c>
      <c r="E163" s="700" t="s">
        <v>599</v>
      </c>
      <c r="F163" s="700" t="s">
        <v>818</v>
      </c>
      <c r="G163" s="684" t="s">
        <v>405</v>
      </c>
    </row>
    <row r="164" spans="1:7" x14ac:dyDescent="0.3">
      <c r="A164" s="685" t="s">
        <v>436</v>
      </c>
      <c r="B164" s="366"/>
      <c r="C164" s="366">
        <v>60000000</v>
      </c>
      <c r="D164" s="366"/>
      <c r="E164" s="701"/>
      <c r="F164" s="701"/>
      <c r="G164" s="686">
        <f>C164</f>
        <v>60000000</v>
      </c>
    </row>
    <row r="165" spans="1:7" x14ac:dyDescent="0.3">
      <c r="A165" s="687" t="s">
        <v>437</v>
      </c>
      <c r="B165" s="367"/>
      <c r="C165" s="367"/>
      <c r="D165" s="367"/>
      <c r="E165" s="702"/>
      <c r="F165" s="702"/>
      <c r="G165" s="688"/>
    </row>
    <row r="166" spans="1:7" x14ac:dyDescent="0.3">
      <c r="A166" s="689" t="s">
        <v>438</v>
      </c>
      <c r="B166" s="368"/>
      <c r="C166" s="368">
        <f>C164</f>
        <v>60000000</v>
      </c>
      <c r="D166" s="368"/>
      <c r="E166" s="703"/>
      <c r="F166" s="703"/>
      <c r="G166" s="690"/>
    </row>
    <row r="167" spans="1:7" x14ac:dyDescent="0.3">
      <c r="A167" s="689"/>
      <c r="B167" s="368"/>
      <c r="C167" s="368"/>
      <c r="D167" s="368"/>
      <c r="E167" s="703"/>
      <c r="F167" s="703"/>
      <c r="G167" s="690"/>
    </row>
    <row r="168" spans="1:7" ht="25.5" customHeight="1" x14ac:dyDescent="0.3">
      <c r="A168" s="685" t="s">
        <v>439</v>
      </c>
      <c r="B168" s="369">
        <f>SUM(B169:B177)</f>
        <v>2603500</v>
      </c>
      <c r="C168" s="369">
        <f>SUM(C172,C173)</f>
        <v>4124125</v>
      </c>
      <c r="D168" s="369">
        <f>SUM(D175,D173,D172)</f>
        <v>53272375</v>
      </c>
      <c r="E168" s="704"/>
      <c r="F168" s="704"/>
      <c r="G168" s="691">
        <f>SUM(B168:D168)</f>
        <v>60000000</v>
      </c>
    </row>
    <row r="169" spans="1:7" ht="12.75" customHeight="1" x14ac:dyDescent="0.3">
      <c r="A169" s="687" t="s">
        <v>437</v>
      </c>
      <c r="B169" s="367"/>
      <c r="C169" s="367"/>
      <c r="D169" s="367"/>
      <c r="E169" s="702"/>
      <c r="F169" s="702"/>
      <c r="G169" s="688"/>
    </row>
    <row r="170" spans="1:7" ht="12.75" customHeight="1" x14ac:dyDescent="0.3">
      <c r="A170" s="692" t="s">
        <v>440</v>
      </c>
      <c r="B170" s="370"/>
      <c r="C170" s="370">
        <v>0</v>
      </c>
      <c r="D170" s="370">
        <v>0</v>
      </c>
      <c r="E170" s="705"/>
      <c r="F170" s="705"/>
      <c r="G170" s="690">
        <v>0</v>
      </c>
    </row>
    <row r="171" spans="1:7" ht="26" x14ac:dyDescent="0.3">
      <c r="A171" s="692" t="s">
        <v>206</v>
      </c>
      <c r="B171" s="370"/>
      <c r="C171" s="370">
        <v>0</v>
      </c>
      <c r="D171" s="370">
        <v>0</v>
      </c>
      <c r="E171" s="705"/>
      <c r="F171" s="705"/>
      <c r="G171" s="690">
        <v>0</v>
      </c>
    </row>
    <row r="172" spans="1:7" ht="15.75" customHeight="1" x14ac:dyDescent="0.3">
      <c r="A172" s="692" t="s">
        <v>441</v>
      </c>
      <c r="B172" s="370">
        <v>2603500</v>
      </c>
      <c r="C172" s="370">
        <v>4124125</v>
      </c>
      <c r="D172" s="370"/>
      <c r="E172" s="705"/>
      <c r="F172" s="705"/>
      <c r="G172" s="690">
        <f>SUM(B172,C172,D172)</f>
        <v>6727625</v>
      </c>
    </row>
    <row r="173" spans="1:7" x14ac:dyDescent="0.3">
      <c r="A173" s="692" t="s">
        <v>442</v>
      </c>
      <c r="B173" s="370"/>
      <c r="C173" s="370"/>
      <c r="D173" s="370">
        <v>43607611</v>
      </c>
      <c r="E173" s="705"/>
      <c r="F173" s="705"/>
      <c r="G173" s="690">
        <f>SUM(C173:D173)</f>
        <v>43607611</v>
      </c>
    </row>
    <row r="174" spans="1:7" x14ac:dyDescent="0.3">
      <c r="A174" s="689" t="s">
        <v>437</v>
      </c>
      <c r="B174" s="370"/>
      <c r="C174" s="370"/>
      <c r="D174" s="370"/>
      <c r="E174" s="705"/>
      <c r="F174" s="705"/>
      <c r="G174" s="690"/>
    </row>
    <row r="175" spans="1:7" x14ac:dyDescent="0.3">
      <c r="A175" s="689" t="s">
        <v>881</v>
      </c>
      <c r="B175" s="370"/>
      <c r="C175" s="370"/>
      <c r="D175" s="370">
        <v>9664764</v>
      </c>
      <c r="E175" s="705"/>
      <c r="F175" s="705"/>
      <c r="G175" s="690">
        <v>9664764</v>
      </c>
    </row>
    <row r="176" spans="1:7" x14ac:dyDescent="0.3">
      <c r="A176" s="692" t="s">
        <v>443</v>
      </c>
      <c r="B176" s="370"/>
      <c r="C176" s="370"/>
      <c r="D176" s="370"/>
      <c r="E176" s="705"/>
      <c r="F176" s="705"/>
      <c r="G176" s="690">
        <v>0</v>
      </c>
    </row>
    <row r="177" spans="1:7" x14ac:dyDescent="0.3">
      <c r="A177" s="692" t="s">
        <v>235</v>
      </c>
      <c r="B177" s="370"/>
      <c r="C177" s="370"/>
      <c r="D177" s="370"/>
      <c r="E177" s="705"/>
      <c r="F177" s="705"/>
      <c r="G177" s="690">
        <v>0</v>
      </c>
    </row>
    <row r="178" spans="1:7" ht="27" x14ac:dyDescent="0.3">
      <c r="A178" s="693" t="s">
        <v>444</v>
      </c>
      <c r="B178" s="371">
        <v>2603500</v>
      </c>
      <c r="C178" s="371">
        <v>4124125</v>
      </c>
      <c r="D178" s="371">
        <v>53272375</v>
      </c>
      <c r="E178" s="707"/>
      <c r="F178" s="707"/>
      <c r="G178" s="694">
        <f>SUM(B178,C178,D178)</f>
        <v>60000000</v>
      </c>
    </row>
    <row r="179" spans="1:7" ht="27.5" thickBot="1" x14ac:dyDescent="0.35">
      <c r="A179" s="695" t="s">
        <v>445</v>
      </c>
      <c r="B179" s="696">
        <v>0</v>
      </c>
      <c r="C179" s="696">
        <v>0</v>
      </c>
      <c r="D179" s="696"/>
      <c r="E179" s="708"/>
      <c r="F179" s="708"/>
      <c r="G179" s="697">
        <v>0</v>
      </c>
    </row>
    <row r="181" spans="1:7" ht="13.5" thickBot="1" x14ac:dyDescent="0.35"/>
    <row r="182" spans="1:7" ht="17.5" x14ac:dyDescent="0.3">
      <c r="A182" s="1056" t="s">
        <v>446</v>
      </c>
      <c r="B182" s="1057"/>
      <c r="C182" s="1057"/>
      <c r="D182" s="1057"/>
      <c r="E182" s="1057"/>
      <c r="F182" s="1057"/>
      <c r="G182" s="1058"/>
    </row>
    <row r="183" spans="1:7" ht="15" x14ac:dyDescent="0.3">
      <c r="A183" s="672"/>
      <c r="B183" s="1059"/>
      <c r="C183" s="1059"/>
      <c r="D183" s="673"/>
      <c r="E183" s="673"/>
      <c r="F183" s="673"/>
      <c r="G183" s="674"/>
    </row>
    <row r="184" spans="1:7" x14ac:dyDescent="0.3">
      <c r="A184" s="675" t="s">
        <v>428</v>
      </c>
      <c r="B184" s="1060" t="s">
        <v>898</v>
      </c>
      <c r="C184" s="1060"/>
      <c r="D184" s="1060"/>
      <c r="E184" s="1060"/>
      <c r="F184" s="1060"/>
      <c r="G184" s="1061"/>
    </row>
    <row r="185" spans="1:7" x14ac:dyDescent="0.3">
      <c r="A185" s="675" t="s">
        <v>429</v>
      </c>
      <c r="B185" s="1060" t="s">
        <v>899</v>
      </c>
      <c r="C185" s="1060"/>
      <c r="D185" s="1060"/>
      <c r="E185" s="1060"/>
      <c r="F185" s="1060"/>
      <c r="G185" s="1061"/>
    </row>
    <row r="186" spans="1:7" x14ac:dyDescent="0.3">
      <c r="A186" s="675" t="s">
        <v>878</v>
      </c>
      <c r="B186" s="1060" t="s">
        <v>900</v>
      </c>
      <c r="C186" s="1060"/>
      <c r="D186" s="1060"/>
      <c r="E186" s="1060"/>
      <c r="F186" s="1060"/>
      <c r="G186" s="1061"/>
    </row>
    <row r="187" spans="1:7" ht="15.5" x14ac:dyDescent="0.3">
      <c r="A187" s="675" t="s">
        <v>880</v>
      </c>
      <c r="B187" s="1052">
        <v>92691160</v>
      </c>
      <c r="C187" s="1052"/>
      <c r="D187" s="149"/>
      <c r="E187" s="670"/>
      <c r="F187" s="670"/>
      <c r="G187" s="676"/>
    </row>
    <row r="188" spans="1:7" ht="15.5" x14ac:dyDescent="0.3">
      <c r="A188" s="675" t="s">
        <v>812</v>
      </c>
      <c r="B188" s="1052" t="s">
        <v>381</v>
      </c>
      <c r="C188" s="1052"/>
      <c r="D188" s="1052"/>
      <c r="E188" s="677"/>
      <c r="F188" s="677"/>
      <c r="G188" s="676"/>
    </row>
    <row r="189" spans="1:7" ht="12.75" customHeight="1" x14ac:dyDescent="0.3">
      <c r="A189" s="675" t="s">
        <v>600</v>
      </c>
      <c r="B189" s="1052" t="s">
        <v>901</v>
      </c>
      <c r="C189" s="1052"/>
      <c r="D189" s="1052"/>
      <c r="E189" s="677"/>
      <c r="F189" s="677"/>
      <c r="G189" s="676"/>
    </row>
    <row r="190" spans="1:7" ht="12.75" customHeight="1" x14ac:dyDescent="0.3">
      <c r="A190" s="675" t="s">
        <v>430</v>
      </c>
      <c r="B190" s="1053">
        <v>1</v>
      </c>
      <c r="C190" s="1053"/>
      <c r="D190" s="671"/>
      <c r="E190" s="671"/>
      <c r="F190" s="671"/>
      <c r="G190" s="676"/>
    </row>
    <row r="191" spans="1:7" ht="15.5" x14ac:dyDescent="0.3">
      <c r="A191" s="675" t="s">
        <v>431</v>
      </c>
      <c r="B191" s="1054">
        <v>42948</v>
      </c>
      <c r="C191" s="1055"/>
      <c r="D191" s="669"/>
      <c r="E191" s="669"/>
      <c r="F191" s="669"/>
      <c r="G191" s="676"/>
    </row>
    <row r="192" spans="1:7" ht="27.75" customHeight="1" x14ac:dyDescent="0.3">
      <c r="A192" s="675" t="s">
        <v>432</v>
      </c>
      <c r="B192" s="1054">
        <v>44043</v>
      </c>
      <c r="C192" s="1055"/>
      <c r="D192" s="669"/>
      <c r="E192" s="669"/>
      <c r="F192" s="669"/>
      <c r="G192" s="676"/>
    </row>
    <row r="193" spans="1:7" ht="15.75" customHeight="1" thickBot="1" x14ac:dyDescent="0.35">
      <c r="A193" s="678"/>
      <c r="B193" s="679"/>
      <c r="C193" s="679"/>
      <c r="D193" s="679"/>
      <c r="E193" s="679"/>
      <c r="F193" s="679"/>
      <c r="G193" s="680"/>
    </row>
    <row r="194" spans="1:7" ht="26" x14ac:dyDescent="0.3">
      <c r="A194" s="681" t="s">
        <v>267</v>
      </c>
      <c r="B194" s="682" t="s">
        <v>433</v>
      </c>
      <c r="C194" s="683" t="s">
        <v>434</v>
      </c>
      <c r="D194" s="683" t="s">
        <v>435</v>
      </c>
      <c r="E194" s="683" t="s">
        <v>599</v>
      </c>
      <c r="F194" s="683" t="s">
        <v>818</v>
      </c>
      <c r="G194" s="684" t="s">
        <v>405</v>
      </c>
    </row>
    <row r="195" spans="1:7" x14ac:dyDescent="0.3">
      <c r="A195" s="685" t="s">
        <v>436</v>
      </c>
      <c r="B195" s="366"/>
      <c r="C195" s="366">
        <v>81983560</v>
      </c>
      <c r="D195" s="366"/>
      <c r="E195" s="366"/>
      <c r="F195" s="366"/>
      <c r="G195" s="686">
        <f>SUM(C195:F195)</f>
        <v>81983560</v>
      </c>
    </row>
    <row r="196" spans="1:7" x14ac:dyDescent="0.3">
      <c r="A196" s="687" t="s">
        <v>437</v>
      </c>
      <c r="B196" s="367"/>
      <c r="C196" s="367"/>
      <c r="D196" s="367"/>
      <c r="E196" s="367"/>
      <c r="F196" s="367"/>
      <c r="G196" s="688"/>
    </row>
    <row r="197" spans="1:7" x14ac:dyDescent="0.3">
      <c r="A197" s="689" t="s">
        <v>438</v>
      </c>
      <c r="B197" s="368"/>
      <c r="C197" s="368">
        <v>81983560</v>
      </c>
      <c r="D197" s="368"/>
      <c r="E197" s="368"/>
      <c r="F197" s="368"/>
      <c r="G197" s="690">
        <f>SUM(C197:F197)</f>
        <v>81983560</v>
      </c>
    </row>
    <row r="198" spans="1:7" x14ac:dyDescent="0.3">
      <c r="A198" s="689"/>
      <c r="B198" s="368"/>
      <c r="C198" s="368"/>
      <c r="D198" s="368"/>
      <c r="E198" s="368"/>
      <c r="F198" s="368"/>
      <c r="G198" s="690"/>
    </row>
    <row r="199" spans="1:7" x14ac:dyDescent="0.3">
      <c r="A199" s="685" t="s">
        <v>439</v>
      </c>
      <c r="B199" s="369"/>
      <c r="C199" s="369">
        <f>SUM(C200:C209)</f>
        <v>2286000</v>
      </c>
      <c r="D199" s="369">
        <f>SUM(D201:D204)</f>
        <v>28640680</v>
      </c>
      <c r="E199" s="369">
        <f>SUM(E201:E204)</f>
        <v>33391040</v>
      </c>
      <c r="F199" s="369">
        <f>SUM(F201:F204)</f>
        <v>17665840</v>
      </c>
      <c r="G199" s="691">
        <f>SUM(B199:F199)</f>
        <v>81983560</v>
      </c>
    </row>
    <row r="200" spans="1:7" x14ac:dyDescent="0.3">
      <c r="A200" s="687" t="s">
        <v>437</v>
      </c>
      <c r="B200" s="367"/>
      <c r="C200" s="367"/>
      <c r="D200" s="367"/>
      <c r="E200" s="367"/>
      <c r="F200" s="367"/>
      <c r="G200" s="688"/>
    </row>
    <row r="201" spans="1:7" x14ac:dyDescent="0.3">
      <c r="A201" s="692" t="s">
        <v>440</v>
      </c>
      <c r="B201" s="370"/>
      <c r="C201" s="370">
        <v>0</v>
      </c>
      <c r="D201" s="370">
        <v>8360000</v>
      </c>
      <c r="E201" s="370">
        <v>8360000</v>
      </c>
      <c r="F201" s="370">
        <v>4180000</v>
      </c>
      <c r="G201" s="690">
        <f>SUM(C201:F201)</f>
        <v>20900000</v>
      </c>
    </row>
    <row r="202" spans="1:7" ht="26" x14ac:dyDescent="0.3">
      <c r="A202" s="692" t="s">
        <v>206</v>
      </c>
      <c r="B202" s="370"/>
      <c r="C202" s="370">
        <v>0</v>
      </c>
      <c r="D202" s="370">
        <v>2264400</v>
      </c>
      <c r="E202" s="370">
        <v>2264400</v>
      </c>
      <c r="F202" s="370">
        <v>1132200</v>
      </c>
      <c r="G202" s="690">
        <f>SUM(D202:F202)</f>
        <v>5661000</v>
      </c>
    </row>
    <row r="203" spans="1:7" x14ac:dyDescent="0.3">
      <c r="A203" s="692" t="s">
        <v>441</v>
      </c>
      <c r="B203" s="370"/>
      <c r="C203" s="370">
        <v>2286000</v>
      </c>
      <c r="D203" s="370">
        <v>18016280</v>
      </c>
      <c r="E203" s="370">
        <v>15146640</v>
      </c>
      <c r="F203" s="370">
        <v>12353640</v>
      </c>
      <c r="G203" s="690">
        <f>SUM(B203:F203)</f>
        <v>47802560</v>
      </c>
    </row>
    <row r="204" spans="1:7" x14ac:dyDescent="0.3">
      <c r="A204" s="692" t="s">
        <v>442</v>
      </c>
      <c r="B204" s="370"/>
      <c r="C204" s="370">
        <v>0</v>
      </c>
      <c r="D204" s="370"/>
      <c r="E204" s="370">
        <v>7620000</v>
      </c>
      <c r="F204" s="370">
        <v>0</v>
      </c>
      <c r="G204" s="690">
        <f>SUM(C204:F204)</f>
        <v>7620000</v>
      </c>
    </row>
    <row r="205" spans="1:7" x14ac:dyDescent="0.3">
      <c r="A205" s="689" t="s">
        <v>437</v>
      </c>
      <c r="B205" s="370"/>
      <c r="C205" s="370"/>
      <c r="D205" s="370"/>
      <c r="E205" s="370"/>
      <c r="F205" s="370"/>
      <c r="G205" s="690"/>
    </row>
    <row r="206" spans="1:7" x14ac:dyDescent="0.3">
      <c r="A206" s="689" t="s">
        <v>881</v>
      </c>
      <c r="B206" s="370"/>
      <c r="C206" s="370"/>
      <c r="D206" s="370"/>
      <c r="E206" s="370">
        <v>7620000</v>
      </c>
      <c r="F206" s="370"/>
      <c r="G206" s="690">
        <v>0</v>
      </c>
    </row>
    <row r="207" spans="1:7" x14ac:dyDescent="0.3">
      <c r="A207" s="689" t="s">
        <v>902</v>
      </c>
      <c r="B207" s="370"/>
      <c r="C207" s="370"/>
      <c r="D207" s="370"/>
      <c r="E207" s="370"/>
      <c r="F207" s="370">
        <v>0</v>
      </c>
      <c r="G207" s="690">
        <v>0</v>
      </c>
    </row>
    <row r="208" spans="1:7" x14ac:dyDescent="0.3">
      <c r="A208" s="692" t="s">
        <v>443</v>
      </c>
      <c r="B208" s="370"/>
      <c r="C208" s="370"/>
      <c r="D208" s="370"/>
      <c r="E208" s="370"/>
      <c r="F208" s="370"/>
      <c r="G208" s="690">
        <v>0</v>
      </c>
    </row>
    <row r="209" spans="1:7" x14ac:dyDescent="0.3">
      <c r="A209" s="692" t="s">
        <v>235</v>
      </c>
      <c r="B209" s="370"/>
      <c r="C209" s="370"/>
      <c r="D209" s="370"/>
      <c r="E209" s="370"/>
      <c r="F209" s="370"/>
      <c r="G209" s="690">
        <v>0</v>
      </c>
    </row>
    <row r="210" spans="1:7" ht="27" x14ac:dyDescent="0.3">
      <c r="A210" s="693" t="s">
        <v>444</v>
      </c>
      <c r="B210" s="371"/>
      <c r="C210" s="371">
        <v>2286000</v>
      </c>
      <c r="D210" s="371">
        <v>26227680</v>
      </c>
      <c r="E210" s="371">
        <v>33391040</v>
      </c>
      <c r="F210" s="371">
        <v>0</v>
      </c>
      <c r="G210" s="694">
        <f>SUM(G201:G204)</f>
        <v>81983560</v>
      </c>
    </row>
    <row r="211" spans="1:7" ht="13.5" x14ac:dyDescent="0.3">
      <c r="A211" s="712" t="s">
        <v>903</v>
      </c>
      <c r="B211" s="713"/>
      <c r="C211" s="713"/>
      <c r="D211" s="713"/>
      <c r="E211" s="713"/>
      <c r="F211" s="713">
        <v>4200000</v>
      </c>
      <c r="G211" s="714"/>
    </row>
    <row r="212" spans="1:7" ht="27.5" thickBot="1" x14ac:dyDescent="0.35">
      <c r="A212" s="695" t="s">
        <v>445</v>
      </c>
      <c r="B212" s="696">
        <v>0</v>
      </c>
      <c r="C212" s="696">
        <v>0</v>
      </c>
      <c r="D212" s="696"/>
      <c r="E212" s="696"/>
      <c r="F212" s="696"/>
      <c r="G212" s="697"/>
    </row>
    <row r="214" spans="1:7" ht="13.5" thickBot="1" x14ac:dyDescent="0.35"/>
    <row r="215" spans="1:7" ht="17.5" x14ac:dyDescent="0.3">
      <c r="A215" s="1056" t="s">
        <v>446</v>
      </c>
      <c r="B215" s="1057"/>
      <c r="C215" s="1057"/>
      <c r="D215" s="1057"/>
      <c r="E215" s="1057"/>
      <c r="F215" s="1057"/>
      <c r="G215" s="1058"/>
    </row>
    <row r="216" spans="1:7" ht="15" x14ac:dyDescent="0.3">
      <c r="A216" s="672"/>
      <c r="B216" s="1059"/>
      <c r="C216" s="1059"/>
      <c r="D216" s="673"/>
      <c r="E216" s="673"/>
      <c r="F216" s="673"/>
      <c r="G216" s="674"/>
    </row>
    <row r="217" spans="1:7" x14ac:dyDescent="0.3">
      <c r="A217" s="675" t="s">
        <v>428</v>
      </c>
      <c r="B217" s="1060" t="s">
        <v>904</v>
      </c>
      <c r="C217" s="1060"/>
      <c r="D217" s="1060"/>
      <c r="E217" s="1060"/>
      <c r="F217" s="1060"/>
      <c r="G217" s="1061"/>
    </row>
    <row r="218" spans="1:7" x14ac:dyDescent="0.3">
      <c r="A218" s="675" t="s">
        <v>429</v>
      </c>
      <c r="B218" s="1060" t="s">
        <v>905</v>
      </c>
      <c r="C218" s="1060"/>
      <c r="D218" s="1060"/>
      <c r="E218" s="1060"/>
      <c r="F218" s="1060"/>
      <c r="G218" s="1061"/>
    </row>
    <row r="219" spans="1:7" x14ac:dyDescent="0.3">
      <c r="A219" s="675" t="s">
        <v>878</v>
      </c>
      <c r="B219" s="1060" t="s">
        <v>906</v>
      </c>
      <c r="C219" s="1060"/>
      <c r="D219" s="1060"/>
      <c r="E219" s="1060"/>
      <c r="F219" s="1060"/>
      <c r="G219" s="1061"/>
    </row>
    <row r="220" spans="1:7" ht="15.5" x14ac:dyDescent="0.3">
      <c r="A220" s="675" t="s">
        <v>880</v>
      </c>
      <c r="B220" s="1052">
        <v>138476957</v>
      </c>
      <c r="C220" s="1052"/>
      <c r="D220" s="149"/>
      <c r="E220" s="670"/>
      <c r="F220" s="670"/>
      <c r="G220" s="676"/>
    </row>
    <row r="221" spans="1:7" ht="15.5" x14ac:dyDescent="0.3">
      <c r="A221" s="675" t="s">
        <v>812</v>
      </c>
      <c r="B221" s="1052" t="s">
        <v>381</v>
      </c>
      <c r="C221" s="1052"/>
      <c r="D221" s="1052"/>
      <c r="E221" s="677"/>
      <c r="F221" s="677"/>
      <c r="G221" s="676"/>
    </row>
    <row r="222" spans="1:7" ht="15.5" x14ac:dyDescent="0.3">
      <c r="A222" s="675" t="s">
        <v>430</v>
      </c>
      <c r="B222" s="1053">
        <v>1</v>
      </c>
      <c r="C222" s="1053"/>
      <c r="D222" s="671"/>
      <c r="E222" s="671"/>
      <c r="F222" s="671"/>
      <c r="G222" s="676"/>
    </row>
    <row r="223" spans="1:7" ht="15.5" x14ac:dyDescent="0.3">
      <c r="A223" s="675" t="s">
        <v>431</v>
      </c>
      <c r="B223" s="1054">
        <v>42948</v>
      </c>
      <c r="C223" s="1055"/>
      <c r="D223" s="669"/>
      <c r="E223" s="669"/>
      <c r="F223" s="669"/>
      <c r="G223" s="676"/>
    </row>
    <row r="224" spans="1:7" ht="15.5" x14ac:dyDescent="0.3">
      <c r="A224" s="675" t="s">
        <v>432</v>
      </c>
      <c r="B224" s="1054">
        <v>43404</v>
      </c>
      <c r="C224" s="1055"/>
      <c r="D224" s="669"/>
      <c r="E224" s="669"/>
      <c r="F224" s="669"/>
      <c r="G224" s="676"/>
    </row>
    <row r="225" spans="1:7" ht="13.5" thickBot="1" x14ac:dyDescent="0.35">
      <c r="A225" s="678"/>
      <c r="B225" s="679"/>
      <c r="C225" s="679"/>
      <c r="D225" s="679"/>
      <c r="E225" s="679"/>
      <c r="F225" s="679"/>
      <c r="G225" s="680"/>
    </row>
    <row r="226" spans="1:7" ht="26" x14ac:dyDescent="0.3">
      <c r="A226" s="681" t="s">
        <v>267</v>
      </c>
      <c r="B226" s="682" t="s">
        <v>433</v>
      </c>
      <c r="C226" s="683" t="s">
        <v>434</v>
      </c>
      <c r="D226" s="683" t="s">
        <v>435</v>
      </c>
      <c r="E226" s="683" t="s">
        <v>599</v>
      </c>
      <c r="F226" s="683" t="s">
        <v>818</v>
      </c>
      <c r="G226" s="684" t="s">
        <v>405</v>
      </c>
    </row>
    <row r="227" spans="1:7" x14ac:dyDescent="0.3">
      <c r="A227" s="685" t="s">
        <v>436</v>
      </c>
      <c r="B227" s="366"/>
      <c r="C227" s="366">
        <v>138476957</v>
      </c>
      <c r="D227" s="366"/>
      <c r="E227" s="366"/>
      <c r="F227" s="366"/>
      <c r="G227" s="686">
        <f>SUM(C227:F227)</f>
        <v>138476957</v>
      </c>
    </row>
    <row r="228" spans="1:7" x14ac:dyDescent="0.3">
      <c r="A228" s="687" t="s">
        <v>437</v>
      </c>
      <c r="B228" s="367"/>
      <c r="C228" s="367"/>
      <c r="D228" s="367"/>
      <c r="E228" s="367"/>
      <c r="F228" s="367"/>
      <c r="G228" s="688"/>
    </row>
    <row r="229" spans="1:7" x14ac:dyDescent="0.3">
      <c r="A229" s="689" t="s">
        <v>438</v>
      </c>
      <c r="B229" s="368"/>
      <c r="C229" s="368">
        <v>138476957</v>
      </c>
      <c r="D229" s="368"/>
      <c r="E229" s="368"/>
      <c r="F229" s="368"/>
      <c r="G229" s="690">
        <f>SUM(C229:F229)</f>
        <v>138476957</v>
      </c>
    </row>
    <row r="230" spans="1:7" x14ac:dyDescent="0.3">
      <c r="A230" s="689"/>
      <c r="B230" s="368"/>
      <c r="C230" s="368"/>
      <c r="D230" s="368"/>
      <c r="E230" s="368"/>
      <c r="F230" s="368"/>
      <c r="G230" s="690"/>
    </row>
    <row r="231" spans="1:7" x14ac:dyDescent="0.3">
      <c r="A231" s="685" t="s">
        <v>439</v>
      </c>
      <c r="B231" s="369"/>
      <c r="C231" s="369"/>
      <c r="D231" s="369">
        <v>138476957</v>
      </c>
      <c r="E231" s="369">
        <f>SUM(E233:E236)</f>
        <v>0</v>
      </c>
      <c r="F231" s="369">
        <f>SUM(F233:F236)</f>
        <v>0</v>
      </c>
      <c r="G231" s="691">
        <f>SUM(B231:F231)</f>
        <v>138476957</v>
      </c>
    </row>
    <row r="232" spans="1:7" x14ac:dyDescent="0.3">
      <c r="A232" s="687" t="s">
        <v>437</v>
      </c>
      <c r="B232" s="367"/>
      <c r="C232" s="367"/>
      <c r="D232" s="367"/>
      <c r="E232" s="367"/>
      <c r="F232" s="367"/>
      <c r="G232" s="688"/>
    </row>
    <row r="233" spans="1:7" x14ac:dyDescent="0.3">
      <c r="A233" s="692" t="s">
        <v>440</v>
      </c>
      <c r="B233" s="370"/>
      <c r="C233" s="370">
        <v>0</v>
      </c>
      <c r="D233" s="370">
        <v>0</v>
      </c>
      <c r="E233" s="370">
        <v>0</v>
      </c>
      <c r="F233" s="370">
        <v>0</v>
      </c>
      <c r="G233" s="690">
        <f>SUM(C233:F233)</f>
        <v>0</v>
      </c>
    </row>
    <row r="234" spans="1:7" ht="26" x14ac:dyDescent="0.3">
      <c r="A234" s="692" t="s">
        <v>206</v>
      </c>
      <c r="B234" s="370"/>
      <c r="C234" s="370">
        <v>0</v>
      </c>
      <c r="D234" s="370">
        <v>0</v>
      </c>
      <c r="E234" s="370">
        <v>0</v>
      </c>
      <c r="F234" s="370">
        <v>0</v>
      </c>
      <c r="G234" s="690">
        <f>SUM(D234:F234)</f>
        <v>0</v>
      </c>
    </row>
    <row r="235" spans="1:7" x14ac:dyDescent="0.3">
      <c r="A235" s="692" t="s">
        <v>441</v>
      </c>
      <c r="B235" s="370"/>
      <c r="C235" s="370"/>
      <c r="D235" s="370">
        <v>13332414</v>
      </c>
      <c r="E235" s="370">
        <v>0</v>
      </c>
      <c r="F235" s="370">
        <v>0</v>
      </c>
      <c r="G235" s="690">
        <f>SUM(B235:F235)</f>
        <v>13332414</v>
      </c>
    </row>
    <row r="236" spans="1:7" x14ac:dyDescent="0.3">
      <c r="A236" s="692" t="s">
        <v>442</v>
      </c>
      <c r="B236" s="370"/>
      <c r="C236" s="370">
        <v>0</v>
      </c>
      <c r="D236" s="370">
        <v>125144543</v>
      </c>
      <c r="E236" s="370">
        <v>0</v>
      </c>
      <c r="F236" s="370">
        <v>0</v>
      </c>
      <c r="G236" s="690">
        <f>SUM(C236:F236)</f>
        <v>125144543</v>
      </c>
    </row>
    <row r="237" spans="1:7" x14ac:dyDescent="0.3">
      <c r="A237" s="689" t="s">
        <v>437</v>
      </c>
      <c r="B237" s="370"/>
      <c r="C237" s="370"/>
      <c r="D237" s="370"/>
      <c r="E237" s="370"/>
      <c r="F237" s="370"/>
      <c r="G237" s="690"/>
    </row>
    <row r="238" spans="1:7" x14ac:dyDescent="0.3">
      <c r="A238" s="689" t="s">
        <v>881</v>
      </c>
      <c r="B238" s="370"/>
      <c r="C238" s="370"/>
      <c r="D238" s="370"/>
      <c r="E238" s="370"/>
      <c r="F238" s="370">
        <v>0</v>
      </c>
      <c r="G238" s="690">
        <v>0</v>
      </c>
    </row>
    <row r="239" spans="1:7" x14ac:dyDescent="0.3">
      <c r="A239" s="689" t="s">
        <v>902</v>
      </c>
      <c r="B239" s="370"/>
      <c r="C239" s="370"/>
      <c r="D239" s="370"/>
      <c r="E239" s="370"/>
      <c r="F239" s="370">
        <v>0</v>
      </c>
      <c r="G239" s="690">
        <v>0</v>
      </c>
    </row>
    <row r="240" spans="1:7" x14ac:dyDescent="0.3">
      <c r="A240" s="692" t="s">
        <v>443</v>
      </c>
      <c r="B240" s="370"/>
      <c r="C240" s="370"/>
      <c r="D240" s="370"/>
      <c r="E240" s="370"/>
      <c r="F240" s="370"/>
      <c r="G240" s="690">
        <v>0</v>
      </c>
    </row>
    <row r="241" spans="1:7" x14ac:dyDescent="0.3">
      <c r="A241" s="692" t="s">
        <v>235</v>
      </c>
      <c r="B241" s="370"/>
      <c r="C241" s="370"/>
      <c r="D241" s="370"/>
      <c r="E241" s="370"/>
      <c r="F241" s="370"/>
      <c r="G241" s="690">
        <v>0</v>
      </c>
    </row>
    <row r="242" spans="1:7" ht="27" x14ac:dyDescent="0.3">
      <c r="A242" s="693" t="s">
        <v>444</v>
      </c>
      <c r="B242" s="371"/>
      <c r="C242" s="371"/>
      <c r="D242" s="371">
        <v>138476957</v>
      </c>
      <c r="E242" s="371">
        <v>0</v>
      </c>
      <c r="F242" s="371">
        <v>0</v>
      </c>
      <c r="G242" s="694">
        <f>SUM(G233:G236)</f>
        <v>138476957</v>
      </c>
    </row>
    <row r="243" spans="1:7" ht="27.5" thickBot="1" x14ac:dyDescent="0.35">
      <c r="A243" s="695" t="s">
        <v>445</v>
      </c>
      <c r="B243" s="696">
        <v>0</v>
      </c>
      <c r="C243" s="696">
        <v>0</v>
      </c>
      <c r="D243" s="696"/>
      <c r="E243" s="696"/>
      <c r="F243" s="696"/>
      <c r="G243" s="697"/>
    </row>
    <row r="245" spans="1:7" ht="13.5" thickBot="1" x14ac:dyDescent="0.35"/>
    <row r="246" spans="1:7" ht="17.5" x14ac:dyDescent="0.3">
      <c r="A246" s="1056" t="s">
        <v>446</v>
      </c>
      <c r="B246" s="1057"/>
      <c r="C246" s="1057"/>
      <c r="D246" s="1057"/>
      <c r="E246" s="1057"/>
      <c r="F246" s="1057"/>
      <c r="G246" s="1058"/>
    </row>
    <row r="247" spans="1:7" ht="15" x14ac:dyDescent="0.3">
      <c r="A247" s="672"/>
      <c r="B247" s="1059"/>
      <c r="C247" s="1059"/>
      <c r="D247" s="673"/>
      <c r="E247" s="673"/>
      <c r="F247" s="673"/>
      <c r="G247" s="674"/>
    </row>
    <row r="248" spans="1:7" x14ac:dyDescent="0.3">
      <c r="A248" s="675" t="s">
        <v>428</v>
      </c>
      <c r="B248" s="1060" t="s">
        <v>907</v>
      </c>
      <c r="C248" s="1060"/>
      <c r="D248" s="1060"/>
      <c r="E248" s="1060"/>
      <c r="F248" s="1060"/>
      <c r="G248" s="1061"/>
    </row>
    <row r="249" spans="1:7" x14ac:dyDescent="0.3">
      <c r="A249" s="675" t="s">
        <v>429</v>
      </c>
      <c r="B249" s="1060" t="s">
        <v>598</v>
      </c>
      <c r="C249" s="1060"/>
      <c r="D249" s="1060"/>
      <c r="E249" s="1060"/>
      <c r="F249" s="1060"/>
      <c r="G249" s="1061"/>
    </row>
    <row r="250" spans="1:7" x14ac:dyDescent="0.3">
      <c r="A250" s="675" t="s">
        <v>878</v>
      </c>
      <c r="B250" s="1060" t="s">
        <v>908</v>
      </c>
      <c r="C250" s="1060"/>
      <c r="D250" s="1060"/>
      <c r="E250" s="1060"/>
      <c r="F250" s="1060"/>
      <c r="G250" s="1061"/>
    </row>
    <row r="251" spans="1:7" ht="15.5" x14ac:dyDescent="0.3">
      <c r="A251" s="675" t="s">
        <v>880</v>
      </c>
      <c r="B251" s="1052">
        <v>322750000</v>
      </c>
      <c r="C251" s="1052"/>
      <c r="D251" s="149"/>
      <c r="E251" s="670"/>
      <c r="F251" s="670"/>
      <c r="G251" s="676"/>
    </row>
    <row r="252" spans="1:7" x14ac:dyDescent="0.3">
      <c r="A252" s="675" t="s">
        <v>812</v>
      </c>
      <c r="B252" s="1052" t="s">
        <v>909</v>
      </c>
      <c r="C252" s="1052"/>
      <c r="D252" s="1052"/>
      <c r="E252" s="1052"/>
      <c r="F252" s="1052"/>
      <c r="G252" s="1062"/>
    </row>
    <row r="253" spans="1:7" x14ac:dyDescent="0.3">
      <c r="A253" s="675" t="s">
        <v>600</v>
      </c>
      <c r="B253" s="1052" t="s">
        <v>910</v>
      </c>
      <c r="C253" s="1052"/>
      <c r="D253" s="1052"/>
      <c r="E253" s="1052"/>
      <c r="F253" s="1052"/>
      <c r="G253" s="1062"/>
    </row>
    <row r="254" spans="1:7" ht="15.5" x14ac:dyDescent="0.3">
      <c r="A254" s="675" t="s">
        <v>430</v>
      </c>
      <c r="B254" s="1053">
        <v>1</v>
      </c>
      <c r="C254" s="1053"/>
      <c r="D254" s="671"/>
      <c r="E254" s="671"/>
      <c r="F254" s="671"/>
      <c r="G254" s="676"/>
    </row>
    <row r="255" spans="1:7" ht="15.5" x14ac:dyDescent="0.3">
      <c r="A255" s="675" t="s">
        <v>431</v>
      </c>
      <c r="B255" s="1054">
        <v>42736</v>
      </c>
      <c r="C255" s="1055"/>
      <c r="D255" s="669"/>
      <c r="E255" s="669"/>
      <c r="F255" s="669"/>
      <c r="G255" s="676"/>
    </row>
    <row r="256" spans="1:7" ht="15.5" x14ac:dyDescent="0.3">
      <c r="A256" s="675" t="s">
        <v>432</v>
      </c>
      <c r="B256" s="1054">
        <v>43830</v>
      </c>
      <c r="C256" s="1055"/>
      <c r="D256" s="669"/>
      <c r="E256" s="669"/>
      <c r="F256" s="669"/>
      <c r="G256" s="676"/>
    </row>
    <row r="257" spans="1:7" ht="13.5" thickBot="1" x14ac:dyDescent="0.35">
      <c r="A257" s="678"/>
      <c r="B257" s="679"/>
      <c r="C257" s="679"/>
      <c r="D257" s="679"/>
      <c r="E257" s="679"/>
      <c r="F257" s="679"/>
      <c r="G257" s="680"/>
    </row>
    <row r="258" spans="1:7" ht="26" x14ac:dyDescent="0.3">
      <c r="A258" s="681" t="s">
        <v>267</v>
      </c>
      <c r="B258" s="682" t="s">
        <v>433</v>
      </c>
      <c r="C258" s="683" t="s">
        <v>434</v>
      </c>
      <c r="D258" s="683" t="s">
        <v>435</v>
      </c>
      <c r="E258" s="683" t="s">
        <v>599</v>
      </c>
      <c r="F258" s="700" t="s">
        <v>818</v>
      </c>
      <c r="G258" s="684" t="s">
        <v>405</v>
      </c>
    </row>
    <row r="259" spans="1:7" x14ac:dyDescent="0.3">
      <c r="A259" s="685" t="s">
        <v>436</v>
      </c>
      <c r="B259" s="366">
        <v>2857500</v>
      </c>
      <c r="C259" s="366">
        <v>52968680</v>
      </c>
      <c r="D259" s="366"/>
      <c r="E259" s="366"/>
      <c r="F259" s="701"/>
      <c r="G259" s="686">
        <v>55826180</v>
      </c>
    </row>
    <row r="260" spans="1:7" x14ac:dyDescent="0.3">
      <c r="A260" s="687" t="s">
        <v>437</v>
      </c>
      <c r="B260" s="367"/>
      <c r="C260" s="367"/>
      <c r="D260" s="367"/>
      <c r="E260" s="367"/>
      <c r="F260" s="702"/>
      <c r="G260" s="688"/>
    </row>
    <row r="261" spans="1:7" x14ac:dyDescent="0.3">
      <c r="A261" s="689" t="s">
        <v>438</v>
      </c>
      <c r="B261" s="368"/>
      <c r="C261" s="368">
        <v>50111180</v>
      </c>
      <c r="D261" s="368"/>
      <c r="E261" s="368"/>
      <c r="F261" s="703"/>
      <c r="G261" s="686">
        <v>50111180</v>
      </c>
    </row>
    <row r="262" spans="1:7" x14ac:dyDescent="0.3">
      <c r="A262" s="689" t="s">
        <v>911</v>
      </c>
      <c r="B262" s="368">
        <v>2857500</v>
      </c>
      <c r="C262" s="368">
        <v>2857500</v>
      </c>
      <c r="D262" s="368"/>
      <c r="E262" s="368"/>
      <c r="F262" s="703"/>
      <c r="G262" s="690">
        <v>5715000</v>
      </c>
    </row>
    <row r="263" spans="1:7" x14ac:dyDescent="0.3">
      <c r="A263" s="685" t="s">
        <v>439</v>
      </c>
      <c r="B263" s="369">
        <v>2857500</v>
      </c>
      <c r="C263" s="369">
        <v>26208293</v>
      </c>
      <c r="D263" s="369">
        <v>18063718</v>
      </c>
      <c r="E263" s="369">
        <v>8696669</v>
      </c>
      <c r="F263" s="704"/>
      <c r="G263" s="691">
        <f>SUM(B263:E263)</f>
        <v>55826180</v>
      </c>
    </row>
    <row r="264" spans="1:7" x14ac:dyDescent="0.3">
      <c r="A264" s="687" t="s">
        <v>437</v>
      </c>
      <c r="B264" s="367"/>
      <c r="C264" s="367"/>
      <c r="D264" s="367"/>
      <c r="E264" s="367"/>
      <c r="F264" s="702"/>
      <c r="G264" s="688"/>
    </row>
    <row r="265" spans="1:7" x14ac:dyDescent="0.3">
      <c r="A265" s="692" t="s">
        <v>893</v>
      </c>
      <c r="B265" s="370"/>
      <c r="C265" s="370">
        <v>832040</v>
      </c>
      <c r="D265" s="370">
        <v>3552825</v>
      </c>
      <c r="E265" s="370">
        <v>3552825</v>
      </c>
      <c r="F265" s="705"/>
      <c r="G265" s="690">
        <v>7937690</v>
      </c>
    </row>
    <row r="266" spans="1:7" x14ac:dyDescent="0.3">
      <c r="A266" s="692" t="s">
        <v>441</v>
      </c>
      <c r="B266" s="370">
        <v>2857500</v>
      </c>
      <c r="C266" s="370">
        <v>25376253</v>
      </c>
      <c r="D266" s="370">
        <v>13390393</v>
      </c>
      <c r="E266" s="370">
        <v>5143844</v>
      </c>
      <c r="F266" s="705"/>
      <c r="G266" s="690">
        <f>SUM(E266,D266,C266,B266)</f>
        <v>46767990</v>
      </c>
    </row>
    <row r="267" spans="1:7" x14ac:dyDescent="0.3">
      <c r="A267" s="692" t="s">
        <v>442</v>
      </c>
      <c r="B267" s="370"/>
      <c r="C267" s="370">
        <v>0</v>
      </c>
      <c r="D267" s="370">
        <v>1120500</v>
      </c>
      <c r="E267" s="370">
        <v>0</v>
      </c>
      <c r="F267" s="705"/>
      <c r="G267" s="690">
        <f>SUM(D267,E267)</f>
        <v>1120500</v>
      </c>
    </row>
    <row r="268" spans="1:7" x14ac:dyDescent="0.3">
      <c r="A268" s="689" t="s">
        <v>437</v>
      </c>
      <c r="B268" s="370"/>
      <c r="C268" s="370"/>
      <c r="D268" s="370"/>
      <c r="E268" s="370"/>
      <c r="F268" s="705"/>
      <c r="G268" s="690"/>
    </row>
    <row r="269" spans="1:7" x14ac:dyDescent="0.3">
      <c r="A269" s="689" t="s">
        <v>881</v>
      </c>
      <c r="B269" s="370"/>
      <c r="C269" s="370"/>
      <c r="D269" s="370"/>
      <c r="E269" s="370"/>
      <c r="F269" s="705"/>
      <c r="G269" s="690"/>
    </row>
    <row r="270" spans="1:7" x14ac:dyDescent="0.3">
      <c r="A270" s="692" t="s">
        <v>443</v>
      </c>
      <c r="B270" s="370"/>
      <c r="C270" s="370"/>
      <c r="D270" s="370"/>
      <c r="E270" s="370"/>
      <c r="F270" s="705"/>
      <c r="G270" s="690">
        <v>0</v>
      </c>
    </row>
    <row r="271" spans="1:7" x14ac:dyDescent="0.3">
      <c r="A271" s="692" t="s">
        <v>235</v>
      </c>
      <c r="B271" s="370"/>
      <c r="C271" s="370"/>
      <c r="D271" s="370"/>
      <c r="E271" s="370"/>
      <c r="F271" s="705"/>
      <c r="G271" s="690">
        <v>0</v>
      </c>
    </row>
    <row r="272" spans="1:7" ht="27" x14ac:dyDescent="0.3">
      <c r="A272" s="693" t="s">
        <v>444</v>
      </c>
      <c r="B272" s="371"/>
      <c r="C272" s="371"/>
      <c r="D272" s="371"/>
      <c r="E272" s="371">
        <v>0</v>
      </c>
      <c r="F272" s="707"/>
      <c r="G272" s="694">
        <f>SUM(G265:G267)</f>
        <v>55826180</v>
      </c>
    </row>
    <row r="273" spans="1:7" ht="27.5" thickBot="1" x14ac:dyDescent="0.35">
      <c r="A273" s="695" t="s">
        <v>445</v>
      </c>
      <c r="B273" s="696">
        <v>0</v>
      </c>
      <c r="C273" s="696">
        <v>0</v>
      </c>
      <c r="D273" s="696"/>
      <c r="E273" s="696"/>
      <c r="F273" s="708"/>
      <c r="G273" s="697">
        <v>0</v>
      </c>
    </row>
    <row r="275" spans="1:7" ht="13.5" thickBot="1" x14ac:dyDescent="0.35"/>
    <row r="276" spans="1:7" ht="17.5" x14ac:dyDescent="0.3">
      <c r="A276" s="1056" t="s">
        <v>446</v>
      </c>
      <c r="B276" s="1057"/>
      <c r="C276" s="1057"/>
      <c r="D276" s="1057"/>
      <c r="E276" s="1057"/>
      <c r="F276" s="1057"/>
      <c r="G276" s="1058"/>
    </row>
    <row r="277" spans="1:7" ht="15" x14ac:dyDescent="0.3">
      <c r="A277" s="672"/>
      <c r="B277" s="1059"/>
      <c r="C277" s="1059"/>
      <c r="D277" s="673"/>
      <c r="E277" s="673"/>
      <c r="F277" s="673"/>
      <c r="G277" s="674"/>
    </row>
    <row r="278" spans="1:7" x14ac:dyDescent="0.3">
      <c r="A278" s="675" t="s">
        <v>428</v>
      </c>
      <c r="B278" s="1060" t="s">
        <v>912</v>
      </c>
      <c r="C278" s="1060"/>
      <c r="D278" s="1060"/>
      <c r="E278" s="1060"/>
      <c r="F278" s="1060"/>
      <c r="G278" s="1061"/>
    </row>
    <row r="279" spans="1:7" x14ac:dyDescent="0.3">
      <c r="A279" s="675" t="s">
        <v>429</v>
      </c>
      <c r="B279" s="1060" t="s">
        <v>913</v>
      </c>
      <c r="C279" s="1060"/>
      <c r="D279" s="1060"/>
      <c r="E279" s="1060"/>
      <c r="F279" s="1060"/>
      <c r="G279" s="1061"/>
    </row>
    <row r="280" spans="1:7" x14ac:dyDescent="0.3">
      <c r="A280" s="675" t="s">
        <v>878</v>
      </c>
      <c r="B280" s="1060" t="s">
        <v>914</v>
      </c>
      <c r="C280" s="1060"/>
      <c r="D280" s="1060"/>
      <c r="E280" s="1060"/>
      <c r="F280" s="1060"/>
      <c r="G280" s="1061"/>
    </row>
    <row r="281" spans="1:7" ht="15.5" x14ac:dyDescent="0.3">
      <c r="A281" s="675" t="s">
        <v>880</v>
      </c>
      <c r="B281" s="1052">
        <v>400190499</v>
      </c>
      <c r="C281" s="1052"/>
      <c r="D281" s="149"/>
      <c r="E281" s="670"/>
      <c r="F281" s="670"/>
      <c r="G281" s="676"/>
    </row>
    <row r="282" spans="1:7" ht="15.5" x14ac:dyDescent="0.3">
      <c r="A282" s="675" t="s">
        <v>812</v>
      </c>
      <c r="B282" s="1052" t="s">
        <v>381</v>
      </c>
      <c r="C282" s="1052"/>
      <c r="D282" s="1052"/>
      <c r="E282" s="677"/>
      <c r="F282" s="677"/>
      <c r="G282" s="676"/>
    </row>
    <row r="283" spans="1:7" ht="15.5" x14ac:dyDescent="0.3">
      <c r="A283" s="675" t="s">
        <v>430</v>
      </c>
      <c r="B283" s="1053">
        <v>0.99960000000000004</v>
      </c>
      <c r="C283" s="1053"/>
      <c r="D283" s="671"/>
      <c r="E283" s="671"/>
      <c r="F283" s="671"/>
      <c r="G283" s="676"/>
    </row>
    <row r="284" spans="1:7" ht="15.5" x14ac:dyDescent="0.3">
      <c r="A284" s="675" t="s">
        <v>431</v>
      </c>
      <c r="B284" s="1054">
        <v>42993</v>
      </c>
      <c r="C284" s="1055"/>
      <c r="D284" s="669"/>
      <c r="E284" s="669"/>
      <c r="F284" s="669"/>
      <c r="G284" s="676"/>
    </row>
    <row r="285" spans="1:7" ht="15.5" x14ac:dyDescent="0.3">
      <c r="A285" s="675" t="s">
        <v>432</v>
      </c>
      <c r="B285" s="1054">
        <v>44073</v>
      </c>
      <c r="C285" s="1055"/>
      <c r="D285" s="669"/>
      <c r="E285" s="669"/>
      <c r="F285" s="669"/>
      <c r="G285" s="676"/>
    </row>
    <row r="286" spans="1:7" ht="13.5" thickBot="1" x14ac:dyDescent="0.35">
      <c r="A286" s="678"/>
      <c r="B286" s="679"/>
      <c r="C286" s="679"/>
      <c r="D286" s="679"/>
      <c r="E286" s="679"/>
      <c r="F286" s="679"/>
      <c r="G286" s="680"/>
    </row>
    <row r="287" spans="1:7" ht="26" x14ac:dyDescent="0.3">
      <c r="A287" s="681" t="s">
        <v>267</v>
      </c>
      <c r="B287" s="682" t="s">
        <v>433</v>
      </c>
      <c r="C287" s="683" t="s">
        <v>434</v>
      </c>
      <c r="D287" s="683" t="s">
        <v>435</v>
      </c>
      <c r="E287" s="683" t="s">
        <v>599</v>
      </c>
      <c r="F287" s="683" t="s">
        <v>818</v>
      </c>
      <c r="G287" s="684" t="s">
        <v>405</v>
      </c>
    </row>
    <row r="288" spans="1:7" x14ac:dyDescent="0.3">
      <c r="A288" s="685" t="s">
        <v>436</v>
      </c>
      <c r="B288" s="366"/>
      <c r="C288" s="366">
        <v>400025148</v>
      </c>
      <c r="D288" s="366"/>
      <c r="E288" s="366"/>
      <c r="F288" s="366"/>
      <c r="G288" s="686">
        <f>SUM(C288:F288)</f>
        <v>400025148</v>
      </c>
    </row>
    <row r="289" spans="1:7" x14ac:dyDescent="0.3">
      <c r="A289" s="687" t="s">
        <v>437</v>
      </c>
      <c r="B289" s="367"/>
      <c r="C289" s="367"/>
      <c r="D289" s="367"/>
      <c r="E289" s="367"/>
      <c r="F289" s="367"/>
      <c r="G289" s="688"/>
    </row>
    <row r="290" spans="1:7" x14ac:dyDescent="0.3">
      <c r="A290" s="689" t="s">
        <v>438</v>
      </c>
      <c r="B290" s="368"/>
      <c r="C290" s="368">
        <v>400025148</v>
      </c>
      <c r="D290" s="368"/>
      <c r="E290" s="368"/>
      <c r="F290" s="368"/>
      <c r="G290" s="690">
        <f>SUM(C290:F290)</f>
        <v>400025148</v>
      </c>
    </row>
    <row r="291" spans="1:7" x14ac:dyDescent="0.3">
      <c r="A291" s="689"/>
      <c r="B291" s="368"/>
      <c r="C291" s="368"/>
      <c r="D291" s="368"/>
      <c r="E291" s="368"/>
      <c r="F291" s="368"/>
      <c r="G291" s="690"/>
    </row>
    <row r="292" spans="1:7" x14ac:dyDescent="0.3">
      <c r="A292" s="685" t="s">
        <v>439</v>
      </c>
      <c r="B292" s="369">
        <v>6350000</v>
      </c>
      <c r="C292" s="369">
        <f>SUM(C293:C302)</f>
        <v>0</v>
      </c>
      <c r="D292" s="369">
        <f>SUM(D294:D297)</f>
        <v>26229375</v>
      </c>
      <c r="E292" s="369">
        <f>SUM(E294:E297)</f>
        <v>130335500</v>
      </c>
      <c r="F292" s="369">
        <f>SUM(F294:F297)</f>
        <v>237275624</v>
      </c>
      <c r="G292" s="691">
        <f>SUM(B292:F292)</f>
        <v>400190499</v>
      </c>
    </row>
    <row r="293" spans="1:7" x14ac:dyDescent="0.3">
      <c r="A293" s="687" t="s">
        <v>437</v>
      </c>
      <c r="B293" s="367"/>
      <c r="C293" s="367"/>
      <c r="D293" s="367"/>
      <c r="E293" s="367"/>
      <c r="F293" s="367"/>
      <c r="G293" s="688"/>
    </row>
    <row r="294" spans="1:7" x14ac:dyDescent="0.3">
      <c r="A294" s="692" t="s">
        <v>440</v>
      </c>
      <c r="B294" s="370"/>
      <c r="C294" s="370">
        <v>0</v>
      </c>
      <c r="D294" s="370">
        <v>590551</v>
      </c>
      <c r="E294" s="370">
        <v>590551</v>
      </c>
      <c r="F294" s="370">
        <v>393701</v>
      </c>
      <c r="G294" s="690">
        <f>SUM(C294:F294)</f>
        <v>1574803</v>
      </c>
    </row>
    <row r="295" spans="1:7" ht="26" x14ac:dyDescent="0.3">
      <c r="A295" s="692" t="s">
        <v>206</v>
      </c>
      <c r="B295" s="370"/>
      <c r="C295" s="370">
        <v>0</v>
      </c>
      <c r="D295" s="370">
        <v>159449</v>
      </c>
      <c r="E295" s="370">
        <v>159449</v>
      </c>
      <c r="F295" s="370">
        <v>106299</v>
      </c>
      <c r="G295" s="690">
        <f>SUM(D295:F295)</f>
        <v>425197</v>
      </c>
    </row>
    <row r="296" spans="1:7" x14ac:dyDescent="0.3">
      <c r="A296" s="692" t="s">
        <v>441</v>
      </c>
      <c r="B296" s="370">
        <v>6350000</v>
      </c>
      <c r="C296" s="370"/>
      <c r="D296" s="370">
        <v>25479375</v>
      </c>
      <c r="E296" s="370">
        <v>23685500</v>
      </c>
      <c r="F296" s="370">
        <v>25542875</v>
      </c>
      <c r="G296" s="690">
        <f>SUM(B296:F296)</f>
        <v>81057750</v>
      </c>
    </row>
    <row r="297" spans="1:7" x14ac:dyDescent="0.3">
      <c r="A297" s="692" t="s">
        <v>442</v>
      </c>
      <c r="B297" s="370"/>
      <c r="C297" s="370">
        <v>0</v>
      </c>
      <c r="D297" s="370"/>
      <c r="E297" s="370">
        <v>105900000</v>
      </c>
      <c r="F297" s="370">
        <v>211232749</v>
      </c>
      <c r="G297" s="690">
        <f>SUM(C297:F297)</f>
        <v>317132749</v>
      </c>
    </row>
    <row r="298" spans="1:7" x14ac:dyDescent="0.3">
      <c r="A298" s="689" t="s">
        <v>437</v>
      </c>
      <c r="B298" s="370"/>
      <c r="C298" s="370"/>
      <c r="D298" s="370"/>
      <c r="E298" s="370"/>
      <c r="F298" s="370"/>
      <c r="G298" s="690"/>
    </row>
    <row r="299" spans="1:7" x14ac:dyDescent="0.3">
      <c r="A299" s="689" t="s">
        <v>881</v>
      </c>
      <c r="B299" s="370"/>
      <c r="C299" s="370"/>
      <c r="D299" s="370"/>
      <c r="E299" s="370"/>
      <c r="F299" s="370">
        <v>73152000</v>
      </c>
      <c r="G299" s="690">
        <v>73152000</v>
      </c>
    </row>
    <row r="300" spans="1:7" x14ac:dyDescent="0.3">
      <c r="A300" s="689" t="s">
        <v>902</v>
      </c>
      <c r="B300" s="370"/>
      <c r="C300" s="370"/>
      <c r="D300" s="370"/>
      <c r="E300" s="370"/>
      <c r="F300" s="370">
        <v>32131000</v>
      </c>
      <c r="G300" s="690">
        <v>32131000</v>
      </c>
    </row>
    <row r="301" spans="1:7" x14ac:dyDescent="0.3">
      <c r="A301" s="692" t="s">
        <v>443</v>
      </c>
      <c r="B301" s="370"/>
      <c r="C301" s="370"/>
      <c r="D301" s="370"/>
      <c r="E301" s="370"/>
      <c r="F301" s="370"/>
      <c r="G301" s="690">
        <v>0</v>
      </c>
    </row>
    <row r="302" spans="1:7" x14ac:dyDescent="0.3">
      <c r="A302" s="692" t="s">
        <v>235</v>
      </c>
      <c r="B302" s="370"/>
      <c r="C302" s="370"/>
      <c r="D302" s="370"/>
      <c r="E302" s="370"/>
      <c r="F302" s="370"/>
      <c r="G302" s="690">
        <v>0</v>
      </c>
    </row>
    <row r="303" spans="1:7" ht="27" x14ac:dyDescent="0.3">
      <c r="A303" s="693" t="s">
        <v>444</v>
      </c>
      <c r="B303" s="371">
        <v>6350000</v>
      </c>
      <c r="C303" s="371"/>
      <c r="D303" s="371">
        <v>25388000</v>
      </c>
      <c r="E303" s="371">
        <v>130335500</v>
      </c>
      <c r="F303" s="371">
        <v>237275624</v>
      </c>
      <c r="G303" s="694">
        <f>SUM(G294:G297)</f>
        <v>400190499</v>
      </c>
    </row>
    <row r="304" spans="1:7" ht="27.5" thickBot="1" x14ac:dyDescent="0.35">
      <c r="A304" s="695" t="s">
        <v>445</v>
      </c>
      <c r="B304" s="696">
        <v>0</v>
      </c>
      <c r="C304" s="696">
        <v>0</v>
      </c>
      <c r="D304" s="696"/>
      <c r="E304" s="696"/>
      <c r="F304" s="696"/>
      <c r="G304" s="697"/>
    </row>
    <row r="306" spans="1:7" ht="13.5" thickBot="1" x14ac:dyDescent="0.35"/>
    <row r="307" spans="1:7" ht="17.5" x14ac:dyDescent="0.3">
      <c r="A307" s="1056" t="s">
        <v>446</v>
      </c>
      <c r="B307" s="1057"/>
      <c r="C307" s="1057"/>
      <c r="D307" s="1057"/>
      <c r="E307" s="1057"/>
      <c r="F307" s="1057"/>
      <c r="G307" s="1058"/>
    </row>
    <row r="308" spans="1:7" ht="15" x14ac:dyDescent="0.3">
      <c r="A308" s="672"/>
      <c r="B308" s="1059"/>
      <c r="C308" s="1059"/>
      <c r="D308" s="673"/>
      <c r="E308" s="673"/>
      <c r="F308" s="673"/>
      <c r="G308" s="674"/>
    </row>
    <row r="309" spans="1:7" x14ac:dyDescent="0.3">
      <c r="A309" s="675" t="s">
        <v>428</v>
      </c>
      <c r="B309" s="1060" t="s">
        <v>915</v>
      </c>
      <c r="C309" s="1060"/>
      <c r="D309" s="1060"/>
      <c r="E309" s="1060"/>
      <c r="F309" s="1060"/>
      <c r="G309" s="1061"/>
    </row>
    <row r="310" spans="1:7" x14ac:dyDescent="0.3">
      <c r="A310" s="675" t="s">
        <v>429</v>
      </c>
      <c r="B310" s="1060" t="s">
        <v>916</v>
      </c>
      <c r="C310" s="1060"/>
      <c r="D310" s="1060"/>
      <c r="E310" s="1060"/>
      <c r="F310" s="1060"/>
      <c r="G310" s="1061"/>
    </row>
    <row r="311" spans="1:7" x14ac:dyDescent="0.3">
      <c r="A311" s="675" t="s">
        <v>878</v>
      </c>
      <c r="B311" s="1060" t="s">
        <v>906</v>
      </c>
      <c r="C311" s="1060"/>
      <c r="D311" s="1060"/>
      <c r="E311" s="1060"/>
      <c r="F311" s="1060"/>
      <c r="G311" s="1061"/>
    </row>
    <row r="312" spans="1:7" ht="15.5" x14ac:dyDescent="0.3">
      <c r="A312" s="675" t="s">
        <v>880</v>
      </c>
      <c r="B312" s="1052">
        <v>176523043</v>
      </c>
      <c r="C312" s="1052"/>
      <c r="D312" s="149"/>
      <c r="E312" s="670"/>
      <c r="F312" s="670"/>
      <c r="G312" s="676"/>
    </row>
    <row r="313" spans="1:7" ht="15.5" x14ac:dyDescent="0.3">
      <c r="A313" s="675" t="s">
        <v>812</v>
      </c>
      <c r="B313" s="1052" t="s">
        <v>381</v>
      </c>
      <c r="C313" s="1052"/>
      <c r="D313" s="1052"/>
      <c r="E313" s="677"/>
      <c r="F313" s="677"/>
      <c r="G313" s="676"/>
    </row>
    <row r="314" spans="1:7" ht="15.5" x14ac:dyDescent="0.3">
      <c r="A314" s="675" t="s">
        <v>430</v>
      </c>
      <c r="B314" s="1053">
        <v>1</v>
      </c>
      <c r="C314" s="1053"/>
      <c r="D314" s="671"/>
      <c r="E314" s="671"/>
      <c r="F314" s="671"/>
      <c r="G314" s="676"/>
    </row>
    <row r="315" spans="1:7" ht="15.5" x14ac:dyDescent="0.3">
      <c r="A315" s="675" t="s">
        <v>431</v>
      </c>
      <c r="B315" s="1054">
        <v>42948</v>
      </c>
      <c r="C315" s="1055"/>
      <c r="D315" s="669"/>
      <c r="E315" s="669"/>
      <c r="F315" s="669"/>
      <c r="G315" s="676"/>
    </row>
    <row r="316" spans="1:7" ht="15.5" x14ac:dyDescent="0.3">
      <c r="A316" s="675" t="s">
        <v>432</v>
      </c>
      <c r="B316" s="1054">
        <v>43404</v>
      </c>
      <c r="C316" s="1055"/>
      <c r="D316" s="669"/>
      <c r="E316" s="669"/>
      <c r="F316" s="669"/>
      <c r="G316" s="676"/>
    </row>
    <row r="317" spans="1:7" ht="13.5" thickBot="1" x14ac:dyDescent="0.35">
      <c r="A317" s="678"/>
      <c r="B317" s="679"/>
      <c r="C317" s="679"/>
      <c r="D317" s="679"/>
      <c r="E317" s="679"/>
      <c r="F317" s="679"/>
      <c r="G317" s="680"/>
    </row>
    <row r="318" spans="1:7" ht="26" x14ac:dyDescent="0.3">
      <c r="A318" s="681" t="s">
        <v>267</v>
      </c>
      <c r="B318" s="682" t="s">
        <v>433</v>
      </c>
      <c r="C318" s="683" t="s">
        <v>434</v>
      </c>
      <c r="D318" s="683" t="s">
        <v>435</v>
      </c>
      <c r="E318" s="683" t="s">
        <v>599</v>
      </c>
      <c r="F318" s="683" t="s">
        <v>818</v>
      </c>
      <c r="G318" s="684" t="s">
        <v>405</v>
      </c>
    </row>
    <row r="319" spans="1:7" x14ac:dyDescent="0.3">
      <c r="A319" s="685" t="s">
        <v>436</v>
      </c>
      <c r="B319" s="366"/>
      <c r="C319" s="366">
        <v>176523043</v>
      </c>
      <c r="D319" s="366"/>
      <c r="E319" s="366"/>
      <c r="F319" s="366"/>
      <c r="G319" s="686">
        <f>SUM(C319:F319)</f>
        <v>176523043</v>
      </c>
    </row>
    <row r="320" spans="1:7" x14ac:dyDescent="0.3">
      <c r="A320" s="687" t="s">
        <v>437</v>
      </c>
      <c r="B320" s="367"/>
      <c r="C320" s="367"/>
      <c r="D320" s="367"/>
      <c r="E320" s="367"/>
      <c r="F320" s="367"/>
      <c r="G320" s="688"/>
    </row>
    <row r="321" spans="1:7" x14ac:dyDescent="0.3">
      <c r="A321" s="689" t="s">
        <v>438</v>
      </c>
      <c r="B321" s="368"/>
      <c r="C321" s="368">
        <v>176523043</v>
      </c>
      <c r="D321" s="368"/>
      <c r="E321" s="368"/>
      <c r="F321" s="368"/>
      <c r="G321" s="690">
        <f>SUM(C321:F321)</f>
        <v>176523043</v>
      </c>
    </row>
    <row r="322" spans="1:7" x14ac:dyDescent="0.3">
      <c r="A322" s="689"/>
      <c r="B322" s="368"/>
      <c r="C322" s="368"/>
      <c r="D322" s="368"/>
      <c r="E322" s="368"/>
      <c r="F322" s="368"/>
      <c r="G322" s="690"/>
    </row>
    <row r="323" spans="1:7" x14ac:dyDescent="0.3">
      <c r="A323" s="685" t="s">
        <v>439</v>
      </c>
      <c r="B323" s="369">
        <v>3105023</v>
      </c>
      <c r="C323" s="369">
        <f>SUM(C324:C333)</f>
        <v>0</v>
      </c>
      <c r="D323" s="369">
        <f>SUM(D325:D328)</f>
        <v>173418020</v>
      </c>
      <c r="E323" s="369">
        <f>SUM(E325:E328)</f>
        <v>0</v>
      </c>
      <c r="F323" s="369">
        <f>SUM(F325:F328)</f>
        <v>0</v>
      </c>
      <c r="G323" s="691">
        <f>SUM(B323:F323)</f>
        <v>176523043</v>
      </c>
    </row>
    <row r="324" spans="1:7" x14ac:dyDescent="0.3">
      <c r="A324" s="687" t="s">
        <v>437</v>
      </c>
      <c r="B324" s="367"/>
      <c r="C324" s="367"/>
      <c r="D324" s="367"/>
      <c r="E324" s="367"/>
      <c r="F324" s="367"/>
      <c r="G324" s="688"/>
    </row>
    <row r="325" spans="1:7" x14ac:dyDescent="0.3">
      <c r="A325" s="692" t="s">
        <v>440</v>
      </c>
      <c r="B325" s="370"/>
      <c r="C325" s="370">
        <v>0</v>
      </c>
      <c r="D325" s="370">
        <v>0</v>
      </c>
      <c r="E325" s="370">
        <v>0</v>
      </c>
      <c r="F325" s="370">
        <v>0</v>
      </c>
      <c r="G325" s="690">
        <f>SUM(C325:F325)</f>
        <v>0</v>
      </c>
    </row>
    <row r="326" spans="1:7" ht="26" x14ac:dyDescent="0.3">
      <c r="A326" s="692" t="s">
        <v>206</v>
      </c>
      <c r="B326" s="370"/>
      <c r="C326" s="370">
        <v>0</v>
      </c>
      <c r="D326" s="370">
        <v>0</v>
      </c>
      <c r="E326" s="370">
        <v>0</v>
      </c>
      <c r="F326" s="370">
        <v>0</v>
      </c>
      <c r="G326" s="690">
        <f>SUM(D326:F326)</f>
        <v>0</v>
      </c>
    </row>
    <row r="327" spans="1:7" x14ac:dyDescent="0.3">
      <c r="A327" s="692" t="s">
        <v>441</v>
      </c>
      <c r="B327" s="370">
        <v>3105023</v>
      </c>
      <c r="C327" s="370"/>
      <c r="D327" s="370">
        <v>13511942</v>
      </c>
      <c r="E327" s="370">
        <v>0</v>
      </c>
      <c r="F327" s="370">
        <v>0</v>
      </c>
      <c r="G327" s="690">
        <f>SUM(B327:F327)</f>
        <v>16616965</v>
      </c>
    </row>
    <row r="328" spans="1:7" x14ac:dyDescent="0.3">
      <c r="A328" s="692" t="s">
        <v>442</v>
      </c>
      <c r="B328" s="370"/>
      <c r="C328" s="370">
        <v>0</v>
      </c>
      <c r="D328" s="370">
        <v>159906078</v>
      </c>
      <c r="E328" s="370">
        <v>0</v>
      </c>
      <c r="F328" s="370">
        <v>0</v>
      </c>
      <c r="G328" s="690">
        <f>SUM(C328:F328)</f>
        <v>159906078</v>
      </c>
    </row>
    <row r="329" spans="1:7" x14ac:dyDescent="0.3">
      <c r="A329" s="689" t="s">
        <v>437</v>
      </c>
      <c r="B329" s="370"/>
      <c r="C329" s="370"/>
      <c r="D329" s="370"/>
      <c r="E329" s="370"/>
      <c r="F329" s="370"/>
      <c r="G329" s="690"/>
    </row>
    <row r="330" spans="1:7" x14ac:dyDescent="0.3">
      <c r="A330" s="689" t="s">
        <v>881</v>
      </c>
      <c r="B330" s="370"/>
      <c r="C330" s="370"/>
      <c r="D330" s="370"/>
      <c r="E330" s="370"/>
      <c r="F330" s="370">
        <v>0</v>
      </c>
      <c r="G330" s="690">
        <v>0</v>
      </c>
    </row>
    <row r="331" spans="1:7" x14ac:dyDescent="0.3">
      <c r="A331" s="689" t="s">
        <v>902</v>
      </c>
      <c r="B331" s="370"/>
      <c r="C331" s="370"/>
      <c r="D331" s="370"/>
      <c r="E331" s="370"/>
      <c r="F331" s="370">
        <v>0</v>
      </c>
      <c r="G331" s="690">
        <v>0</v>
      </c>
    </row>
    <row r="332" spans="1:7" x14ac:dyDescent="0.3">
      <c r="A332" s="692" t="s">
        <v>443</v>
      </c>
      <c r="B332" s="370"/>
      <c r="C332" s="370"/>
      <c r="D332" s="370"/>
      <c r="E332" s="370"/>
      <c r="F332" s="370"/>
      <c r="G332" s="690">
        <v>0</v>
      </c>
    </row>
    <row r="333" spans="1:7" x14ac:dyDescent="0.3">
      <c r="A333" s="692" t="s">
        <v>235</v>
      </c>
      <c r="B333" s="370"/>
      <c r="C333" s="370"/>
      <c r="D333" s="370"/>
      <c r="E333" s="370"/>
      <c r="F333" s="370"/>
      <c r="G333" s="690">
        <v>0</v>
      </c>
    </row>
    <row r="334" spans="1:7" ht="27" x14ac:dyDescent="0.3">
      <c r="A334" s="693" t="s">
        <v>444</v>
      </c>
      <c r="B334" s="371">
        <v>3105023</v>
      </c>
      <c r="C334" s="371"/>
      <c r="D334" s="371">
        <v>168124020</v>
      </c>
      <c r="E334" s="371">
        <v>0</v>
      </c>
      <c r="F334" s="371">
        <v>0</v>
      </c>
      <c r="G334" s="694">
        <f>SUM(G325:G328)</f>
        <v>176523043</v>
      </c>
    </row>
    <row r="335" spans="1:7" ht="27.5" thickBot="1" x14ac:dyDescent="0.35">
      <c r="A335" s="695" t="s">
        <v>445</v>
      </c>
      <c r="B335" s="696">
        <v>0</v>
      </c>
      <c r="C335" s="696">
        <v>0</v>
      </c>
      <c r="D335" s="696"/>
      <c r="E335" s="696"/>
      <c r="F335" s="696"/>
      <c r="G335" s="697"/>
    </row>
    <row r="337" spans="1:7" ht="13.5" thickBot="1" x14ac:dyDescent="0.35"/>
    <row r="338" spans="1:7" ht="17.5" x14ac:dyDescent="0.3">
      <c r="A338" s="1056" t="s">
        <v>446</v>
      </c>
      <c r="B338" s="1057"/>
      <c r="C338" s="1057"/>
      <c r="D338" s="1057"/>
      <c r="E338" s="1057"/>
      <c r="F338" s="1057"/>
      <c r="G338" s="1058"/>
    </row>
    <row r="339" spans="1:7" ht="15" x14ac:dyDescent="0.3">
      <c r="A339" s="672"/>
      <c r="B339" s="1059"/>
      <c r="C339" s="1059"/>
      <c r="D339" s="673"/>
      <c r="E339" s="673"/>
      <c r="F339" s="673"/>
      <c r="G339" s="674"/>
    </row>
    <row r="340" spans="1:7" x14ac:dyDescent="0.3">
      <c r="A340" s="675" t="s">
        <v>428</v>
      </c>
      <c r="B340" s="1060" t="s">
        <v>917</v>
      </c>
      <c r="C340" s="1060"/>
      <c r="D340" s="1060"/>
      <c r="E340" s="1060"/>
      <c r="F340" s="1060"/>
      <c r="G340" s="1061"/>
    </row>
    <row r="341" spans="1:7" x14ac:dyDescent="0.3">
      <c r="A341" s="675" t="s">
        <v>429</v>
      </c>
      <c r="B341" s="1060" t="s">
        <v>816</v>
      </c>
      <c r="C341" s="1060"/>
      <c r="D341" s="1060"/>
      <c r="E341" s="1060"/>
      <c r="F341" s="1060"/>
      <c r="G341" s="1061"/>
    </row>
    <row r="342" spans="1:7" x14ac:dyDescent="0.3">
      <c r="A342" s="675" t="s">
        <v>878</v>
      </c>
      <c r="B342" s="1060" t="s">
        <v>817</v>
      </c>
      <c r="C342" s="1060"/>
      <c r="D342" s="1060"/>
      <c r="E342" s="1060"/>
      <c r="F342" s="1060"/>
      <c r="G342" s="1061"/>
    </row>
    <row r="343" spans="1:7" ht="15.5" x14ac:dyDescent="0.3">
      <c r="A343" s="675" t="s">
        <v>880</v>
      </c>
      <c r="B343" s="1052">
        <v>499444098</v>
      </c>
      <c r="C343" s="1052"/>
      <c r="D343" s="149"/>
      <c r="E343" s="670"/>
      <c r="F343" s="670"/>
      <c r="G343" s="676"/>
    </row>
    <row r="344" spans="1:7" ht="15.5" x14ac:dyDescent="0.3">
      <c r="A344" s="675" t="s">
        <v>812</v>
      </c>
      <c r="B344" s="1052" t="s">
        <v>381</v>
      </c>
      <c r="C344" s="1052"/>
      <c r="D344" s="1052"/>
      <c r="E344" s="677"/>
      <c r="F344" s="677"/>
      <c r="G344" s="676"/>
    </row>
    <row r="345" spans="1:7" ht="15.5" x14ac:dyDescent="0.3">
      <c r="A345" s="675" t="s">
        <v>430</v>
      </c>
      <c r="B345" s="1053">
        <v>1</v>
      </c>
      <c r="C345" s="1053"/>
      <c r="D345" s="671"/>
      <c r="E345" s="671"/>
      <c r="F345" s="671"/>
      <c r="G345" s="676"/>
    </row>
    <row r="346" spans="1:7" ht="15.5" x14ac:dyDescent="0.3">
      <c r="A346" s="675" t="s">
        <v>431</v>
      </c>
      <c r="B346" s="1054">
        <v>42887</v>
      </c>
      <c r="C346" s="1055"/>
      <c r="D346" s="669"/>
      <c r="E346" s="669"/>
      <c r="F346" s="669"/>
      <c r="G346" s="676"/>
    </row>
    <row r="347" spans="1:7" ht="15.5" x14ac:dyDescent="0.3">
      <c r="A347" s="675" t="s">
        <v>432</v>
      </c>
      <c r="B347" s="1054">
        <v>43951</v>
      </c>
      <c r="C347" s="1055"/>
      <c r="D347" s="669"/>
      <c r="E347" s="669"/>
      <c r="F347" s="669"/>
      <c r="G347" s="676"/>
    </row>
    <row r="348" spans="1:7" ht="13.5" thickBot="1" x14ac:dyDescent="0.35">
      <c r="A348" s="678"/>
      <c r="B348" s="679"/>
      <c r="C348" s="679"/>
      <c r="D348" s="679"/>
      <c r="E348" s="679"/>
      <c r="F348" s="679"/>
      <c r="G348" s="680"/>
    </row>
    <row r="349" spans="1:7" ht="26" x14ac:dyDescent="0.3">
      <c r="A349" s="681" t="s">
        <v>267</v>
      </c>
      <c r="B349" s="682" t="s">
        <v>433</v>
      </c>
      <c r="C349" s="683" t="s">
        <v>434</v>
      </c>
      <c r="D349" s="683" t="s">
        <v>435</v>
      </c>
      <c r="E349" s="683" t="s">
        <v>599</v>
      </c>
      <c r="F349" s="683" t="s">
        <v>818</v>
      </c>
      <c r="G349" s="684" t="s">
        <v>405</v>
      </c>
    </row>
    <row r="350" spans="1:7" x14ac:dyDescent="0.3">
      <c r="A350" s="685" t="s">
        <v>436</v>
      </c>
      <c r="B350" s="366"/>
      <c r="C350" s="366">
        <v>499444098</v>
      </c>
      <c r="D350" s="366"/>
      <c r="E350" s="366"/>
      <c r="F350" s="366"/>
      <c r="G350" s="686">
        <v>499444098</v>
      </c>
    </row>
    <row r="351" spans="1:7" x14ac:dyDescent="0.3">
      <c r="A351" s="687" t="s">
        <v>437</v>
      </c>
      <c r="B351" s="367"/>
      <c r="C351" s="367"/>
      <c r="D351" s="367"/>
      <c r="E351" s="367"/>
      <c r="F351" s="367"/>
      <c r="G351" s="688"/>
    </row>
    <row r="352" spans="1:7" x14ac:dyDescent="0.3">
      <c r="A352" s="689" t="s">
        <v>438</v>
      </c>
      <c r="B352" s="368"/>
      <c r="C352" s="368">
        <v>499444098</v>
      </c>
      <c r="D352" s="368"/>
      <c r="E352" s="368"/>
      <c r="F352" s="368"/>
      <c r="G352" s="690">
        <v>499444098</v>
      </c>
    </row>
    <row r="353" spans="1:7" x14ac:dyDescent="0.3">
      <c r="A353" s="689"/>
      <c r="B353" s="368"/>
      <c r="C353" s="368"/>
      <c r="D353" s="368"/>
      <c r="E353" s="368"/>
      <c r="F353" s="368"/>
      <c r="G353" s="690"/>
    </row>
    <row r="354" spans="1:7" x14ac:dyDescent="0.3">
      <c r="A354" s="685" t="s">
        <v>439</v>
      </c>
      <c r="B354" s="369">
        <f>SUM(B355:B363)</f>
        <v>5150500</v>
      </c>
      <c r="C354" s="369">
        <f>SUM(C355:C363)</f>
        <v>10628000</v>
      </c>
      <c r="D354" s="369">
        <f>SUM(D355:D363)</f>
        <v>127170025</v>
      </c>
      <c r="E354" s="369">
        <f>SUM(E355:E363)</f>
        <v>278727063</v>
      </c>
      <c r="F354" s="369">
        <f>SUM(F358:F359)</f>
        <v>77768510</v>
      </c>
      <c r="G354" s="691">
        <f>SUM(B354:F354)</f>
        <v>499444098</v>
      </c>
    </row>
    <row r="355" spans="1:7" x14ac:dyDescent="0.3">
      <c r="A355" s="687" t="s">
        <v>437</v>
      </c>
      <c r="B355" s="367"/>
      <c r="C355" s="367"/>
      <c r="D355" s="367"/>
      <c r="E355" s="367"/>
      <c r="F355" s="367"/>
      <c r="G355" s="688"/>
    </row>
    <row r="356" spans="1:7" x14ac:dyDescent="0.3">
      <c r="A356" s="692" t="s">
        <v>440</v>
      </c>
      <c r="B356" s="370"/>
      <c r="C356" s="370">
        <v>0</v>
      </c>
      <c r="D356" s="370">
        <v>0</v>
      </c>
      <c r="E356" s="370">
        <v>0</v>
      </c>
      <c r="F356" s="370"/>
      <c r="G356" s="690">
        <v>0</v>
      </c>
    </row>
    <row r="357" spans="1:7" ht="26" x14ac:dyDescent="0.3">
      <c r="A357" s="692" t="s">
        <v>206</v>
      </c>
      <c r="B357" s="370"/>
      <c r="C357" s="370">
        <v>0</v>
      </c>
      <c r="D357" s="370">
        <v>0</v>
      </c>
      <c r="E357" s="370">
        <v>0</v>
      </c>
      <c r="F357" s="370"/>
      <c r="G357" s="690">
        <v>0</v>
      </c>
    </row>
    <row r="358" spans="1:7" x14ac:dyDescent="0.3">
      <c r="A358" s="692" t="s">
        <v>441</v>
      </c>
      <c r="B358" s="370">
        <v>5150500</v>
      </c>
      <c r="C358" s="370">
        <v>10628000</v>
      </c>
      <c r="D358" s="370">
        <v>20168000</v>
      </c>
      <c r="E358" s="370">
        <v>11222000</v>
      </c>
      <c r="F358" s="370">
        <v>5535000</v>
      </c>
      <c r="G358" s="690">
        <f>SUM(B358:F358)</f>
        <v>52703500</v>
      </c>
    </row>
    <row r="359" spans="1:7" x14ac:dyDescent="0.3">
      <c r="A359" s="692" t="s">
        <v>442</v>
      </c>
      <c r="B359" s="370"/>
      <c r="C359" s="370">
        <v>0</v>
      </c>
      <c r="D359" s="370">
        <v>107002025</v>
      </c>
      <c r="E359" s="370">
        <v>267505063</v>
      </c>
      <c r="F359" s="370">
        <v>72233510</v>
      </c>
      <c r="G359" s="690">
        <f>SUM(D359:F359)</f>
        <v>446740598</v>
      </c>
    </row>
    <row r="360" spans="1:7" x14ac:dyDescent="0.3">
      <c r="A360" s="689" t="s">
        <v>437</v>
      </c>
      <c r="B360" s="370"/>
      <c r="C360" s="370"/>
      <c r="D360" s="370"/>
      <c r="E360" s="370"/>
      <c r="F360" s="370"/>
      <c r="G360" s="690"/>
    </row>
    <row r="361" spans="1:7" x14ac:dyDescent="0.3">
      <c r="A361" s="689" t="s">
        <v>881</v>
      </c>
      <c r="B361" s="370"/>
      <c r="C361" s="370"/>
      <c r="D361" s="370"/>
      <c r="E361" s="370"/>
      <c r="F361" s="370">
        <v>18732500</v>
      </c>
      <c r="G361" s="690">
        <v>18732500</v>
      </c>
    </row>
    <row r="362" spans="1:7" x14ac:dyDescent="0.3">
      <c r="A362" s="692" t="s">
        <v>443</v>
      </c>
      <c r="B362" s="370"/>
      <c r="C362" s="370"/>
      <c r="D362" s="370"/>
      <c r="E362" s="370"/>
      <c r="F362" s="370"/>
      <c r="G362" s="690">
        <v>0</v>
      </c>
    </row>
    <row r="363" spans="1:7" x14ac:dyDescent="0.3">
      <c r="A363" s="692" t="s">
        <v>235</v>
      </c>
      <c r="B363" s="370"/>
      <c r="C363" s="370"/>
      <c r="D363" s="370"/>
      <c r="E363" s="370"/>
      <c r="F363" s="370"/>
      <c r="G363" s="690">
        <v>0</v>
      </c>
    </row>
    <row r="364" spans="1:7" ht="27" x14ac:dyDescent="0.3">
      <c r="A364" s="693" t="s">
        <v>444</v>
      </c>
      <c r="B364" s="371">
        <v>5150500</v>
      </c>
      <c r="C364" s="371">
        <v>10628000</v>
      </c>
      <c r="D364" s="371">
        <v>127170025</v>
      </c>
      <c r="E364" s="371">
        <v>278727063</v>
      </c>
      <c r="F364" s="371">
        <v>77768510</v>
      </c>
      <c r="G364" s="694">
        <f>SUM(B364:F364)</f>
        <v>499444098</v>
      </c>
    </row>
    <row r="365" spans="1:7" ht="27.5" thickBot="1" x14ac:dyDescent="0.35">
      <c r="A365" s="695" t="s">
        <v>445</v>
      </c>
      <c r="B365" s="696">
        <v>0</v>
      </c>
      <c r="C365" s="696">
        <v>0</v>
      </c>
      <c r="D365" s="696"/>
      <c r="E365" s="696"/>
      <c r="F365" s="696"/>
      <c r="G365" s="697">
        <v>0</v>
      </c>
    </row>
  </sheetData>
  <mergeCells count="124">
    <mergeCell ref="B33:G33"/>
    <mergeCell ref="B34:G34"/>
    <mergeCell ref="B35:G35"/>
    <mergeCell ref="B68:C68"/>
    <mergeCell ref="B69:C69"/>
    <mergeCell ref="B70:C70"/>
    <mergeCell ref="B97:G97"/>
    <mergeCell ref="B98:G98"/>
    <mergeCell ref="B99:C99"/>
    <mergeCell ref="A1:G1"/>
    <mergeCell ref="B3:G3"/>
    <mergeCell ref="B4:G4"/>
    <mergeCell ref="B5:G5"/>
    <mergeCell ref="B6:C6"/>
    <mergeCell ref="B2:C2"/>
    <mergeCell ref="B7:D7"/>
    <mergeCell ref="B65:G65"/>
    <mergeCell ref="B67:D67"/>
    <mergeCell ref="B36:C36"/>
    <mergeCell ref="B37:D37"/>
    <mergeCell ref="A61:G61"/>
    <mergeCell ref="B62:C62"/>
    <mergeCell ref="B63:G63"/>
    <mergeCell ref="B64:G64"/>
    <mergeCell ref="B66:C66"/>
    <mergeCell ref="B39:C39"/>
    <mergeCell ref="B40:C40"/>
    <mergeCell ref="B8:C8"/>
    <mergeCell ref="B38:C38"/>
    <mergeCell ref="B9:C9"/>
    <mergeCell ref="B10:C10"/>
    <mergeCell ref="A31:G31"/>
    <mergeCell ref="B32:C32"/>
    <mergeCell ref="B101:C101"/>
    <mergeCell ref="A91:G91"/>
    <mergeCell ref="B93:G93"/>
    <mergeCell ref="B94:G94"/>
    <mergeCell ref="B95:G95"/>
    <mergeCell ref="B96:C96"/>
    <mergeCell ref="B129:C129"/>
    <mergeCell ref="B130:C130"/>
    <mergeCell ref="B131:C131"/>
    <mergeCell ref="A121:G121"/>
    <mergeCell ref="B122:C122"/>
    <mergeCell ref="B123:G123"/>
    <mergeCell ref="B92:C92"/>
    <mergeCell ref="B100:C100"/>
    <mergeCell ref="A152:G152"/>
    <mergeCell ref="B153:C153"/>
    <mergeCell ref="B124:G124"/>
    <mergeCell ref="B125:G125"/>
    <mergeCell ref="B126:C126"/>
    <mergeCell ref="B127:G127"/>
    <mergeCell ref="B128:G128"/>
    <mergeCell ref="B159:C159"/>
    <mergeCell ref="B160:C160"/>
    <mergeCell ref="B161:C161"/>
    <mergeCell ref="A182:G182"/>
    <mergeCell ref="B183:C183"/>
    <mergeCell ref="B154:G154"/>
    <mergeCell ref="B155:G155"/>
    <mergeCell ref="B156:G156"/>
    <mergeCell ref="B157:C157"/>
    <mergeCell ref="B158:D158"/>
    <mergeCell ref="B189:D189"/>
    <mergeCell ref="B190:C190"/>
    <mergeCell ref="B191:C191"/>
    <mergeCell ref="B192:C192"/>
    <mergeCell ref="A215:G215"/>
    <mergeCell ref="B184:G184"/>
    <mergeCell ref="B185:G185"/>
    <mergeCell ref="B186:G186"/>
    <mergeCell ref="B187:C187"/>
    <mergeCell ref="B188:D188"/>
    <mergeCell ref="B221:D221"/>
    <mergeCell ref="B222:C222"/>
    <mergeCell ref="B223:C223"/>
    <mergeCell ref="B224:C224"/>
    <mergeCell ref="A246:G246"/>
    <mergeCell ref="B216:C216"/>
    <mergeCell ref="B217:G217"/>
    <mergeCell ref="B218:G218"/>
    <mergeCell ref="B219:G219"/>
    <mergeCell ref="B220:C220"/>
    <mergeCell ref="B252:G252"/>
    <mergeCell ref="B253:G253"/>
    <mergeCell ref="B254:C254"/>
    <mergeCell ref="B255:C255"/>
    <mergeCell ref="B256:C256"/>
    <mergeCell ref="B247:C247"/>
    <mergeCell ref="B248:G248"/>
    <mergeCell ref="B249:G249"/>
    <mergeCell ref="B250:G250"/>
    <mergeCell ref="B251:C251"/>
    <mergeCell ref="B281:C281"/>
    <mergeCell ref="B282:D282"/>
    <mergeCell ref="B283:C283"/>
    <mergeCell ref="B284:C284"/>
    <mergeCell ref="B285:C285"/>
    <mergeCell ref="A276:G276"/>
    <mergeCell ref="B277:C277"/>
    <mergeCell ref="B278:G278"/>
    <mergeCell ref="B279:G279"/>
    <mergeCell ref="B280:G280"/>
    <mergeCell ref="B312:C312"/>
    <mergeCell ref="B313:D313"/>
    <mergeCell ref="B314:C314"/>
    <mergeCell ref="B315:C315"/>
    <mergeCell ref="B316:C316"/>
    <mergeCell ref="A307:G307"/>
    <mergeCell ref="B308:C308"/>
    <mergeCell ref="B309:G309"/>
    <mergeCell ref="B310:G310"/>
    <mergeCell ref="B311:G311"/>
    <mergeCell ref="B343:C343"/>
    <mergeCell ref="B344:D344"/>
    <mergeCell ref="B345:C345"/>
    <mergeCell ref="B346:C346"/>
    <mergeCell ref="B347:C347"/>
    <mergeCell ref="A338:G338"/>
    <mergeCell ref="B339:C339"/>
    <mergeCell ref="B340:G340"/>
    <mergeCell ref="B341:G341"/>
    <mergeCell ref="B342:G342"/>
  </mergeCells>
  <conditionalFormatting sqref="F48 G5:G14 B14:F14 G17:G23 B24:G24 F25:F29 G29:G42 F43:F45 B45:E45 B50:E50 B125:F125 B130:E130 B152:G152 B157:F157 B179:G179 B184:F184">
    <cfRule type="cellIs" dxfId="9" priority="19" stopIfTrue="1" operator="equal">
      <formula>0</formula>
    </cfRule>
  </conditionalFormatting>
  <conditionalFormatting sqref="E51:E55">
    <cfRule type="cellIs" dxfId="8" priority="17" stopIfTrue="1" operator="equal">
      <formula>0</formula>
    </cfRule>
  </conditionalFormatting>
  <conditionalFormatting sqref="F74 F69:F71 B71:E71 B76:E76">
    <cfRule type="cellIs" dxfId="7" priority="11" stopIfTrue="1" operator="equal">
      <formula>0</formula>
    </cfRule>
  </conditionalFormatting>
  <conditionalFormatting sqref="E77:E82">
    <cfRule type="cellIs" dxfId="6" priority="10" stopIfTrue="1" operator="equal">
      <formula>0</formula>
    </cfRule>
  </conditionalFormatting>
  <conditionalFormatting sqref="F101 F96:F98 B98:E98 B103:E103">
    <cfRule type="cellIs" dxfId="5" priority="9" stopIfTrue="1" operator="equal">
      <formula>0</formula>
    </cfRule>
  </conditionalFormatting>
  <conditionalFormatting sqref="E104:E109">
    <cfRule type="cellIs" dxfId="4" priority="8" stopIfTrue="1" operator="equal">
      <formula>0</formula>
    </cfRule>
  </conditionalFormatting>
  <conditionalFormatting sqref="G128 G123:G125">
    <cfRule type="cellIs" dxfId="3" priority="7" stopIfTrue="1" operator="equal">
      <formula>0</formula>
    </cfRule>
  </conditionalFormatting>
  <conditionalFormatting sqref="H155 H150:H152">
    <cfRule type="cellIs" dxfId="2" priority="5" stopIfTrue="1" operator="equal">
      <formula>0</formula>
    </cfRule>
  </conditionalFormatting>
  <conditionalFormatting sqref="H182 H177:H179">
    <cfRule type="cellIs" dxfId="1" priority="3" stopIfTrue="1" operator="equal">
      <formula>0</formula>
    </cfRule>
  </conditionalFormatting>
  <conditionalFormatting sqref="A5:A14 G32:G36 A29:A31 B36:F36 B46:G46 G39:G45 F53:G53 A17:A24">
    <cfRule type="cellIs" dxfId="0" priority="1" stopIfTrue="1" operator="equal">
      <formula>0</formula>
    </cfRule>
  </conditionalFormatting>
  <printOptions horizontalCentered="1"/>
  <pageMargins left="0.25" right="0.25" top="0.75" bottom="0.75" header="0.3" footer="0.3"/>
  <pageSetup paperSize="9" scale="86" orientation="portrait" r:id="rId1"/>
  <headerFooter alignWithMargins="0">
    <oddHeader>&amp;R&amp;"Times New Roman CE,Félkövér dőlt"&amp;11 8. melléklet a 7/2018. (V.31.)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view="pageLayout" zoomScaleNormal="100" workbookViewId="0">
      <selection activeCell="I115" sqref="I115"/>
    </sheetView>
  </sheetViews>
  <sheetFormatPr defaultColWidth="9.296875" defaultRowHeight="15.5" x14ac:dyDescent="0.35"/>
  <cols>
    <col min="1" max="1" width="6.296875" style="8" customWidth="1"/>
    <col min="2" max="2" width="70.796875" style="8" customWidth="1"/>
    <col min="3" max="3" width="12.296875" style="8" customWidth="1"/>
    <col min="4" max="5" width="15.796875" style="8" customWidth="1"/>
    <col min="6" max="6" width="15.796875" style="9" customWidth="1"/>
    <col min="7" max="8" width="15.796875" style="247" customWidth="1"/>
    <col min="9" max="9" width="15.796875" style="593" customWidth="1"/>
    <col min="10" max="10" width="15.796875" style="800" customWidth="1"/>
    <col min="11" max="12" width="9.296875" style="1"/>
    <col min="13" max="13" width="19.69921875" style="1" bestFit="1" customWidth="1"/>
    <col min="14" max="14" width="9.296875" style="1"/>
    <col min="15" max="15" width="20.296875" style="1" customWidth="1"/>
    <col min="16" max="16384" width="9.296875" style="1"/>
  </cols>
  <sheetData>
    <row r="1" spans="1:10" ht="51" customHeight="1" x14ac:dyDescent="0.35">
      <c r="A1" s="1063" t="s">
        <v>621</v>
      </c>
      <c r="B1" s="1063"/>
      <c r="C1" s="1063"/>
      <c r="D1" s="1063"/>
      <c r="E1" s="1063"/>
      <c r="F1" s="1063"/>
      <c r="G1" s="1063"/>
      <c r="H1" s="1063"/>
      <c r="I1" s="1063"/>
      <c r="J1" s="1063"/>
    </row>
    <row r="2" spans="1:10" ht="16" customHeight="1" x14ac:dyDescent="0.35">
      <c r="A2" s="1015" t="s">
        <v>0</v>
      </c>
      <c r="B2" s="1015"/>
      <c r="C2" s="1015"/>
      <c r="D2" s="1015"/>
      <c r="E2" s="1015"/>
      <c r="F2" s="1015"/>
      <c r="G2" s="1015"/>
      <c r="H2" s="1015"/>
      <c r="I2" s="1015"/>
      <c r="J2" s="1015"/>
    </row>
    <row r="3" spans="1:10" ht="16" customHeight="1" x14ac:dyDescent="0.35">
      <c r="A3" s="1064"/>
      <c r="B3" s="1064"/>
      <c r="C3" s="2"/>
      <c r="D3" s="258"/>
      <c r="E3" s="258"/>
      <c r="H3" s="3" t="s">
        <v>799</v>
      </c>
      <c r="J3" s="797" t="s">
        <v>1</v>
      </c>
    </row>
    <row r="4" spans="1:10" s="7" customFormat="1" ht="38.15" customHeight="1" x14ac:dyDescent="0.3">
      <c r="A4" s="537" t="s">
        <v>2</v>
      </c>
      <c r="B4" s="538" t="s">
        <v>3</v>
      </c>
      <c r="C4" s="538" t="s">
        <v>4</v>
      </c>
      <c r="D4" s="550" t="s">
        <v>470</v>
      </c>
      <c r="E4" s="550" t="s">
        <v>471</v>
      </c>
      <c r="F4" s="539" t="s">
        <v>5</v>
      </c>
      <c r="G4" s="248" t="s">
        <v>822</v>
      </c>
      <c r="H4" s="217" t="s">
        <v>796</v>
      </c>
      <c r="I4" s="216" t="s">
        <v>829</v>
      </c>
      <c r="J4" s="798" t="s">
        <v>824</v>
      </c>
    </row>
    <row r="5" spans="1:10" s="551" customFormat="1" ht="12" customHeight="1" x14ac:dyDescent="0.25">
      <c r="A5" s="537" t="s">
        <v>6</v>
      </c>
      <c r="B5" s="538" t="s">
        <v>7</v>
      </c>
      <c r="C5" s="538" t="s">
        <v>8</v>
      </c>
      <c r="D5" s="550" t="s">
        <v>9</v>
      </c>
      <c r="E5" s="550" t="s">
        <v>269</v>
      </c>
      <c r="F5" s="550" t="s">
        <v>472</v>
      </c>
      <c r="G5" s="794" t="s">
        <v>794</v>
      </c>
      <c r="H5" s="550" t="s">
        <v>797</v>
      </c>
      <c r="I5" s="550" t="s">
        <v>798</v>
      </c>
      <c r="J5" s="799" t="s">
        <v>825</v>
      </c>
    </row>
    <row r="6" spans="1:10" s="5" customFormat="1" ht="15.75" customHeight="1" x14ac:dyDescent="0.3">
      <c r="A6" s="266" t="s">
        <v>10</v>
      </c>
      <c r="B6" s="267" t="s">
        <v>11</v>
      </c>
      <c r="C6" s="268" t="s">
        <v>12</v>
      </c>
      <c r="D6" s="372">
        <v>250951560</v>
      </c>
      <c r="E6" s="372"/>
      <c r="F6" s="373">
        <v>250951560</v>
      </c>
      <c r="G6" s="249">
        <f>H6-F6</f>
        <v>0</v>
      </c>
      <c r="H6" s="249">
        <v>250951560</v>
      </c>
      <c r="I6" s="221">
        <v>250951560</v>
      </c>
      <c r="J6" s="634">
        <f>I6/H6</f>
        <v>1</v>
      </c>
    </row>
    <row r="7" spans="1:10" s="5" customFormat="1" ht="15.75" customHeight="1" x14ac:dyDescent="0.3">
      <c r="A7" s="266" t="s">
        <v>13</v>
      </c>
      <c r="B7" s="267" t="s">
        <v>14</v>
      </c>
      <c r="C7" s="268" t="s">
        <v>15</v>
      </c>
      <c r="D7" s="372">
        <v>242687617</v>
      </c>
      <c r="E7" s="372"/>
      <c r="F7" s="373">
        <v>242687617</v>
      </c>
      <c r="G7" s="249">
        <f t="shared" ref="G7:G10" si="0">H7-F7</f>
        <v>15803404</v>
      </c>
      <c r="H7" s="249">
        <v>258491021</v>
      </c>
      <c r="I7" s="221">
        <v>258491021</v>
      </c>
      <c r="J7" s="634">
        <f t="shared" ref="J7:J70" si="1">I7/H7</f>
        <v>1</v>
      </c>
    </row>
    <row r="8" spans="1:10" s="5" customFormat="1" ht="24" customHeight="1" x14ac:dyDescent="0.3">
      <c r="A8" s="266" t="s">
        <v>16</v>
      </c>
      <c r="B8" s="267" t="s">
        <v>17</v>
      </c>
      <c r="C8" s="268" t="s">
        <v>18</v>
      </c>
      <c r="D8" s="372">
        <v>326754354</v>
      </c>
      <c r="E8" s="372"/>
      <c r="F8" s="373">
        <v>326754354</v>
      </c>
      <c r="G8" s="249">
        <f t="shared" si="0"/>
        <v>29336985</v>
      </c>
      <c r="H8" s="249">
        <v>356091339</v>
      </c>
      <c r="I8" s="221">
        <v>356091339</v>
      </c>
      <c r="J8" s="634">
        <f t="shared" si="1"/>
        <v>1</v>
      </c>
    </row>
    <row r="9" spans="1:10" s="5" customFormat="1" ht="15.75" customHeight="1" x14ac:dyDescent="0.3">
      <c r="A9" s="266" t="s">
        <v>19</v>
      </c>
      <c r="B9" s="267" t="s">
        <v>20</v>
      </c>
      <c r="C9" s="268" t="s">
        <v>21</v>
      </c>
      <c r="D9" s="372">
        <v>26773920</v>
      </c>
      <c r="E9" s="372"/>
      <c r="F9" s="373">
        <v>26773920</v>
      </c>
      <c r="G9" s="249">
        <f t="shared" si="0"/>
        <v>2851270</v>
      </c>
      <c r="H9" s="249">
        <v>29625190</v>
      </c>
      <c r="I9" s="221">
        <v>29625190</v>
      </c>
      <c r="J9" s="634">
        <f t="shared" si="1"/>
        <v>1</v>
      </c>
    </row>
    <row r="10" spans="1:10" s="5" customFormat="1" ht="15.75" customHeight="1" x14ac:dyDescent="0.3">
      <c r="A10" s="266" t="s">
        <v>22</v>
      </c>
      <c r="B10" s="267" t="s">
        <v>23</v>
      </c>
      <c r="C10" s="268" t="s">
        <v>24</v>
      </c>
      <c r="D10" s="372"/>
      <c r="E10" s="372"/>
      <c r="F10" s="373"/>
      <c r="G10" s="249">
        <f t="shared" si="0"/>
        <v>27538200</v>
      </c>
      <c r="H10" s="249">
        <v>27538200</v>
      </c>
      <c r="I10" s="221">
        <v>27538200</v>
      </c>
      <c r="J10" s="634">
        <f t="shared" si="1"/>
        <v>1</v>
      </c>
    </row>
    <row r="11" spans="1:10" s="5" customFormat="1" ht="15.75" customHeight="1" x14ac:dyDescent="0.3">
      <c r="A11" s="266" t="s">
        <v>25</v>
      </c>
      <c r="B11" s="267" t="s">
        <v>26</v>
      </c>
      <c r="C11" s="268" t="s">
        <v>27</v>
      </c>
      <c r="D11" s="372"/>
      <c r="E11" s="372"/>
      <c r="F11" s="373"/>
      <c r="G11" s="249">
        <f>H11-D11</f>
        <v>0</v>
      </c>
      <c r="H11" s="249"/>
      <c r="I11" s="221"/>
      <c r="J11" s="634"/>
    </row>
    <row r="12" spans="1:10" s="5" customFormat="1" ht="15.75" customHeight="1" x14ac:dyDescent="0.3">
      <c r="A12" s="93" t="s">
        <v>28</v>
      </c>
      <c r="B12" s="84" t="s">
        <v>29</v>
      </c>
      <c r="C12" s="87" t="s">
        <v>30</v>
      </c>
      <c r="D12" s="86">
        <f t="shared" ref="D12:E12" si="2">+D6+D7+D8+D9+D10+D11</f>
        <v>847167451</v>
      </c>
      <c r="E12" s="86">
        <f t="shared" si="2"/>
        <v>0</v>
      </c>
      <c r="F12" s="86">
        <f>+F6+F7+F8+F9+F10+F11</f>
        <v>847167451</v>
      </c>
      <c r="G12" s="86">
        <f>+G6+G7+G8+G9+G10+G11</f>
        <v>75529859</v>
      </c>
      <c r="H12" s="86">
        <f t="shared" ref="H12:I12" si="3">+H6+H7+H8+H9+H10+H11</f>
        <v>922697310</v>
      </c>
      <c r="I12" s="248">
        <f t="shared" si="3"/>
        <v>922697310</v>
      </c>
      <c r="J12" s="634">
        <f t="shared" si="1"/>
        <v>1</v>
      </c>
    </row>
    <row r="13" spans="1:10" s="5" customFormat="1" ht="15.75" customHeight="1" x14ac:dyDescent="0.3">
      <c r="A13" s="266" t="s">
        <v>31</v>
      </c>
      <c r="B13" s="267" t="s">
        <v>32</v>
      </c>
      <c r="C13" s="268" t="s">
        <v>33</v>
      </c>
      <c r="D13" s="372"/>
      <c r="E13" s="372"/>
      <c r="F13" s="373"/>
      <c r="G13" s="249"/>
      <c r="H13" s="249"/>
      <c r="I13" s="221"/>
      <c r="J13" s="634"/>
    </row>
    <row r="14" spans="1:10" s="5" customFormat="1" ht="15.75" customHeight="1" x14ac:dyDescent="0.3">
      <c r="A14" s="266" t="s">
        <v>34</v>
      </c>
      <c r="B14" s="267" t="s">
        <v>35</v>
      </c>
      <c r="C14" s="268" t="s">
        <v>36</v>
      </c>
      <c r="D14" s="373">
        <f t="shared" ref="D14:E14" si="4">SUM(D15:D21)</f>
        <v>39208485</v>
      </c>
      <c r="E14" s="373">
        <f t="shared" si="4"/>
        <v>70875180</v>
      </c>
      <c r="F14" s="373">
        <f>SUM(F15:F21)</f>
        <v>110083665</v>
      </c>
      <c r="G14" s="249">
        <f>H14-F14</f>
        <v>282673729</v>
      </c>
      <c r="H14" s="249">
        <v>392757394</v>
      </c>
      <c r="I14" s="221">
        <v>392756212</v>
      </c>
      <c r="J14" s="634">
        <f t="shared" si="1"/>
        <v>0.9999969905085988</v>
      </c>
    </row>
    <row r="15" spans="1:10" s="5" customFormat="1" ht="24" customHeight="1" x14ac:dyDescent="0.3">
      <c r="A15" s="266" t="s">
        <v>37</v>
      </c>
      <c r="B15" s="270" t="s">
        <v>38</v>
      </c>
      <c r="C15" s="268" t="s">
        <v>36</v>
      </c>
      <c r="D15" s="372"/>
      <c r="E15" s="372"/>
      <c r="F15" s="374"/>
      <c r="G15" s="250" t="s">
        <v>799</v>
      </c>
      <c r="H15" s="250" t="s">
        <v>799</v>
      </c>
      <c r="I15" s="221"/>
      <c r="J15" s="634"/>
    </row>
    <row r="16" spans="1:10" s="5" customFormat="1" ht="24.75" customHeight="1" x14ac:dyDescent="0.3">
      <c r="A16" s="266" t="s">
        <v>39</v>
      </c>
      <c r="B16" s="272" t="s">
        <v>40</v>
      </c>
      <c r="C16" s="268" t="s">
        <v>36</v>
      </c>
      <c r="D16" s="372"/>
      <c r="E16" s="372">
        <v>55826180</v>
      </c>
      <c r="F16" s="374">
        <f>'[16]8.sz.mell. '!F13</f>
        <v>55826180</v>
      </c>
      <c r="G16" s="249">
        <f t="shared" ref="G16:G21" si="5">H16-F16</f>
        <v>13536000</v>
      </c>
      <c r="H16" s="249">
        <v>69362180</v>
      </c>
      <c r="I16" s="249">
        <v>69361897</v>
      </c>
      <c r="J16" s="634">
        <f t="shared" si="1"/>
        <v>0.99999591996675996</v>
      </c>
    </row>
    <row r="17" spans="1:10" s="5" customFormat="1" ht="15.75" customHeight="1" x14ac:dyDescent="0.3">
      <c r="A17" s="266" t="s">
        <v>41</v>
      </c>
      <c r="B17" s="272" t="s">
        <v>42</v>
      </c>
      <c r="C17" s="268" t="s">
        <v>36</v>
      </c>
      <c r="D17" s="372"/>
      <c r="E17" s="372"/>
      <c r="F17" s="374"/>
      <c r="G17" s="250" t="s">
        <v>799</v>
      </c>
      <c r="H17" s="250" t="s">
        <v>799</v>
      </c>
      <c r="I17" s="221"/>
      <c r="J17" s="634"/>
    </row>
    <row r="18" spans="1:10" s="5" customFormat="1" ht="19.5" customHeight="1" x14ac:dyDescent="0.3">
      <c r="A18" s="266" t="s">
        <v>43</v>
      </c>
      <c r="B18" s="272" t="s">
        <v>44</v>
      </c>
      <c r="C18" s="268" t="s">
        <v>36</v>
      </c>
      <c r="D18" s="372"/>
      <c r="E18" s="372">
        <v>15049000</v>
      </c>
      <c r="F18" s="269">
        <f>13321000+1728000</f>
        <v>15049000</v>
      </c>
      <c r="G18" s="249">
        <f t="shared" si="5"/>
        <v>-12658598</v>
      </c>
      <c r="H18" s="249">
        <v>2390402</v>
      </c>
      <c r="I18" s="796">
        <v>23290402</v>
      </c>
      <c r="J18" s="634">
        <f t="shared" si="1"/>
        <v>9.7432992442275399</v>
      </c>
    </row>
    <row r="19" spans="1:10" s="5" customFormat="1" ht="19.5" customHeight="1" x14ac:dyDescent="0.3">
      <c r="A19" s="266" t="s">
        <v>45</v>
      </c>
      <c r="B19" s="272" t="s">
        <v>46</v>
      </c>
      <c r="C19" s="268" t="s">
        <v>36</v>
      </c>
      <c r="D19" s="372">
        <v>8348400</v>
      </c>
      <c r="E19" s="372"/>
      <c r="F19" s="374">
        <f>695700*12</f>
        <v>8348400</v>
      </c>
      <c r="G19" s="249">
        <f t="shared" si="5"/>
        <v>7122100</v>
      </c>
      <c r="H19" s="249">
        <v>15470500</v>
      </c>
      <c r="I19" s="796">
        <v>15470500</v>
      </c>
      <c r="J19" s="634">
        <f t="shared" si="1"/>
        <v>1</v>
      </c>
    </row>
    <row r="20" spans="1:10" s="5" customFormat="1" ht="24" customHeight="1" x14ac:dyDescent="0.3">
      <c r="A20" s="266" t="s">
        <v>47</v>
      </c>
      <c r="B20" s="272" t="s">
        <v>48</v>
      </c>
      <c r="C20" s="268" t="s">
        <v>36</v>
      </c>
      <c r="D20" s="372">
        <v>30860085</v>
      </c>
      <c r="E20" s="372"/>
      <c r="F20" s="381">
        <f>25113874+594898+5151313</f>
        <v>30860085</v>
      </c>
      <c r="G20" s="249">
        <f t="shared" si="5"/>
        <v>239131803</v>
      </c>
      <c r="H20" s="249">
        <v>269991888</v>
      </c>
      <c r="I20" s="796">
        <v>269990989</v>
      </c>
      <c r="J20" s="634">
        <f t="shared" si="1"/>
        <v>0.99999667027033046</v>
      </c>
    </row>
    <row r="21" spans="1:10" s="5" customFormat="1" ht="24.75" customHeight="1" x14ac:dyDescent="0.3">
      <c r="A21" s="266" t="s">
        <v>49</v>
      </c>
      <c r="B21" s="272" t="s">
        <v>50</v>
      </c>
      <c r="C21" s="268" t="s">
        <v>36</v>
      </c>
      <c r="D21" s="372"/>
      <c r="E21" s="372"/>
      <c r="F21" s="374"/>
      <c r="G21" s="249">
        <f t="shared" si="5"/>
        <v>14642424</v>
      </c>
      <c r="H21" s="249">
        <v>14642424</v>
      </c>
      <c r="I21" s="796">
        <v>14642424</v>
      </c>
      <c r="J21" s="634">
        <f t="shared" si="1"/>
        <v>1</v>
      </c>
    </row>
    <row r="22" spans="1:10" s="5" customFormat="1" ht="18" customHeight="1" x14ac:dyDescent="0.3">
      <c r="A22" s="273" t="s">
        <v>51</v>
      </c>
      <c r="B22" s="274" t="s">
        <v>52</v>
      </c>
      <c r="C22" s="275" t="s">
        <v>53</v>
      </c>
      <c r="D22" s="375">
        <f t="shared" ref="D22:E22" si="6">SUM(D12+D13+D14)</f>
        <v>886375936</v>
      </c>
      <c r="E22" s="375">
        <f t="shared" si="6"/>
        <v>70875180</v>
      </c>
      <c r="F22" s="375">
        <f>SUM(F12+F13+F14)</f>
        <v>957251116</v>
      </c>
      <c r="G22" s="375">
        <f>SUM(G12+G13+G14)</f>
        <v>358203588</v>
      </c>
      <c r="H22" s="375">
        <f>SUM(H12+H13+H14)</f>
        <v>1315454704</v>
      </c>
      <c r="I22" s="248">
        <f t="shared" ref="I22" si="7">SUM(I12+I13+I14)</f>
        <v>1315453522</v>
      </c>
      <c r="J22" s="634">
        <f t="shared" si="1"/>
        <v>0.99999910145138682</v>
      </c>
    </row>
    <row r="23" spans="1:10" s="5" customFormat="1" ht="15.75" customHeight="1" x14ac:dyDescent="0.3">
      <c r="A23" s="266" t="s">
        <v>54</v>
      </c>
      <c r="B23" s="277" t="s">
        <v>55</v>
      </c>
      <c r="C23" s="268" t="s">
        <v>56</v>
      </c>
      <c r="D23" s="376"/>
      <c r="E23" s="376"/>
      <c r="F23" s="269"/>
      <c r="G23" s="249">
        <f>H23-F23</f>
        <v>56278475</v>
      </c>
      <c r="H23" s="249">
        <v>56278475</v>
      </c>
      <c r="I23" s="221">
        <v>56278475</v>
      </c>
      <c r="J23" s="634">
        <f t="shared" si="1"/>
        <v>1</v>
      </c>
    </row>
    <row r="24" spans="1:10" s="5" customFormat="1" ht="15.75" customHeight="1" x14ac:dyDescent="0.3">
      <c r="A24" s="266" t="s">
        <v>57</v>
      </c>
      <c r="B24" s="277" t="s">
        <v>58</v>
      </c>
      <c r="C24" s="268" t="s">
        <v>59</v>
      </c>
      <c r="D24" s="269">
        <f t="shared" ref="D24:E24" si="8">SUM(D25:D30)</f>
        <v>50000000</v>
      </c>
      <c r="E24" s="269">
        <f t="shared" si="8"/>
        <v>0</v>
      </c>
      <c r="F24" s="269">
        <f>SUM(F25:F30)</f>
        <v>50000000</v>
      </c>
      <c r="G24" s="249">
        <f t="shared" ref="G24:G26" si="9">H24-F24</f>
        <v>2484141495</v>
      </c>
      <c r="H24" s="269">
        <f t="shared" ref="H24:I24" si="10">SUM(H25:H30)</f>
        <v>2534141495</v>
      </c>
      <c r="I24" s="269">
        <f t="shared" si="10"/>
        <v>2534135495</v>
      </c>
      <c r="J24" s="634">
        <f t="shared" si="1"/>
        <v>0.9999976323342592</v>
      </c>
    </row>
    <row r="25" spans="1:10" s="5" customFormat="1" ht="15.75" customHeight="1" x14ac:dyDescent="0.3">
      <c r="A25" s="266" t="s">
        <v>60</v>
      </c>
      <c r="B25" s="270" t="s">
        <v>61</v>
      </c>
      <c r="C25" s="268" t="s">
        <v>59</v>
      </c>
      <c r="D25" s="372">
        <v>50000000</v>
      </c>
      <c r="E25" s="376"/>
      <c r="F25" s="269">
        <v>50000000</v>
      </c>
      <c r="G25" s="249">
        <f t="shared" si="9"/>
        <v>-50000000</v>
      </c>
      <c r="H25" s="249">
        <v>0</v>
      </c>
      <c r="I25" s="221">
        <v>0</v>
      </c>
      <c r="J25" s="634" t="s">
        <v>799</v>
      </c>
    </row>
    <row r="26" spans="1:10" s="5" customFormat="1" ht="24" customHeight="1" x14ac:dyDescent="0.3">
      <c r="A26" s="266" t="s">
        <v>62</v>
      </c>
      <c r="B26" s="278" t="s">
        <v>63</v>
      </c>
      <c r="C26" s="268" t="s">
        <v>59</v>
      </c>
      <c r="D26" s="376"/>
      <c r="E26" s="376"/>
      <c r="F26" s="269"/>
      <c r="G26" s="249">
        <f t="shared" si="9"/>
        <v>2534141495</v>
      </c>
      <c r="H26" s="249">
        <v>2534141495</v>
      </c>
      <c r="I26" s="249">
        <v>2534135495</v>
      </c>
      <c r="J26" s="634">
        <f t="shared" si="1"/>
        <v>0.9999976323342592</v>
      </c>
    </row>
    <row r="27" spans="1:10" s="5" customFormat="1" ht="15.75" customHeight="1" x14ac:dyDescent="0.3">
      <c r="A27" s="266" t="s">
        <v>64</v>
      </c>
      <c r="B27" s="278" t="s">
        <v>65</v>
      </c>
      <c r="C27" s="268" t="s">
        <v>59</v>
      </c>
      <c r="D27" s="376"/>
      <c r="E27" s="376"/>
      <c r="F27" s="269"/>
      <c r="G27" s="250" t="s">
        <v>799</v>
      </c>
      <c r="H27" s="249"/>
      <c r="I27" s="221"/>
      <c r="J27" s="634"/>
    </row>
    <row r="28" spans="1:10" s="5" customFormat="1" ht="15.75" customHeight="1" x14ac:dyDescent="0.3">
      <c r="A28" s="266" t="s">
        <v>66</v>
      </c>
      <c r="B28" s="278" t="s">
        <v>67</v>
      </c>
      <c r="C28" s="268" t="s">
        <v>59</v>
      </c>
      <c r="D28" s="376"/>
      <c r="E28" s="376"/>
      <c r="F28" s="269"/>
      <c r="G28" s="250" t="s">
        <v>799</v>
      </c>
      <c r="H28" s="249"/>
      <c r="I28" s="221"/>
      <c r="J28" s="634"/>
    </row>
    <row r="29" spans="1:10" s="5" customFormat="1" ht="24.75" customHeight="1" x14ac:dyDescent="0.3">
      <c r="A29" s="266" t="s">
        <v>68</v>
      </c>
      <c r="B29" s="278" t="s">
        <v>69</v>
      </c>
      <c r="C29" s="268" t="s">
        <v>59</v>
      </c>
      <c r="D29" s="376"/>
      <c r="E29" s="376"/>
      <c r="F29" s="269"/>
      <c r="G29" s="250" t="s">
        <v>799</v>
      </c>
      <c r="H29" s="249"/>
      <c r="I29" s="221"/>
      <c r="J29" s="634"/>
    </row>
    <row r="30" spans="1:10" s="5" customFormat="1" ht="24" customHeight="1" x14ac:dyDescent="0.3">
      <c r="A30" s="266" t="s">
        <v>70</v>
      </c>
      <c r="B30" s="278" t="s">
        <v>71</v>
      </c>
      <c r="C30" s="268" t="s">
        <v>59</v>
      </c>
      <c r="D30" s="376"/>
      <c r="E30" s="376"/>
      <c r="F30" s="377"/>
      <c r="G30" s="250" t="s">
        <v>799</v>
      </c>
      <c r="H30" s="249"/>
      <c r="I30" s="221"/>
      <c r="J30" s="634"/>
    </row>
    <row r="31" spans="1:10" s="523" customFormat="1" ht="22.5" customHeight="1" x14ac:dyDescent="0.3">
      <c r="A31" s="93" t="s">
        <v>72</v>
      </c>
      <c r="B31" s="84" t="s">
        <v>73</v>
      </c>
      <c r="C31" s="87" t="s">
        <v>74</v>
      </c>
      <c r="D31" s="95">
        <f t="shared" ref="D31:E31" si="11">SUM(D23+D24)</f>
        <v>50000000</v>
      </c>
      <c r="E31" s="95">
        <f t="shared" si="11"/>
        <v>0</v>
      </c>
      <c r="F31" s="95">
        <f>SUM(F23+F24)</f>
        <v>50000000</v>
      </c>
      <c r="G31" s="86">
        <f t="shared" ref="G31:I31" si="12">SUM(G23+G24)</f>
        <v>2540419970</v>
      </c>
      <c r="H31" s="95">
        <f>SUM(H23+H24)</f>
        <v>2590419970</v>
      </c>
      <c r="I31" s="594">
        <f t="shared" si="12"/>
        <v>2590413970</v>
      </c>
      <c r="J31" s="634">
        <f t="shared" si="1"/>
        <v>0.99999768377326093</v>
      </c>
    </row>
    <row r="32" spans="1:10" s="5" customFormat="1" ht="14.25" customHeight="1" x14ac:dyDescent="0.3">
      <c r="A32" s="266" t="s">
        <v>75</v>
      </c>
      <c r="B32" s="279" t="s">
        <v>76</v>
      </c>
      <c r="C32" s="280" t="s">
        <v>77</v>
      </c>
      <c r="D32" s="378"/>
      <c r="E32" s="378"/>
      <c r="F32" s="281"/>
      <c r="G32" s="249">
        <f>H32-F32</f>
        <v>6911</v>
      </c>
      <c r="H32" s="249">
        <v>6911</v>
      </c>
      <c r="I32" s="559">
        <v>6910</v>
      </c>
      <c r="J32" s="634"/>
    </row>
    <row r="33" spans="1:10" s="5" customFormat="1" ht="14.25" customHeight="1" x14ac:dyDescent="0.3">
      <c r="A33" s="266" t="s">
        <v>78</v>
      </c>
      <c r="B33" s="267" t="s">
        <v>79</v>
      </c>
      <c r="C33" s="268" t="s">
        <v>80</v>
      </c>
      <c r="D33" s="373">
        <f t="shared" ref="D33:E33" si="13">SUM(D34:D36)</f>
        <v>131000000</v>
      </c>
      <c r="E33" s="373">
        <f t="shared" si="13"/>
        <v>0</v>
      </c>
      <c r="F33" s="269">
        <f>SUM(F34:F36)</f>
        <v>131000000</v>
      </c>
      <c r="G33" s="249">
        <f t="shared" ref="G33:G44" si="14">H33-F33</f>
        <v>3628010</v>
      </c>
      <c r="H33" s="373">
        <f t="shared" ref="H33:I33" si="15">SUM(H34:H36)</f>
        <v>134628010</v>
      </c>
      <c r="I33" s="269">
        <f t="shared" si="15"/>
        <v>134458900</v>
      </c>
      <c r="J33" s="634">
        <f t="shared" si="1"/>
        <v>0.99874387209615589</v>
      </c>
    </row>
    <row r="34" spans="1:10" s="5" customFormat="1" ht="14.25" customHeight="1" x14ac:dyDescent="0.3">
      <c r="A34" s="266" t="s">
        <v>81</v>
      </c>
      <c r="B34" s="282" t="s">
        <v>82</v>
      </c>
      <c r="C34" s="283" t="s">
        <v>80</v>
      </c>
      <c r="D34" s="379">
        <v>75000000</v>
      </c>
      <c r="E34" s="379"/>
      <c r="F34" s="271">
        <v>75000000</v>
      </c>
      <c r="G34" s="249">
        <f t="shared" si="14"/>
        <v>1941084</v>
      </c>
      <c r="H34" s="249">
        <v>76941084</v>
      </c>
      <c r="I34" s="221">
        <v>76848736</v>
      </c>
      <c r="J34" s="634">
        <f t="shared" si="1"/>
        <v>0.99879975696729206</v>
      </c>
    </row>
    <row r="35" spans="1:10" s="5" customFormat="1" ht="14.25" customHeight="1" x14ac:dyDescent="0.3">
      <c r="A35" s="266" t="s">
        <v>83</v>
      </c>
      <c r="B35" s="285" t="s">
        <v>84</v>
      </c>
      <c r="C35" s="283" t="s">
        <v>80</v>
      </c>
      <c r="D35" s="379">
        <v>8000000</v>
      </c>
      <c r="E35" s="379"/>
      <c r="F35" s="271">
        <v>8000000</v>
      </c>
      <c r="G35" s="249">
        <f t="shared" si="14"/>
        <v>-1600000</v>
      </c>
      <c r="H35" s="249">
        <v>6400000</v>
      </c>
      <c r="I35" s="221">
        <v>6326336</v>
      </c>
      <c r="J35" s="634">
        <f t="shared" si="1"/>
        <v>0.98848999999999998</v>
      </c>
    </row>
    <row r="36" spans="1:10" s="5" customFormat="1" ht="14.25" customHeight="1" x14ac:dyDescent="0.3">
      <c r="A36" s="266" t="s">
        <v>85</v>
      </c>
      <c r="B36" s="285" t="s">
        <v>86</v>
      </c>
      <c r="C36" s="283" t="s">
        <v>80</v>
      </c>
      <c r="D36" s="379">
        <v>48000000</v>
      </c>
      <c r="E36" s="379"/>
      <c r="F36" s="271">
        <v>48000000</v>
      </c>
      <c r="G36" s="249">
        <f t="shared" si="14"/>
        <v>3286926</v>
      </c>
      <c r="H36" s="249">
        <v>51286926</v>
      </c>
      <c r="I36" s="221">
        <v>51283828</v>
      </c>
      <c r="J36" s="634">
        <f t="shared" si="1"/>
        <v>0.99993959474194261</v>
      </c>
    </row>
    <row r="37" spans="1:10" s="5" customFormat="1" ht="14.25" customHeight="1" x14ac:dyDescent="0.3">
      <c r="A37" s="266" t="s">
        <v>87</v>
      </c>
      <c r="B37" s="286" t="s">
        <v>88</v>
      </c>
      <c r="C37" s="268" t="s">
        <v>89</v>
      </c>
      <c r="D37" s="373">
        <f t="shared" ref="D37:E37" si="16">SUM(D38:D39)</f>
        <v>580000000</v>
      </c>
      <c r="E37" s="373">
        <f t="shared" si="16"/>
        <v>0</v>
      </c>
      <c r="F37" s="269">
        <f>SUM(F38:F39)</f>
        <v>580000000</v>
      </c>
      <c r="G37" s="249">
        <f t="shared" si="14"/>
        <v>42757855</v>
      </c>
      <c r="H37" s="373">
        <f t="shared" ref="H37:I37" si="17">SUM(H38:H39)</f>
        <v>622757855</v>
      </c>
      <c r="I37" s="269">
        <f t="shared" si="17"/>
        <v>622692815</v>
      </c>
      <c r="J37" s="634">
        <f t="shared" si="1"/>
        <v>0.99989556133338531</v>
      </c>
    </row>
    <row r="38" spans="1:10" s="5" customFormat="1" ht="14.25" customHeight="1" x14ac:dyDescent="0.3">
      <c r="A38" s="266" t="s">
        <v>90</v>
      </c>
      <c r="B38" s="287" t="s">
        <v>91</v>
      </c>
      <c r="C38" s="283" t="s">
        <v>89</v>
      </c>
      <c r="D38" s="379">
        <v>580000000</v>
      </c>
      <c r="E38" s="379"/>
      <c r="F38" s="271">
        <v>580000000</v>
      </c>
      <c r="G38" s="249">
        <f t="shared" si="14"/>
        <v>42757855</v>
      </c>
      <c r="H38" s="249">
        <v>622757855</v>
      </c>
      <c r="I38" s="221">
        <v>622692815</v>
      </c>
      <c r="J38" s="634">
        <f t="shared" si="1"/>
        <v>0.99989556133338531</v>
      </c>
    </row>
    <row r="39" spans="1:10" s="5" customFormat="1" ht="14.25" customHeight="1" x14ac:dyDescent="0.3">
      <c r="A39" s="266" t="s">
        <v>92</v>
      </c>
      <c r="B39" s="287" t="s">
        <v>93</v>
      </c>
      <c r="C39" s="283" t="s">
        <v>89</v>
      </c>
      <c r="D39" s="379"/>
      <c r="E39" s="379"/>
      <c r="F39" s="269"/>
      <c r="G39" s="249">
        <f t="shared" si="14"/>
        <v>0</v>
      </c>
      <c r="H39" s="249"/>
      <c r="I39" s="221"/>
      <c r="J39" s="634" t="s">
        <v>799</v>
      </c>
    </row>
    <row r="40" spans="1:10" s="5" customFormat="1" ht="17.25" customHeight="1" x14ac:dyDescent="0.3">
      <c r="A40" s="266" t="s">
        <v>94</v>
      </c>
      <c r="B40" s="288" t="s">
        <v>95</v>
      </c>
      <c r="C40" s="268" t="s">
        <v>96</v>
      </c>
      <c r="D40" s="372">
        <v>38000000</v>
      </c>
      <c r="E40" s="372"/>
      <c r="F40" s="269">
        <v>38000000</v>
      </c>
      <c r="G40" s="249">
        <f t="shared" si="14"/>
        <v>3156521</v>
      </c>
      <c r="H40" s="249">
        <v>41156521</v>
      </c>
      <c r="I40" s="221">
        <v>41156521</v>
      </c>
      <c r="J40" s="634">
        <f t="shared" si="1"/>
        <v>1</v>
      </c>
    </row>
    <row r="41" spans="1:10" s="5" customFormat="1" ht="17.25" customHeight="1" x14ac:dyDescent="0.3">
      <c r="A41" s="266" t="s">
        <v>97</v>
      </c>
      <c r="B41" s="286" t="s">
        <v>98</v>
      </c>
      <c r="C41" s="268" t="s">
        <v>99</v>
      </c>
      <c r="D41" s="373">
        <f t="shared" ref="D41:E41" si="18">SUM(D42:D43)</f>
        <v>0</v>
      </c>
      <c r="E41" s="373">
        <f t="shared" si="18"/>
        <v>0</v>
      </c>
      <c r="F41" s="269">
        <f>SUM(F42:F43)</f>
        <v>0</v>
      </c>
      <c r="G41" s="249">
        <f t="shared" si="14"/>
        <v>2005000</v>
      </c>
      <c r="H41" s="373">
        <f t="shared" ref="H41:I41" si="19">SUM(H42:H43)</f>
        <v>2005000</v>
      </c>
      <c r="I41" s="269">
        <f t="shared" si="19"/>
        <v>2004600</v>
      </c>
      <c r="J41" s="634">
        <f t="shared" si="1"/>
        <v>0.99980049875311716</v>
      </c>
    </row>
    <row r="42" spans="1:10" s="5" customFormat="1" ht="14.25" customHeight="1" x14ac:dyDescent="0.3">
      <c r="A42" s="266" t="s">
        <v>100</v>
      </c>
      <c r="B42" s="287" t="s">
        <v>101</v>
      </c>
      <c r="C42" s="283" t="s">
        <v>99</v>
      </c>
      <c r="D42" s="379"/>
      <c r="E42" s="379"/>
      <c r="F42" s="269"/>
      <c r="G42" s="249">
        <f t="shared" si="14"/>
        <v>2005000</v>
      </c>
      <c r="H42" s="249">
        <v>2005000</v>
      </c>
      <c r="I42" s="221">
        <v>2004600</v>
      </c>
      <c r="J42" s="634">
        <f t="shared" si="1"/>
        <v>0.99980049875311716</v>
      </c>
    </row>
    <row r="43" spans="1:10" s="5" customFormat="1" ht="14.25" customHeight="1" x14ac:dyDescent="0.3">
      <c r="A43" s="266" t="s">
        <v>102</v>
      </c>
      <c r="B43" s="287" t="s">
        <v>103</v>
      </c>
      <c r="C43" s="283" t="s">
        <v>99</v>
      </c>
      <c r="D43" s="379"/>
      <c r="E43" s="379"/>
      <c r="F43" s="269"/>
      <c r="G43" s="249">
        <f t="shared" si="14"/>
        <v>0</v>
      </c>
      <c r="H43" s="249"/>
      <c r="I43" s="221"/>
      <c r="J43" s="634"/>
    </row>
    <row r="44" spans="1:10" s="5" customFormat="1" ht="14.25" customHeight="1" x14ac:dyDescent="0.3">
      <c r="A44" s="266" t="s">
        <v>104</v>
      </c>
      <c r="B44" s="277" t="s">
        <v>105</v>
      </c>
      <c r="C44" s="289" t="s">
        <v>106</v>
      </c>
      <c r="D44" s="380">
        <v>2000000</v>
      </c>
      <c r="E44" s="380"/>
      <c r="F44" s="269">
        <v>2000000</v>
      </c>
      <c r="G44" s="249">
        <f t="shared" si="14"/>
        <v>1968547</v>
      </c>
      <c r="H44" s="249">
        <v>3968547</v>
      </c>
      <c r="I44" s="221">
        <v>3799055</v>
      </c>
      <c r="J44" s="634">
        <f t="shared" si="1"/>
        <v>0.95729116979085793</v>
      </c>
    </row>
    <row r="45" spans="1:10" s="523" customFormat="1" ht="17.25" customHeight="1" x14ac:dyDescent="0.3">
      <c r="A45" s="93" t="s">
        <v>107</v>
      </c>
      <c r="B45" s="84" t="s">
        <v>108</v>
      </c>
      <c r="C45" s="87" t="s">
        <v>109</v>
      </c>
      <c r="D45" s="95">
        <f t="shared" ref="D45:E45" si="20">SUM(D32+D33+D37+D40+D41+D44)</f>
        <v>751000000</v>
      </c>
      <c r="E45" s="95">
        <f t="shared" si="20"/>
        <v>0</v>
      </c>
      <c r="F45" s="95">
        <f>SUM(F32+F33+F37+F40+F41+F44)</f>
        <v>751000000</v>
      </c>
      <c r="G45" s="86">
        <f>SUM(G32+G33+G37+G40+G41+G44)</f>
        <v>53522844</v>
      </c>
      <c r="H45" s="86">
        <f t="shared" ref="H45:I45" si="21">SUM(H32+H33+H37+H40+H41+H44)</f>
        <v>804522844</v>
      </c>
      <c r="I45" s="95">
        <f t="shared" si="21"/>
        <v>804118801</v>
      </c>
      <c r="J45" s="634">
        <f t="shared" si="1"/>
        <v>0.99949778554703161</v>
      </c>
    </row>
    <row r="46" spans="1:10" s="5" customFormat="1" ht="14.25" customHeight="1" x14ac:dyDescent="0.3">
      <c r="A46" s="266" t="s">
        <v>110</v>
      </c>
      <c r="B46" s="277" t="s">
        <v>111</v>
      </c>
      <c r="C46" s="289" t="s">
        <v>112</v>
      </c>
      <c r="D46" s="380">
        <v>5000000</v>
      </c>
      <c r="E46" s="380">
        <v>45457314</v>
      </c>
      <c r="F46" s="269">
        <f>3937000+46520314</f>
        <v>50457314</v>
      </c>
      <c r="G46" s="249">
        <f>H46-F46</f>
        <v>1430568</v>
      </c>
      <c r="H46" s="249">
        <v>51887882</v>
      </c>
      <c r="I46" s="221">
        <v>51887882</v>
      </c>
      <c r="J46" s="634">
        <f t="shared" si="1"/>
        <v>1</v>
      </c>
    </row>
    <row r="47" spans="1:10" s="5" customFormat="1" ht="14.25" customHeight="1" x14ac:dyDescent="0.3">
      <c r="A47" s="266" t="s">
        <v>113</v>
      </c>
      <c r="B47" s="277" t="s">
        <v>114</v>
      </c>
      <c r="C47" s="289" t="s">
        <v>115</v>
      </c>
      <c r="D47" s="380">
        <v>23000000</v>
      </c>
      <c r="E47" s="380"/>
      <c r="F47" s="269">
        <f>35000000-12000000</f>
        <v>23000000</v>
      </c>
      <c r="G47" s="249">
        <f t="shared" ref="G47:G56" si="22">H47-F47</f>
        <v>10925695</v>
      </c>
      <c r="H47" s="249">
        <v>33925695</v>
      </c>
      <c r="I47" s="221">
        <v>32369853</v>
      </c>
      <c r="J47" s="634">
        <f t="shared" si="1"/>
        <v>0.95413971622394178</v>
      </c>
    </row>
    <row r="48" spans="1:10" s="5" customFormat="1" ht="14.25" customHeight="1" x14ac:dyDescent="0.3">
      <c r="A48" s="266" t="s">
        <v>116</v>
      </c>
      <c r="B48" s="277" t="s">
        <v>117</v>
      </c>
      <c r="C48" s="289" t="s">
        <v>118</v>
      </c>
      <c r="D48" s="380">
        <v>24000000</v>
      </c>
      <c r="E48" s="380"/>
      <c r="F48" s="269">
        <f>12000000+12000000</f>
        <v>24000000</v>
      </c>
      <c r="G48" s="249">
        <f t="shared" si="22"/>
        <v>-11923392</v>
      </c>
      <c r="H48" s="249">
        <v>12076608</v>
      </c>
      <c r="I48" s="221">
        <v>12041527</v>
      </c>
      <c r="J48" s="634">
        <f t="shared" si="1"/>
        <v>0.99709512803595179</v>
      </c>
    </row>
    <row r="49" spans="1:10" s="5" customFormat="1" ht="14.25" customHeight="1" x14ac:dyDescent="0.3">
      <c r="A49" s="266" t="s">
        <v>119</v>
      </c>
      <c r="B49" s="277" t="s">
        <v>120</v>
      </c>
      <c r="C49" s="289" t="s">
        <v>121</v>
      </c>
      <c r="D49" s="380">
        <v>23275230</v>
      </c>
      <c r="E49" s="380"/>
      <c r="F49" s="269">
        <f>16552170+6723060</f>
        <v>23275230</v>
      </c>
      <c r="G49" s="249">
        <f t="shared" si="22"/>
        <v>-5733493</v>
      </c>
      <c r="H49" s="249">
        <v>17541737</v>
      </c>
      <c r="I49" s="221">
        <v>17518677</v>
      </c>
      <c r="J49" s="634">
        <f t="shared" si="1"/>
        <v>0.99868542094776591</v>
      </c>
    </row>
    <row r="50" spans="1:10" s="5" customFormat="1" ht="14.25" customHeight="1" x14ac:dyDescent="0.3">
      <c r="A50" s="266" t="s">
        <v>122</v>
      </c>
      <c r="B50" s="277" t="s">
        <v>123</v>
      </c>
      <c r="C50" s="289" t="s">
        <v>124</v>
      </c>
      <c r="D50" s="380">
        <v>24000000</v>
      </c>
      <c r="E50" s="380"/>
      <c r="F50" s="269">
        <v>24000000</v>
      </c>
      <c r="G50" s="249">
        <f t="shared" si="22"/>
        <v>-631741</v>
      </c>
      <c r="H50" s="249">
        <v>23368259</v>
      </c>
      <c r="I50" s="221">
        <v>23365432</v>
      </c>
      <c r="J50" s="634">
        <f t="shared" si="1"/>
        <v>0.99987902393584394</v>
      </c>
    </row>
    <row r="51" spans="1:10" s="5" customFormat="1" ht="14.25" customHeight="1" x14ac:dyDescent="0.3">
      <c r="A51" s="266" t="s">
        <v>125</v>
      </c>
      <c r="B51" s="277" t="s">
        <v>126</v>
      </c>
      <c r="C51" s="289" t="s">
        <v>127</v>
      </c>
      <c r="D51" s="380">
        <v>17060554</v>
      </c>
      <c r="E51" s="380">
        <v>12273474</v>
      </c>
      <c r="F51" s="269">
        <f>SUM(F46:F50)*0.27-12560484+2816725</f>
        <v>29334027.880000003</v>
      </c>
      <c r="G51" s="249">
        <f t="shared" si="22"/>
        <v>6437692.1199999973</v>
      </c>
      <c r="H51" s="249">
        <v>35771720</v>
      </c>
      <c r="I51" s="221">
        <v>33279638</v>
      </c>
      <c r="J51" s="634">
        <f t="shared" si="1"/>
        <v>0.9303337384951017</v>
      </c>
    </row>
    <row r="52" spans="1:10" s="5" customFormat="1" ht="14.25" customHeight="1" x14ac:dyDescent="0.3">
      <c r="A52" s="266" t="s">
        <v>128</v>
      </c>
      <c r="B52" s="277" t="s">
        <v>129</v>
      </c>
      <c r="C52" s="289" t="s">
        <v>130</v>
      </c>
      <c r="D52" s="380"/>
      <c r="E52" s="380"/>
      <c r="F52" s="269"/>
      <c r="G52" s="249">
        <f t="shared" si="22"/>
        <v>0</v>
      </c>
      <c r="H52" s="249"/>
      <c r="I52" s="221"/>
      <c r="J52" s="634"/>
    </row>
    <row r="53" spans="1:10" s="5" customFormat="1" ht="14.25" customHeight="1" x14ac:dyDescent="0.3">
      <c r="A53" s="266" t="s">
        <v>131</v>
      </c>
      <c r="B53" s="277" t="s">
        <v>132</v>
      </c>
      <c r="C53" s="289" t="s">
        <v>133</v>
      </c>
      <c r="D53" s="380">
        <v>500000</v>
      </c>
      <c r="E53" s="380"/>
      <c r="F53" s="269">
        <v>500000</v>
      </c>
      <c r="G53" s="249">
        <f t="shared" si="22"/>
        <v>2036786</v>
      </c>
      <c r="H53" s="249">
        <v>2536786</v>
      </c>
      <c r="I53" s="221">
        <v>2524728</v>
      </c>
      <c r="J53" s="634">
        <f t="shared" si="1"/>
        <v>0.99524674134909286</v>
      </c>
    </row>
    <row r="54" spans="1:10" s="5" customFormat="1" ht="14.25" customHeight="1" x14ac:dyDescent="0.3">
      <c r="A54" s="266" t="s">
        <v>134</v>
      </c>
      <c r="B54" s="277" t="s">
        <v>135</v>
      </c>
      <c r="C54" s="289" t="s">
        <v>136</v>
      </c>
      <c r="D54" s="380"/>
      <c r="E54" s="380"/>
      <c r="F54" s="292"/>
      <c r="G54" s="249">
        <f t="shared" si="22"/>
        <v>0</v>
      </c>
      <c r="H54" s="249">
        <v>0</v>
      </c>
      <c r="I54" s="221">
        <v>0</v>
      </c>
      <c r="J54" s="634">
        <v>0</v>
      </c>
    </row>
    <row r="55" spans="1:10" s="5" customFormat="1" ht="14.25" customHeight="1" x14ac:dyDescent="0.3">
      <c r="A55" s="266" t="s">
        <v>137</v>
      </c>
      <c r="B55" s="277" t="s">
        <v>138</v>
      </c>
      <c r="C55" s="289" t="s">
        <v>139</v>
      </c>
      <c r="D55" s="380">
        <v>500000</v>
      </c>
      <c r="E55" s="380"/>
      <c r="F55" s="292">
        <v>500000</v>
      </c>
      <c r="G55" s="249">
        <f t="shared" si="22"/>
        <v>2942850</v>
      </c>
      <c r="H55" s="249">
        <v>3442850</v>
      </c>
      <c r="I55" s="221">
        <v>3441430</v>
      </c>
      <c r="J55" s="634">
        <f t="shared" si="1"/>
        <v>0.99958755101151664</v>
      </c>
    </row>
    <row r="56" spans="1:10" s="5" customFormat="1" ht="14.25" customHeight="1" x14ac:dyDescent="0.3">
      <c r="A56" s="266" t="s">
        <v>140</v>
      </c>
      <c r="B56" s="267" t="s">
        <v>141</v>
      </c>
      <c r="C56" s="289" t="s">
        <v>142</v>
      </c>
      <c r="D56" s="380">
        <v>2250000</v>
      </c>
      <c r="E56" s="380"/>
      <c r="F56" s="292">
        <f>2000000+250000</f>
        <v>2250000</v>
      </c>
      <c r="G56" s="249">
        <f t="shared" si="22"/>
        <v>-278681</v>
      </c>
      <c r="H56" s="249">
        <v>1971319</v>
      </c>
      <c r="I56" s="221">
        <v>1267558</v>
      </c>
      <c r="J56" s="634">
        <f t="shared" si="1"/>
        <v>0.64299994064887522</v>
      </c>
    </row>
    <row r="57" spans="1:10" s="524" customFormat="1" ht="15.75" customHeight="1" x14ac:dyDescent="0.3">
      <c r="A57" s="273" t="s">
        <v>143</v>
      </c>
      <c r="B57" s="290" t="s">
        <v>144</v>
      </c>
      <c r="C57" s="275" t="s">
        <v>145</v>
      </c>
      <c r="D57" s="212">
        <f t="shared" ref="D57:E57" si="23">SUM(D46:D56)</f>
        <v>119585784</v>
      </c>
      <c r="E57" s="212">
        <f t="shared" si="23"/>
        <v>57730788</v>
      </c>
      <c r="F57" s="212">
        <f>SUM(F46:F56)</f>
        <v>177316571.88</v>
      </c>
      <c r="G57" s="382">
        <f t="shared" ref="G57:H57" si="24">SUM(G46:G56)</f>
        <v>5206284.1199999973</v>
      </c>
      <c r="H57" s="212">
        <f t="shared" si="24"/>
        <v>182522856</v>
      </c>
      <c r="I57" s="212">
        <f t="shared" ref="I57" si="25">SUM(I46:I56)</f>
        <v>177696725</v>
      </c>
      <c r="J57" s="634">
        <f t="shared" si="1"/>
        <v>0.97355875803302139</v>
      </c>
    </row>
    <row r="58" spans="1:10" s="5" customFormat="1" ht="14.25" customHeight="1" x14ac:dyDescent="0.3">
      <c r="A58" s="291" t="s">
        <v>146</v>
      </c>
      <c r="B58" s="277" t="s">
        <v>147</v>
      </c>
      <c r="C58" s="289" t="s">
        <v>148</v>
      </c>
      <c r="D58" s="380"/>
      <c r="E58" s="380"/>
      <c r="F58" s="292"/>
      <c r="G58" s="250" t="s">
        <v>799</v>
      </c>
      <c r="H58" s="249"/>
      <c r="I58" s="221"/>
      <c r="J58" s="634"/>
    </row>
    <row r="59" spans="1:10" s="5" customFormat="1" ht="14.25" customHeight="1" x14ac:dyDescent="0.3">
      <c r="A59" s="291" t="s">
        <v>149</v>
      </c>
      <c r="B59" s="277" t="s">
        <v>150</v>
      </c>
      <c r="C59" s="289" t="s">
        <v>151</v>
      </c>
      <c r="D59" s="380"/>
      <c r="E59" s="380"/>
      <c r="F59" s="292"/>
      <c r="G59" s="249">
        <f>H59-F59</f>
        <v>15966184</v>
      </c>
      <c r="H59" s="250">
        <v>15966184</v>
      </c>
      <c r="I59" s="221">
        <v>15966184</v>
      </c>
      <c r="J59" s="634">
        <f t="shared" si="1"/>
        <v>1</v>
      </c>
    </row>
    <row r="60" spans="1:10" s="5" customFormat="1" ht="14.25" customHeight="1" x14ac:dyDescent="0.3">
      <c r="A60" s="291" t="s">
        <v>152</v>
      </c>
      <c r="B60" s="277" t="s">
        <v>153</v>
      </c>
      <c r="C60" s="289" t="s">
        <v>154</v>
      </c>
      <c r="D60" s="380">
        <v>2160072</v>
      </c>
      <c r="E60" s="380"/>
      <c r="F60" s="292">
        <f>180006*12</f>
        <v>2160072</v>
      </c>
      <c r="G60" s="249">
        <f t="shared" ref="G60" si="26">H60-F60</f>
        <v>1418065</v>
      </c>
      <c r="H60" s="249">
        <v>3578137</v>
      </c>
      <c r="I60" s="221">
        <v>3577393</v>
      </c>
      <c r="J60" s="634">
        <f t="shared" si="1"/>
        <v>0.99979207056633101</v>
      </c>
    </row>
    <row r="61" spans="1:10" s="5" customFormat="1" ht="14.25" customHeight="1" x14ac:dyDescent="0.3">
      <c r="A61" s="291" t="s">
        <v>155</v>
      </c>
      <c r="B61" s="277" t="s">
        <v>156</v>
      </c>
      <c r="C61" s="289" t="s">
        <v>157</v>
      </c>
      <c r="D61" s="380"/>
      <c r="E61" s="380"/>
      <c r="F61" s="292"/>
      <c r="G61" s="250" t="s">
        <v>799</v>
      </c>
      <c r="H61" s="249"/>
      <c r="I61" s="221"/>
      <c r="J61" s="634"/>
    </row>
    <row r="62" spans="1:10" s="5" customFormat="1" ht="14.25" customHeight="1" x14ac:dyDescent="0.3">
      <c r="A62" s="291" t="s">
        <v>158</v>
      </c>
      <c r="B62" s="267" t="s">
        <v>159</v>
      </c>
      <c r="C62" s="289" t="s">
        <v>160</v>
      </c>
      <c r="D62" s="380"/>
      <c r="E62" s="380"/>
      <c r="F62" s="292"/>
      <c r="G62" s="250" t="s">
        <v>799</v>
      </c>
      <c r="H62" s="249"/>
      <c r="I62" s="221"/>
      <c r="J62" s="634"/>
    </row>
    <row r="63" spans="1:10" s="524" customFormat="1" ht="19.5" customHeight="1" x14ac:dyDescent="0.3">
      <c r="A63" s="93" t="s">
        <v>161</v>
      </c>
      <c r="B63" s="290" t="s">
        <v>162</v>
      </c>
      <c r="C63" s="297" t="s">
        <v>163</v>
      </c>
      <c r="D63" s="276">
        <f t="shared" ref="D63:E63" si="27">SUM(D58:D62)</f>
        <v>2160072</v>
      </c>
      <c r="E63" s="276">
        <f t="shared" si="27"/>
        <v>0</v>
      </c>
      <c r="F63" s="276">
        <f>SUM(F58:F62)</f>
        <v>2160072</v>
      </c>
      <c r="G63" s="375">
        <f t="shared" ref="G63:I63" si="28">SUM(G58:G62)</f>
        <v>17384249</v>
      </c>
      <c r="H63" s="375">
        <f t="shared" si="28"/>
        <v>19544321</v>
      </c>
      <c r="I63" s="95">
        <f t="shared" si="28"/>
        <v>19543577</v>
      </c>
      <c r="J63" s="634">
        <f t="shared" si="1"/>
        <v>0.9999619326759932</v>
      </c>
    </row>
    <row r="64" spans="1:10" s="5" customFormat="1" ht="24" customHeight="1" x14ac:dyDescent="0.3">
      <c r="A64" s="266" t="s">
        <v>164</v>
      </c>
      <c r="B64" s="267" t="s">
        <v>165</v>
      </c>
      <c r="C64" s="268" t="s">
        <v>166</v>
      </c>
      <c r="D64" s="376"/>
      <c r="E64" s="376"/>
      <c r="F64" s="269"/>
      <c r="G64" s="250" t="s">
        <v>799</v>
      </c>
      <c r="H64" s="249"/>
      <c r="I64" s="221"/>
      <c r="J64" s="634"/>
    </row>
    <row r="65" spans="1:13" s="5" customFormat="1" ht="17.25" customHeight="1" x14ac:dyDescent="0.3">
      <c r="A65" s="266" t="s">
        <v>167</v>
      </c>
      <c r="B65" s="267" t="s">
        <v>168</v>
      </c>
      <c r="C65" s="268" t="s">
        <v>169</v>
      </c>
      <c r="D65" s="376"/>
      <c r="E65" s="376"/>
      <c r="F65" s="269"/>
      <c r="G65" s="249">
        <f>H65-F65</f>
        <v>2313497</v>
      </c>
      <c r="H65" s="249">
        <v>2313497</v>
      </c>
      <c r="I65" s="221">
        <v>2310997</v>
      </c>
      <c r="J65" s="634">
        <f t="shared" si="1"/>
        <v>0.9989193848100949</v>
      </c>
    </row>
    <row r="66" spans="1:13" s="5" customFormat="1" ht="17.25" customHeight="1" x14ac:dyDescent="0.3">
      <c r="A66" s="93" t="s">
        <v>170</v>
      </c>
      <c r="B66" s="274" t="s">
        <v>171</v>
      </c>
      <c r="C66" s="275" t="s">
        <v>172</v>
      </c>
      <c r="D66" s="375">
        <f t="shared" ref="D66:E66" si="29">SUM(D64:D65)</f>
        <v>0</v>
      </c>
      <c r="E66" s="375">
        <f t="shared" si="29"/>
        <v>0</v>
      </c>
      <c r="F66" s="375">
        <f>SUM(F64:F65)</f>
        <v>0</v>
      </c>
      <c r="G66" s="375">
        <f>SUM(G64:G65)</f>
        <v>2313497</v>
      </c>
      <c r="H66" s="375">
        <f t="shared" ref="H66:I66" si="30">SUM(H64:H65)</f>
        <v>2313497</v>
      </c>
      <c r="I66" s="86">
        <f t="shared" si="30"/>
        <v>2310997</v>
      </c>
      <c r="J66" s="634">
        <f t="shared" si="1"/>
        <v>0.9989193848100949</v>
      </c>
    </row>
    <row r="67" spans="1:13" s="5" customFormat="1" ht="16.5" customHeight="1" x14ac:dyDescent="0.3">
      <c r="A67" s="266" t="s">
        <v>173</v>
      </c>
      <c r="B67" s="267" t="s">
        <v>174</v>
      </c>
      <c r="C67" s="268" t="s">
        <v>175</v>
      </c>
      <c r="D67" s="376"/>
      <c r="E67" s="376"/>
      <c r="F67" s="381"/>
      <c r="G67" s="249">
        <f t="shared" ref="G67:G68" si="31">H67-F67</f>
        <v>134787</v>
      </c>
      <c r="H67" s="249">
        <v>134787</v>
      </c>
      <c r="I67" s="221">
        <v>134787</v>
      </c>
      <c r="J67" s="634">
        <f t="shared" si="1"/>
        <v>1</v>
      </c>
    </row>
    <row r="68" spans="1:13" s="5" customFormat="1" ht="14.25" customHeight="1" x14ac:dyDescent="0.3">
      <c r="A68" s="266" t="s">
        <v>176</v>
      </c>
      <c r="B68" s="267" t="s">
        <v>177</v>
      </c>
      <c r="C68" s="268" t="s">
        <v>178</v>
      </c>
      <c r="D68" s="376"/>
      <c r="E68" s="376"/>
      <c r="F68" s="381"/>
      <c r="G68" s="249">
        <f t="shared" si="31"/>
        <v>1176488</v>
      </c>
      <c r="H68" s="249">
        <v>1176488</v>
      </c>
      <c r="I68" s="221">
        <v>1168811</v>
      </c>
      <c r="J68" s="634">
        <f t="shared" si="1"/>
        <v>0.99347464657523066</v>
      </c>
    </row>
    <row r="69" spans="1:13" s="5" customFormat="1" ht="15.75" customHeight="1" x14ac:dyDescent="0.3">
      <c r="A69" s="266" t="s">
        <v>179</v>
      </c>
      <c r="B69" s="274" t="s">
        <v>180</v>
      </c>
      <c r="C69" s="275" t="s">
        <v>181</v>
      </c>
      <c r="D69" s="382">
        <f t="shared" ref="D69:E69" si="32">SUM(D67:D68)</f>
        <v>0</v>
      </c>
      <c r="E69" s="382">
        <f t="shared" si="32"/>
        <v>0</v>
      </c>
      <c r="F69" s="382">
        <f>SUM(F67:F68)</f>
        <v>0</v>
      </c>
      <c r="G69" s="382">
        <f>SUM(G67:G68)</f>
        <v>1311275</v>
      </c>
      <c r="H69" s="382">
        <f t="shared" ref="H69:I69" si="33">SUM(H67:H68)</f>
        <v>1311275</v>
      </c>
      <c r="I69" s="382">
        <f t="shared" si="33"/>
        <v>1303598</v>
      </c>
      <c r="J69" s="634">
        <f t="shared" si="1"/>
        <v>0.99414539284284376</v>
      </c>
    </row>
    <row r="70" spans="1:13" s="523" customFormat="1" ht="25.5" customHeight="1" x14ac:dyDescent="0.3">
      <c r="A70" s="93" t="s">
        <v>182</v>
      </c>
      <c r="B70" s="84" t="s">
        <v>183</v>
      </c>
      <c r="C70" s="94" t="s">
        <v>184</v>
      </c>
      <c r="D70" s="95">
        <f t="shared" ref="D70:E70" si="34">SUM(D22+D31+D45+D57+D63+D66+D69)</f>
        <v>1809121792</v>
      </c>
      <c r="E70" s="95">
        <f t="shared" si="34"/>
        <v>128605968</v>
      </c>
      <c r="F70" s="95">
        <f>SUM(F22+F31+F45+F57+F63+F66+F69)</f>
        <v>1937727759.8800001</v>
      </c>
      <c r="G70" s="86">
        <f>SUM(G22+G31+G45+G57+G63+G66+G69)</f>
        <v>2978361707.1199999</v>
      </c>
      <c r="H70" s="95">
        <f t="shared" ref="H70" si="35">SUM(H22+H31+H45+H57+H63+H66+H69)</f>
        <v>4916089467</v>
      </c>
      <c r="I70" s="95">
        <f t="shared" ref="I70" si="36">SUM(I22+I31+I45+I57+I63+I66+I69)</f>
        <v>4910841190</v>
      </c>
      <c r="J70" s="634">
        <f t="shared" si="1"/>
        <v>0.99893242850130581</v>
      </c>
    </row>
    <row r="71" spans="1:13" s="5" customFormat="1" ht="14.25" customHeight="1" x14ac:dyDescent="0.3">
      <c r="A71" s="266" t="s">
        <v>185</v>
      </c>
      <c r="B71" s="267" t="s">
        <v>186</v>
      </c>
      <c r="C71" s="268" t="s">
        <v>187</v>
      </c>
      <c r="D71" s="372"/>
      <c r="E71" s="372"/>
      <c r="F71" s="293"/>
      <c r="G71" s="250" t="s">
        <v>799</v>
      </c>
      <c r="H71" s="249"/>
      <c r="I71" s="221"/>
      <c r="J71" s="634" t="s">
        <v>799</v>
      </c>
    </row>
    <row r="72" spans="1:13" s="5" customFormat="1" ht="14.25" customHeight="1" x14ac:dyDescent="0.3">
      <c r="A72" s="266" t="s">
        <v>188</v>
      </c>
      <c r="B72" s="267" t="s">
        <v>189</v>
      </c>
      <c r="C72" s="268" t="s">
        <v>190</v>
      </c>
      <c r="D72" s="293">
        <f t="shared" ref="D72:E72" si="37">SUM(D73:D74)</f>
        <v>223223597</v>
      </c>
      <c r="E72" s="293">
        <f t="shared" si="37"/>
        <v>81271029</v>
      </c>
      <c r="F72" s="293">
        <f>SUM(F73:F74)</f>
        <v>304494626</v>
      </c>
      <c r="G72" s="249">
        <f>H72-F72</f>
        <v>105159782</v>
      </c>
      <c r="H72" s="389">
        <v>409654408</v>
      </c>
      <c r="I72" s="221">
        <v>409654408</v>
      </c>
      <c r="J72" s="634">
        <f t="shared" ref="J72:J77" si="38">I72/H72</f>
        <v>1</v>
      </c>
    </row>
    <row r="73" spans="1:13" s="5" customFormat="1" ht="14.25" customHeight="1" x14ac:dyDescent="0.3">
      <c r="A73" s="266" t="s">
        <v>191</v>
      </c>
      <c r="B73" s="294" t="s">
        <v>192</v>
      </c>
      <c r="C73" s="268" t="s">
        <v>193</v>
      </c>
      <c r="D73" s="372">
        <v>223223597</v>
      </c>
      <c r="E73" s="372">
        <v>51271029</v>
      </c>
      <c r="F73" s="292">
        <f>30364900+52858697+32320000+16951029+2000000+140000000</f>
        <v>274494626</v>
      </c>
      <c r="G73" s="249">
        <f t="shared" ref="G73:G75" si="39">H73-F73</f>
        <v>99085472</v>
      </c>
      <c r="H73" s="389">
        <v>373580098</v>
      </c>
      <c r="I73" s="221">
        <v>373580098</v>
      </c>
      <c r="J73" s="634">
        <f t="shared" si="38"/>
        <v>1</v>
      </c>
    </row>
    <row r="74" spans="1:13" s="5" customFormat="1" ht="14.25" customHeight="1" x14ac:dyDescent="0.3">
      <c r="A74" s="266" t="s">
        <v>194</v>
      </c>
      <c r="B74" s="295" t="s">
        <v>195</v>
      </c>
      <c r="C74" s="268" t="s">
        <v>196</v>
      </c>
      <c r="D74" s="372"/>
      <c r="E74" s="372">
        <v>30000000</v>
      </c>
      <c r="F74" s="292">
        <v>30000000</v>
      </c>
      <c r="G74" s="249">
        <f t="shared" si="39"/>
        <v>6074310</v>
      </c>
      <c r="H74" s="389">
        <v>36074310</v>
      </c>
      <c r="I74" s="221">
        <v>36074310</v>
      </c>
      <c r="J74" s="634">
        <f t="shared" si="38"/>
        <v>1</v>
      </c>
    </row>
    <row r="75" spans="1:13" s="5" customFormat="1" ht="14.25" customHeight="1" x14ac:dyDescent="0.3">
      <c r="A75" s="266" t="s">
        <v>197</v>
      </c>
      <c r="B75" s="267" t="s">
        <v>946</v>
      </c>
      <c r="C75" s="268" t="s">
        <v>947</v>
      </c>
      <c r="D75" s="372"/>
      <c r="E75" s="372"/>
      <c r="F75" s="292"/>
      <c r="G75" s="249">
        <f t="shared" si="39"/>
        <v>31792796</v>
      </c>
      <c r="H75" s="389">
        <v>31792796</v>
      </c>
      <c r="I75" s="221">
        <v>31792796</v>
      </c>
      <c r="J75" s="634">
        <f t="shared" si="38"/>
        <v>1</v>
      </c>
    </row>
    <row r="76" spans="1:13" s="524" customFormat="1" ht="24.75" customHeight="1" x14ac:dyDescent="0.3">
      <c r="A76" s="93" t="s">
        <v>200</v>
      </c>
      <c r="B76" s="383" t="s">
        <v>198</v>
      </c>
      <c r="C76" s="275" t="s">
        <v>199</v>
      </c>
      <c r="D76" s="95">
        <f t="shared" ref="D76:E76" si="40">SUM(D71:D72)</f>
        <v>223223597</v>
      </c>
      <c r="E76" s="95">
        <f t="shared" si="40"/>
        <v>81271029</v>
      </c>
      <c r="F76" s="95">
        <f>SUM(F71:F72)</f>
        <v>304494626</v>
      </c>
      <c r="G76" s="86">
        <f>SUM(G71:G72)+G75</f>
        <v>136952578</v>
      </c>
      <c r="H76" s="86">
        <f>SUM(H71:H72)+H75</f>
        <v>441447204</v>
      </c>
      <c r="I76" s="95">
        <f>SUM(I71:I72)+I75</f>
        <v>441447204</v>
      </c>
      <c r="J76" s="634">
        <f t="shared" si="38"/>
        <v>1</v>
      </c>
    </row>
    <row r="77" spans="1:13" s="5" customFormat="1" ht="27" customHeight="1" x14ac:dyDescent="0.3">
      <c r="A77" s="992" t="s">
        <v>716</v>
      </c>
      <c r="B77" s="993" t="s">
        <v>201</v>
      </c>
      <c r="C77" s="994" t="s">
        <v>719</v>
      </c>
      <c r="D77" s="995">
        <f t="shared" ref="D77:E77" si="41">SUM(D76,D70)</f>
        <v>2032345389</v>
      </c>
      <c r="E77" s="995">
        <f t="shared" si="41"/>
        <v>209876997</v>
      </c>
      <c r="F77" s="95">
        <f>SUM(F76,F70)</f>
        <v>2242222385.8800001</v>
      </c>
      <c r="G77" s="86">
        <f t="shared" ref="G77:H77" si="42">SUM(G76,G70)</f>
        <v>3115314285.1199999</v>
      </c>
      <c r="H77" s="86">
        <f t="shared" si="42"/>
        <v>5357536671</v>
      </c>
      <c r="I77" s="95">
        <f t="shared" ref="I77" si="43">SUM(I76,I70)</f>
        <v>5352288394</v>
      </c>
      <c r="J77" s="634">
        <f t="shared" si="38"/>
        <v>0.99902039363941109</v>
      </c>
      <c r="M77" s="721"/>
    </row>
    <row r="78" spans="1:13" s="5" customFormat="1" ht="27" customHeight="1" x14ac:dyDescent="0.3">
      <c r="A78" s="985"/>
      <c r="B78" s="986"/>
      <c r="C78" s="987"/>
      <c r="D78" s="988"/>
      <c r="E78" s="988"/>
      <c r="F78" s="989"/>
      <c r="G78" s="990"/>
      <c r="H78" s="990"/>
      <c r="I78" s="989"/>
      <c r="J78" s="991"/>
      <c r="M78" s="721"/>
    </row>
    <row r="79" spans="1:13" s="5" customFormat="1" ht="27" customHeight="1" x14ac:dyDescent="0.3">
      <c r="A79" s="996"/>
      <c r="B79" s="997"/>
      <c r="C79" s="998"/>
      <c r="D79" s="989"/>
      <c r="E79" s="989"/>
      <c r="F79" s="989"/>
      <c r="G79" s="990"/>
      <c r="H79" s="990"/>
      <c r="I79" s="989"/>
      <c r="J79" s="991"/>
      <c r="M79" s="721"/>
    </row>
    <row r="80" spans="1:13" s="5" customFormat="1" ht="27" customHeight="1" x14ac:dyDescent="0.3">
      <c r="A80" s="996"/>
      <c r="B80" s="997"/>
      <c r="C80" s="998"/>
      <c r="D80" s="989"/>
      <c r="E80" s="989"/>
      <c r="F80" s="989"/>
      <c r="G80" s="990"/>
      <c r="H80" s="990"/>
      <c r="I80" s="989"/>
      <c r="J80" s="991"/>
      <c r="M80" s="721"/>
    </row>
    <row r="81" spans="1:13" s="5" customFormat="1" ht="27" customHeight="1" x14ac:dyDescent="0.3">
      <c r="A81" s="996"/>
      <c r="B81" s="997"/>
      <c r="C81" s="998"/>
      <c r="D81" s="989"/>
      <c r="E81" s="989"/>
      <c r="F81" s="989"/>
      <c r="G81" s="990"/>
      <c r="H81" s="990"/>
      <c r="I81" s="989"/>
      <c r="J81" s="991"/>
      <c r="M81" s="721"/>
    </row>
    <row r="82" spans="1:13" ht="17.25" customHeight="1" x14ac:dyDescent="0.35">
      <c r="A82" s="1065"/>
      <c r="B82" s="1065"/>
      <c r="C82" s="1065"/>
      <c r="D82" s="1065"/>
      <c r="E82" s="259"/>
      <c r="F82" s="259"/>
      <c r="M82" s="721"/>
    </row>
    <row r="83" spans="1:13" s="6" customFormat="1" ht="16.5" customHeight="1" x14ac:dyDescent="0.35">
      <c r="A83" s="1066" t="s">
        <v>202</v>
      </c>
      <c r="B83" s="1066"/>
      <c r="C83" s="1066"/>
      <c r="D83" s="1066"/>
      <c r="E83" s="1066"/>
      <c r="F83" s="1066"/>
      <c r="G83" s="1066"/>
      <c r="H83" s="1066"/>
      <c r="I83" s="1066"/>
      <c r="J83" s="1066"/>
      <c r="M83" s="722"/>
    </row>
    <row r="84" spans="1:13" s="7" customFormat="1" ht="38.15" customHeight="1" x14ac:dyDescent="0.3">
      <c r="A84" s="87" t="s">
        <v>2</v>
      </c>
      <c r="B84" s="87" t="s">
        <v>203</v>
      </c>
      <c r="C84" s="87" t="s">
        <v>4</v>
      </c>
      <c r="D84" s="87" t="s">
        <v>470</v>
      </c>
      <c r="E84" s="87" t="s">
        <v>471</v>
      </c>
      <c r="F84" s="87" t="str">
        <f>+F4</f>
        <v>2017. évi eredeti előirányzat</v>
      </c>
      <c r="G84" s="248" t="s">
        <v>959</v>
      </c>
      <c r="H84" s="217" t="s">
        <v>796</v>
      </c>
      <c r="I84" s="216" t="s">
        <v>823</v>
      </c>
      <c r="J84" s="798" t="s">
        <v>824</v>
      </c>
    </row>
    <row r="85" spans="1:13" s="551" customFormat="1" ht="12" customHeight="1" x14ac:dyDescent="0.3">
      <c r="A85" s="87" t="s">
        <v>6</v>
      </c>
      <c r="B85" s="87" t="s">
        <v>7</v>
      </c>
      <c r="C85" s="87" t="s">
        <v>8</v>
      </c>
      <c r="D85" s="87" t="s">
        <v>9</v>
      </c>
      <c r="E85" s="87" t="s">
        <v>269</v>
      </c>
      <c r="F85" s="87" t="s">
        <v>472</v>
      </c>
      <c r="G85" s="795" t="s">
        <v>794</v>
      </c>
      <c r="H85" s="552" t="s">
        <v>797</v>
      </c>
      <c r="I85" s="552" t="s">
        <v>798</v>
      </c>
      <c r="J85" s="798" t="s">
        <v>825</v>
      </c>
    </row>
    <row r="86" spans="1:13" ht="16.5" customHeight="1" x14ac:dyDescent="0.35">
      <c r="A86" s="291" t="s">
        <v>10</v>
      </c>
      <c r="B86" s="279" t="s">
        <v>204</v>
      </c>
      <c r="C86" s="280" t="s">
        <v>205</v>
      </c>
      <c r="D86" s="384">
        <v>125812685</v>
      </c>
      <c r="E86" s="384"/>
      <c r="F86" s="269">
        <f>122972660+'[16]8.sz.mell. '!C24</f>
        <v>125812685</v>
      </c>
      <c r="G86" s="249">
        <f>H86-F86</f>
        <v>182614669</v>
      </c>
      <c r="H86" s="249">
        <v>308427354</v>
      </c>
      <c r="I86" s="221">
        <v>246278037</v>
      </c>
      <c r="J86" s="634">
        <f>I86/H86</f>
        <v>0.79849609253529441</v>
      </c>
    </row>
    <row r="87" spans="1:13" ht="16.5" customHeight="1" x14ac:dyDescent="0.35">
      <c r="A87" s="291" t="s">
        <v>13</v>
      </c>
      <c r="B87" s="279" t="s">
        <v>206</v>
      </c>
      <c r="C87" s="280" t="s">
        <v>207</v>
      </c>
      <c r="D87" s="384">
        <v>26778920</v>
      </c>
      <c r="E87" s="384"/>
      <c r="F87" s="269">
        <f>26066120+'[16]8.sz.mell. '!C25</f>
        <v>26778920</v>
      </c>
      <c r="G87" s="249">
        <f t="shared" ref="G87:G99" si="44">H87-F87</f>
        <v>20506900</v>
      </c>
      <c r="H87" s="249">
        <v>47285820</v>
      </c>
      <c r="I87" s="221">
        <v>35628177</v>
      </c>
      <c r="J87" s="634">
        <f t="shared" ref="J87:J118" si="45">I87/H87</f>
        <v>0.75346429436985551</v>
      </c>
    </row>
    <row r="88" spans="1:13" ht="16.5" customHeight="1" x14ac:dyDescent="0.35">
      <c r="A88" s="291" t="s">
        <v>16</v>
      </c>
      <c r="B88" s="279" t="s">
        <v>208</v>
      </c>
      <c r="C88" s="280" t="s">
        <v>209</v>
      </c>
      <c r="D88" s="384">
        <v>459704657</v>
      </c>
      <c r="E88" s="384">
        <v>56107776</v>
      </c>
      <c r="F88" s="269">
        <f>'[16]8.sz.mell. '!C26+484663421</f>
        <v>515812433</v>
      </c>
      <c r="G88" s="249">
        <f t="shared" si="44"/>
        <v>1715336599</v>
      </c>
      <c r="H88" s="249">
        <v>2231149032</v>
      </c>
      <c r="I88" s="221">
        <v>567625640</v>
      </c>
      <c r="J88" s="634">
        <f t="shared" si="45"/>
        <v>0.25440955841985191</v>
      </c>
    </row>
    <row r="89" spans="1:13" ht="16.5" customHeight="1" x14ac:dyDescent="0.35">
      <c r="A89" s="291" t="s">
        <v>19</v>
      </c>
      <c r="B89" s="279" t="s">
        <v>210</v>
      </c>
      <c r="C89" s="280" t="s">
        <v>211</v>
      </c>
      <c r="D89" s="384">
        <v>66143000</v>
      </c>
      <c r="E89" s="384"/>
      <c r="F89" s="269">
        <f>71143000-5000000</f>
        <v>66143000</v>
      </c>
      <c r="G89" s="249">
        <f t="shared" si="44"/>
        <v>7776234</v>
      </c>
      <c r="H89" s="249">
        <v>73919234</v>
      </c>
      <c r="I89" s="221">
        <v>73763446</v>
      </c>
      <c r="J89" s="634">
        <f t="shared" si="45"/>
        <v>0.997892456515445</v>
      </c>
    </row>
    <row r="90" spans="1:13" ht="16.5" customHeight="1" x14ac:dyDescent="0.35">
      <c r="A90" s="291" t="s">
        <v>22</v>
      </c>
      <c r="B90" s="279" t="s">
        <v>212</v>
      </c>
      <c r="C90" s="280" t="s">
        <v>213</v>
      </c>
      <c r="D90" s="373">
        <f t="shared" ref="D90:E90" si="46">SUM(D91:D97)</f>
        <v>925218634</v>
      </c>
      <c r="E90" s="373">
        <f t="shared" si="46"/>
        <v>40296343</v>
      </c>
      <c r="F90" s="269">
        <f>SUM(F91:F97)</f>
        <v>965514977</v>
      </c>
      <c r="G90" s="249">
        <f t="shared" si="44"/>
        <v>136499523</v>
      </c>
      <c r="H90" s="373">
        <v>1102014500</v>
      </c>
      <c r="I90" s="269">
        <v>962359564</v>
      </c>
      <c r="J90" s="634">
        <f t="shared" si="45"/>
        <v>0.87327305039997205</v>
      </c>
    </row>
    <row r="91" spans="1:13" ht="16.5" customHeight="1" x14ac:dyDescent="0.35">
      <c r="A91" s="291" t="s">
        <v>25</v>
      </c>
      <c r="B91" s="279" t="s">
        <v>214</v>
      </c>
      <c r="C91" s="280" t="s">
        <v>215</v>
      </c>
      <c r="D91" s="384">
        <v>11554719</v>
      </c>
      <c r="E91" s="384"/>
      <c r="F91" s="269">
        <v>11554719</v>
      </c>
      <c r="G91" s="249">
        <f t="shared" si="44"/>
        <v>5774084</v>
      </c>
      <c r="H91" s="249">
        <v>17328803</v>
      </c>
      <c r="I91" s="221">
        <v>17328803</v>
      </c>
      <c r="J91" s="634">
        <f t="shared" si="45"/>
        <v>1</v>
      </c>
    </row>
    <row r="92" spans="1:13" ht="16.5" customHeight="1" x14ac:dyDescent="0.35">
      <c r="A92" s="291" t="s">
        <v>28</v>
      </c>
      <c r="B92" s="299" t="s">
        <v>216</v>
      </c>
      <c r="C92" s="300" t="s">
        <v>217</v>
      </c>
      <c r="D92" s="385"/>
      <c r="E92" s="385"/>
      <c r="F92" s="284"/>
      <c r="G92" s="250" t="s">
        <v>799</v>
      </c>
      <c r="H92" s="249"/>
      <c r="I92" s="221"/>
      <c r="J92" s="634"/>
    </row>
    <row r="93" spans="1:13" ht="16.5" customHeight="1" x14ac:dyDescent="0.35">
      <c r="A93" s="291" t="s">
        <v>31</v>
      </c>
      <c r="B93" s="299" t="s">
        <v>218</v>
      </c>
      <c r="C93" s="300" t="s">
        <v>219</v>
      </c>
      <c r="D93" s="385"/>
      <c r="E93" s="385"/>
      <c r="F93" s="284"/>
      <c r="G93" s="250" t="s">
        <v>799</v>
      </c>
      <c r="H93" s="249"/>
      <c r="I93" s="221"/>
      <c r="J93" s="634"/>
    </row>
    <row r="94" spans="1:13" ht="16.5" customHeight="1" x14ac:dyDescent="0.35">
      <c r="A94" s="291" t="s">
        <v>34</v>
      </c>
      <c r="B94" s="301" t="s">
        <v>220</v>
      </c>
      <c r="C94" s="300" t="s">
        <v>221</v>
      </c>
      <c r="D94" s="385">
        <v>435516731</v>
      </c>
      <c r="E94" s="385"/>
      <c r="F94" s="386">
        <f>SUM(139880306+30000000+397510+242687617+21734382+216916+600000)</f>
        <v>435516731</v>
      </c>
      <c r="G94" s="249">
        <f t="shared" si="44"/>
        <v>67483756</v>
      </c>
      <c r="H94" s="249">
        <v>503000487</v>
      </c>
      <c r="I94" s="221">
        <v>485873368</v>
      </c>
      <c r="J94" s="634">
        <f t="shared" si="45"/>
        <v>0.96595009459702574</v>
      </c>
    </row>
    <row r="95" spans="1:13" ht="16.5" customHeight="1" x14ac:dyDescent="0.35">
      <c r="A95" s="291" t="s">
        <v>37</v>
      </c>
      <c r="B95" s="299" t="s">
        <v>222</v>
      </c>
      <c r="C95" s="300" t="s">
        <v>223</v>
      </c>
      <c r="D95" s="385"/>
      <c r="E95" s="385"/>
      <c r="F95" s="284"/>
      <c r="G95" s="250" t="s">
        <v>799</v>
      </c>
      <c r="H95" s="249"/>
      <c r="I95" s="221"/>
      <c r="J95" s="634"/>
    </row>
    <row r="96" spans="1:13" ht="16.5" customHeight="1" x14ac:dyDescent="0.35">
      <c r="A96" s="291" t="s">
        <v>39</v>
      </c>
      <c r="B96" s="299" t="s">
        <v>224</v>
      </c>
      <c r="C96" s="300" t="s">
        <v>225</v>
      </c>
      <c r="D96" s="385">
        <f>431297184-E96</f>
        <v>408147184</v>
      </c>
      <c r="E96" s="385">
        <v>23150000</v>
      </c>
      <c r="F96" s="386">
        <f>'[16]5.sz.mell'!E20</f>
        <v>431297184</v>
      </c>
      <c r="G96" s="249">
        <f t="shared" si="44"/>
        <v>37381094</v>
      </c>
      <c r="H96" s="249">
        <v>468678278</v>
      </c>
      <c r="I96" s="221">
        <v>459157393</v>
      </c>
      <c r="J96" s="634">
        <f t="shared" si="45"/>
        <v>0.97968567043339694</v>
      </c>
    </row>
    <row r="97" spans="1:10" ht="16.5" customHeight="1" x14ac:dyDescent="0.35">
      <c r="A97" s="739" t="s">
        <v>41</v>
      </c>
      <c r="B97" s="740" t="s">
        <v>226</v>
      </c>
      <c r="C97" s="741" t="s">
        <v>227</v>
      </c>
      <c r="D97" s="742">
        <f>SUM(D98:D99)</f>
        <v>70000000</v>
      </c>
      <c r="E97" s="742">
        <f>SUM(E98:E99)</f>
        <v>17146343</v>
      </c>
      <c r="F97" s="743">
        <f>SUM(F98:F99)</f>
        <v>87146343</v>
      </c>
      <c r="G97" s="249">
        <f t="shared" si="44"/>
        <v>25860589</v>
      </c>
      <c r="H97" s="389">
        <v>113006932</v>
      </c>
      <c r="I97" s="744"/>
      <c r="J97" s="745">
        <f t="shared" si="45"/>
        <v>0</v>
      </c>
    </row>
    <row r="98" spans="1:10" ht="16.5" customHeight="1" x14ac:dyDescent="0.35">
      <c r="A98" s="739" t="s">
        <v>43</v>
      </c>
      <c r="B98" s="740" t="s">
        <v>228</v>
      </c>
      <c r="C98" s="746" t="s">
        <v>227</v>
      </c>
      <c r="D98" s="747">
        <v>70000000</v>
      </c>
      <c r="E98" s="747"/>
      <c r="F98" s="743">
        <v>70000000</v>
      </c>
      <c r="G98" s="249">
        <f t="shared" si="44"/>
        <v>-70000000</v>
      </c>
      <c r="H98" s="389">
        <v>0</v>
      </c>
      <c r="I98" s="744"/>
      <c r="J98" s="745" t="s">
        <v>799</v>
      </c>
    </row>
    <row r="99" spans="1:10" ht="16.5" customHeight="1" x14ac:dyDescent="0.35">
      <c r="A99" s="739" t="s">
        <v>45</v>
      </c>
      <c r="B99" s="748" t="s">
        <v>229</v>
      </c>
      <c r="C99" s="746" t="s">
        <v>227</v>
      </c>
      <c r="D99" s="747"/>
      <c r="E99" s="747">
        <v>17146343</v>
      </c>
      <c r="F99" s="743">
        <f>'[16]8.sz.mell. '!D22+'[16]8.sz.mell. '!E22</f>
        <v>17146343</v>
      </c>
      <c r="G99" s="249">
        <f t="shared" si="44"/>
        <v>-17146343</v>
      </c>
      <c r="H99" s="389">
        <v>0</v>
      </c>
      <c r="I99" s="744"/>
      <c r="J99" s="745" t="s">
        <v>799</v>
      </c>
    </row>
    <row r="100" spans="1:10" ht="16.5" customHeight="1" x14ac:dyDescent="0.35">
      <c r="A100" s="303" t="s">
        <v>47</v>
      </c>
      <c r="B100" s="304" t="s">
        <v>466</v>
      </c>
      <c r="C100" s="87" t="s">
        <v>230</v>
      </c>
      <c r="D100" s="248">
        <f t="shared" ref="D100:E100" si="47">SUM(D86:D90)</f>
        <v>1603657896</v>
      </c>
      <c r="E100" s="248">
        <f t="shared" si="47"/>
        <v>96404119</v>
      </c>
      <c r="F100" s="212">
        <f>SUM(F86:F90)</f>
        <v>1700062015</v>
      </c>
      <c r="G100" s="382">
        <f t="shared" ref="G100:I100" si="48">SUM(G86:G90)</f>
        <v>2062733925</v>
      </c>
      <c r="H100" s="382">
        <f>SUM(H86:H90)</f>
        <v>3762795940</v>
      </c>
      <c r="I100" s="212">
        <f t="shared" si="48"/>
        <v>1885654864</v>
      </c>
      <c r="J100" s="634">
        <f t="shared" si="45"/>
        <v>0.50113131141520262</v>
      </c>
    </row>
    <row r="101" spans="1:10" ht="16.5" customHeight="1" x14ac:dyDescent="0.35">
      <c r="A101" s="291" t="s">
        <v>49</v>
      </c>
      <c r="B101" s="279" t="s">
        <v>231</v>
      </c>
      <c r="C101" s="280" t="s">
        <v>232</v>
      </c>
      <c r="D101" s="384">
        <v>13000000</v>
      </c>
      <c r="E101" s="384">
        <v>45440500</v>
      </c>
      <c r="F101" s="269">
        <f>'[16]4. sz.mell'!G13</f>
        <v>58440500</v>
      </c>
      <c r="G101" s="249">
        <f>H101-F101</f>
        <v>968127390</v>
      </c>
      <c r="H101" s="249">
        <v>1026567890</v>
      </c>
      <c r="I101" s="221">
        <v>72771006</v>
      </c>
      <c r="J101" s="634">
        <f t="shared" si="45"/>
        <v>7.0887670176397202E-2</v>
      </c>
    </row>
    <row r="102" spans="1:10" ht="16.5" customHeight="1" x14ac:dyDescent="0.35">
      <c r="A102" s="291" t="s">
        <v>51</v>
      </c>
      <c r="B102" s="279" t="s">
        <v>233</v>
      </c>
      <c r="C102" s="280" t="s">
        <v>234</v>
      </c>
      <c r="D102" s="384">
        <v>81359542</v>
      </c>
      <c r="E102" s="384">
        <v>42451029</v>
      </c>
      <c r="F102" s="269">
        <f>'[16]4. sz.mell'!G19</f>
        <v>123810571</v>
      </c>
      <c r="G102" s="249">
        <f t="shared" ref="G102:G108" si="49">H102-F102</f>
        <v>57138826</v>
      </c>
      <c r="H102" s="249">
        <v>180949397</v>
      </c>
      <c r="I102" s="221">
        <v>126942757</v>
      </c>
      <c r="J102" s="634">
        <f t="shared" si="45"/>
        <v>0.70153733090362269</v>
      </c>
    </row>
    <row r="103" spans="1:10" ht="16.5" customHeight="1" x14ac:dyDescent="0.35">
      <c r="A103" s="291" t="s">
        <v>54</v>
      </c>
      <c r="B103" s="267" t="s">
        <v>235</v>
      </c>
      <c r="C103" s="268" t="s">
        <v>236</v>
      </c>
      <c r="D103" s="372">
        <f t="shared" ref="D103:E103" si="50">SUM(D104:D109)</f>
        <v>5000000</v>
      </c>
      <c r="E103" s="372">
        <f t="shared" si="50"/>
        <v>0</v>
      </c>
      <c r="F103" s="269">
        <f>SUM(F104:F109)</f>
        <v>5000000</v>
      </c>
      <c r="G103" s="249">
        <f t="shared" si="49"/>
        <v>17730648</v>
      </c>
      <c r="H103" s="249">
        <v>22730648</v>
      </c>
      <c r="I103" s="221">
        <v>15424342</v>
      </c>
      <c r="J103" s="634">
        <f t="shared" si="45"/>
        <v>0.67857027217173926</v>
      </c>
    </row>
    <row r="104" spans="1:10" ht="16.5" customHeight="1" x14ac:dyDescent="0.35">
      <c r="A104" s="291" t="s">
        <v>57</v>
      </c>
      <c r="B104" s="305" t="s">
        <v>237</v>
      </c>
      <c r="C104" s="283" t="s">
        <v>238</v>
      </c>
      <c r="D104" s="379"/>
      <c r="E104" s="379"/>
      <c r="F104" s="271"/>
      <c r="G104" s="250" t="s">
        <v>799</v>
      </c>
      <c r="H104" s="249"/>
      <c r="I104" s="221"/>
      <c r="J104" s="634"/>
    </row>
    <row r="105" spans="1:10" ht="16.5" customHeight="1" x14ac:dyDescent="0.35">
      <c r="A105" s="291" t="s">
        <v>60</v>
      </c>
      <c r="B105" s="306" t="s">
        <v>218</v>
      </c>
      <c r="C105" s="283" t="s">
        <v>239</v>
      </c>
      <c r="D105" s="379"/>
      <c r="E105" s="379"/>
      <c r="F105" s="271"/>
      <c r="G105" s="250" t="s">
        <v>799</v>
      </c>
      <c r="H105" s="249"/>
      <c r="I105" s="221"/>
      <c r="J105" s="634"/>
    </row>
    <row r="106" spans="1:10" ht="16.5" customHeight="1" x14ac:dyDescent="0.35">
      <c r="A106" s="291" t="s">
        <v>62</v>
      </c>
      <c r="B106" s="306" t="s">
        <v>240</v>
      </c>
      <c r="C106" s="283" t="s">
        <v>241</v>
      </c>
      <c r="D106" s="379"/>
      <c r="E106" s="379"/>
      <c r="F106" s="271"/>
      <c r="G106" s="250" t="s">
        <v>799</v>
      </c>
      <c r="H106" s="249"/>
      <c r="I106" s="221"/>
      <c r="J106" s="634"/>
    </row>
    <row r="107" spans="1:10" ht="16.5" customHeight="1" x14ac:dyDescent="0.35">
      <c r="A107" s="291" t="s">
        <v>64</v>
      </c>
      <c r="B107" s="306" t="s">
        <v>242</v>
      </c>
      <c r="C107" s="283" t="s">
        <v>243</v>
      </c>
      <c r="D107" s="379"/>
      <c r="E107" s="379"/>
      <c r="F107" s="271"/>
      <c r="G107" s="250" t="s">
        <v>799</v>
      </c>
      <c r="H107" s="249"/>
      <c r="I107" s="221"/>
      <c r="J107" s="634"/>
    </row>
    <row r="108" spans="1:10" ht="16.5" customHeight="1" x14ac:dyDescent="0.35">
      <c r="A108" s="291" t="s">
        <v>66</v>
      </c>
      <c r="B108" s="306" t="s">
        <v>244</v>
      </c>
      <c r="C108" s="283" t="s">
        <v>245</v>
      </c>
      <c r="D108" s="379">
        <v>5000000</v>
      </c>
      <c r="E108" s="379"/>
      <c r="F108" s="271">
        <v>5000000</v>
      </c>
      <c r="G108" s="249">
        <f t="shared" si="49"/>
        <v>2539000</v>
      </c>
      <c r="H108" s="249">
        <v>7539000</v>
      </c>
      <c r="I108" s="221">
        <v>232694</v>
      </c>
      <c r="J108" s="634">
        <f t="shared" si="45"/>
        <v>3.0865366759517177E-2</v>
      </c>
    </row>
    <row r="109" spans="1:10" ht="16.5" customHeight="1" x14ac:dyDescent="0.35">
      <c r="A109" s="291" t="s">
        <v>68</v>
      </c>
      <c r="B109" s="306" t="s">
        <v>246</v>
      </c>
      <c r="C109" s="283" t="s">
        <v>247</v>
      </c>
      <c r="D109" s="379"/>
      <c r="E109" s="379"/>
      <c r="F109" s="271"/>
      <c r="G109" s="249"/>
      <c r="H109" s="249">
        <v>15191648</v>
      </c>
      <c r="I109" s="221">
        <v>15191648</v>
      </c>
      <c r="J109" s="634">
        <f t="shared" si="45"/>
        <v>1</v>
      </c>
    </row>
    <row r="110" spans="1:10" ht="16.5" customHeight="1" x14ac:dyDescent="0.35">
      <c r="A110" s="303" t="s">
        <v>70</v>
      </c>
      <c r="B110" s="304" t="s">
        <v>465</v>
      </c>
      <c r="C110" s="87" t="s">
        <v>248</v>
      </c>
      <c r="D110" s="248">
        <f t="shared" ref="D110:E110" si="51">+D101+D102+D103</f>
        <v>99359542</v>
      </c>
      <c r="E110" s="248">
        <f t="shared" si="51"/>
        <v>87891529</v>
      </c>
      <c r="F110" s="95">
        <f>+F101+F102+F103</f>
        <v>187251071</v>
      </c>
      <c r="G110" s="86">
        <f t="shared" ref="G110:I110" si="52">+G101+G102+G103</f>
        <v>1042996864</v>
      </c>
      <c r="H110" s="86">
        <f t="shared" si="52"/>
        <v>1230247935</v>
      </c>
      <c r="I110" s="95">
        <f t="shared" si="52"/>
        <v>215138105</v>
      </c>
      <c r="J110" s="634">
        <f t="shared" si="45"/>
        <v>0.17487377859325567</v>
      </c>
    </row>
    <row r="111" spans="1:10" ht="16.5" customHeight="1" x14ac:dyDescent="0.35">
      <c r="A111" s="93" t="s">
        <v>72</v>
      </c>
      <c r="B111" s="290" t="s">
        <v>249</v>
      </c>
      <c r="C111" s="87" t="s">
        <v>250</v>
      </c>
      <c r="D111" s="248">
        <f t="shared" ref="D111:E111" si="53">SUM(D100+D110)</f>
        <v>1703017438</v>
      </c>
      <c r="E111" s="248">
        <f t="shared" si="53"/>
        <v>184295648</v>
      </c>
      <c r="F111" s="276">
        <f>SUM(F100+F110)</f>
        <v>1887313086</v>
      </c>
      <c r="G111" s="375">
        <f t="shared" ref="G111:I111" si="54">SUM(G100+G110)</f>
        <v>3105730789</v>
      </c>
      <c r="H111" s="375">
        <f>SUM(H100+H110)</f>
        <v>4993043875</v>
      </c>
      <c r="I111" s="276">
        <f t="shared" si="54"/>
        <v>2100792969</v>
      </c>
      <c r="J111" s="634">
        <f t="shared" si="45"/>
        <v>0.42074394329250714</v>
      </c>
    </row>
    <row r="112" spans="1:10" ht="16.5" customHeight="1" x14ac:dyDescent="0.35">
      <c r="A112" s="291" t="s">
        <v>75</v>
      </c>
      <c r="B112" s="228" t="s">
        <v>251</v>
      </c>
      <c r="C112" s="307" t="s">
        <v>252</v>
      </c>
      <c r="D112" s="387">
        <v>23997938</v>
      </c>
      <c r="E112" s="387"/>
      <c r="F112" s="293">
        <f>'[16]17.sz.mell'!D8</f>
        <v>23997938</v>
      </c>
      <c r="G112" s="249">
        <f>H112-F112</f>
        <v>3100000</v>
      </c>
      <c r="H112" s="249">
        <v>27097938</v>
      </c>
      <c r="I112" s="221">
        <v>27091108</v>
      </c>
      <c r="J112" s="634">
        <f t="shared" si="45"/>
        <v>0.99974795130168204</v>
      </c>
    </row>
    <row r="113" spans="1:13" ht="16.5" customHeight="1" x14ac:dyDescent="0.35">
      <c r="A113" s="291" t="s">
        <v>78</v>
      </c>
      <c r="B113" s="229" t="s">
        <v>253</v>
      </c>
      <c r="C113" s="280" t="s">
        <v>254</v>
      </c>
      <c r="D113" s="384"/>
      <c r="E113" s="384"/>
      <c r="F113" s="269"/>
      <c r="G113" s="250" t="s">
        <v>799</v>
      </c>
      <c r="H113" s="249"/>
      <c r="I113" s="221"/>
      <c r="J113" s="634"/>
    </row>
    <row r="114" spans="1:13" ht="16.5" customHeight="1" x14ac:dyDescent="0.35">
      <c r="A114" s="308" t="s">
        <v>81</v>
      </c>
      <c r="B114" s="229" t="s">
        <v>255</v>
      </c>
      <c r="C114" s="280" t="s">
        <v>256</v>
      </c>
      <c r="D114" s="384">
        <v>30364900</v>
      </c>
      <c r="E114" s="384"/>
      <c r="F114" s="269">
        <v>30364900</v>
      </c>
      <c r="G114" s="249">
        <f t="shared" ref="G114:G115" si="55">H114-F114</f>
        <v>0</v>
      </c>
      <c r="H114" s="249">
        <v>30364900</v>
      </c>
      <c r="I114" s="221">
        <v>30364900</v>
      </c>
      <c r="J114" s="634">
        <f t="shared" si="45"/>
        <v>1</v>
      </c>
    </row>
    <row r="115" spans="1:13" ht="16.5" customHeight="1" x14ac:dyDescent="0.35">
      <c r="A115" s="291" t="s">
        <v>83</v>
      </c>
      <c r="B115" s="229" t="s">
        <v>448</v>
      </c>
      <c r="C115" s="280" t="s">
        <v>447</v>
      </c>
      <c r="D115" s="384">
        <v>291413794</v>
      </c>
      <c r="E115" s="384">
        <v>9132668</v>
      </c>
      <c r="F115" s="269">
        <f>'[16]10.sz.mell'!G37+'[16]11.sz.mell'!F37</f>
        <v>300546462</v>
      </c>
      <c r="G115" s="249">
        <f t="shared" si="55"/>
        <v>6483496</v>
      </c>
      <c r="H115" s="249">
        <v>307029958</v>
      </c>
      <c r="I115" s="221">
        <v>294065424</v>
      </c>
      <c r="J115" s="634">
        <f t="shared" si="45"/>
        <v>0.95777436806345784</v>
      </c>
    </row>
    <row r="116" spans="1:13" ht="16.5" customHeight="1" x14ac:dyDescent="0.35">
      <c r="A116" s="308" t="s">
        <v>85</v>
      </c>
      <c r="B116" s="229" t="s">
        <v>257</v>
      </c>
      <c r="C116" s="280" t="s">
        <v>258</v>
      </c>
      <c r="D116" s="384"/>
      <c r="E116" s="384"/>
      <c r="F116" s="269"/>
      <c r="G116" s="249"/>
      <c r="H116" s="249"/>
      <c r="I116" s="221"/>
      <c r="J116" s="634"/>
    </row>
    <row r="117" spans="1:13" s="7" customFormat="1" ht="16.5" customHeight="1" x14ac:dyDescent="0.3">
      <c r="A117" s="309" t="s">
        <v>87</v>
      </c>
      <c r="B117" s="84" t="s">
        <v>259</v>
      </c>
      <c r="C117" s="87" t="s">
        <v>260</v>
      </c>
      <c r="D117" s="248">
        <f t="shared" ref="D117:E117" si="56">SUM(D112:D116)</f>
        <v>345776632</v>
      </c>
      <c r="E117" s="248">
        <f t="shared" si="56"/>
        <v>9132668</v>
      </c>
      <c r="F117" s="310">
        <f>SUM(F112:F116)</f>
        <v>354909300</v>
      </c>
      <c r="G117" s="723">
        <f t="shared" ref="G117" si="57">SUM(G112:G116)</f>
        <v>9583496</v>
      </c>
      <c r="H117" s="723">
        <f>SUM(H112:H116)</f>
        <v>364492796</v>
      </c>
      <c r="I117" s="310">
        <f t="shared" ref="I117" si="58">SUM(I112:I116)</f>
        <v>351521432</v>
      </c>
      <c r="J117" s="634">
        <f t="shared" si="45"/>
        <v>0.96441256413748155</v>
      </c>
    </row>
    <row r="118" spans="1:13" s="524" customFormat="1" ht="24.75" customHeight="1" x14ac:dyDescent="0.3">
      <c r="A118" s="211" t="s">
        <v>90</v>
      </c>
      <c r="B118" s="274" t="s">
        <v>261</v>
      </c>
      <c r="C118" s="311" t="s">
        <v>262</v>
      </c>
      <c r="D118" s="388">
        <f t="shared" ref="D118:E118" si="59">D111+D117</f>
        <v>2048794070</v>
      </c>
      <c r="E118" s="388">
        <f t="shared" si="59"/>
        <v>193428316</v>
      </c>
      <c r="F118" s="310">
        <f>F111+F117</f>
        <v>2242222386</v>
      </c>
      <c r="G118" s="723">
        <f t="shared" ref="G118" si="60">G111+G117</f>
        <v>3115314285</v>
      </c>
      <c r="H118" s="723">
        <f>H111+H117</f>
        <v>5357536671</v>
      </c>
      <c r="I118" s="310">
        <f t="shared" ref="I118" si="61">I111+I117</f>
        <v>2452314401</v>
      </c>
      <c r="J118" s="634">
        <f t="shared" si="45"/>
        <v>0.45773170611677183</v>
      </c>
      <c r="M118" s="721" t="s">
        <v>799</v>
      </c>
    </row>
    <row r="119" spans="1:13" ht="16.5" customHeight="1" x14ac:dyDescent="0.35">
      <c r="M119" s="721"/>
    </row>
    <row r="120" spans="1:13" x14ac:dyDescent="0.35">
      <c r="F120" s="146"/>
      <c r="M120" s="721"/>
    </row>
  </sheetData>
  <mergeCells count="5">
    <mergeCell ref="A1:J1"/>
    <mergeCell ref="A3:B3"/>
    <mergeCell ref="A82:D82"/>
    <mergeCell ref="A2:J2"/>
    <mergeCell ref="A83:J83"/>
  </mergeCells>
  <printOptions horizontalCentered="1"/>
  <pageMargins left="0.25" right="0.25" top="0.75" bottom="0.75" header="0.3" footer="0.3"/>
  <pageSetup paperSize="9" scale="64" fitToHeight="2" orientation="landscape" r:id="rId1"/>
  <headerFooter alignWithMargins="0">
    <oddHeader>&amp;R&amp;"Times New Roman CE,Félkövér dőlt"&amp;11 9. melléklet a 7/2018. (V.31.)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view="pageLayout" topLeftCell="B1" zoomScaleNormal="100" workbookViewId="0">
      <selection sqref="A1:F2"/>
    </sheetView>
  </sheetViews>
  <sheetFormatPr defaultRowHeight="13" x14ac:dyDescent="0.3"/>
  <cols>
    <col min="1" max="1" width="9.296875" style="654"/>
    <col min="2" max="2" width="36.796875" bestFit="1" customWidth="1"/>
    <col min="3" max="3" width="15.69921875" style="656" customWidth="1"/>
    <col min="4" max="5" width="16" style="659" customWidth="1"/>
    <col min="6" max="6" width="15.69921875" style="659" customWidth="1"/>
  </cols>
  <sheetData>
    <row r="1" spans="1:12" ht="18" customHeight="1" x14ac:dyDescent="0.3">
      <c r="A1" s="1063" t="s">
        <v>853</v>
      </c>
      <c r="B1" s="1063"/>
      <c r="C1" s="1063"/>
      <c r="D1" s="1063"/>
      <c r="E1" s="1063"/>
      <c r="F1" s="1063"/>
      <c r="G1" s="653"/>
      <c r="H1" s="653"/>
      <c r="I1" s="653"/>
      <c r="J1" s="653"/>
      <c r="K1" s="653"/>
      <c r="L1" s="653"/>
    </row>
    <row r="2" spans="1:12" ht="17.5" x14ac:dyDescent="0.3">
      <c r="A2" s="1063"/>
      <c r="B2" s="1063"/>
      <c r="C2" s="1063"/>
      <c r="D2" s="1063"/>
      <c r="E2" s="1063"/>
      <c r="F2" s="1063"/>
      <c r="G2" s="653"/>
      <c r="H2" s="653"/>
      <c r="I2" s="653"/>
      <c r="J2" s="653"/>
      <c r="K2" s="653"/>
      <c r="L2" s="653"/>
    </row>
    <row r="3" spans="1:12" ht="12.75" customHeight="1" x14ac:dyDescent="0.35">
      <c r="A3" s="651"/>
      <c r="B3" s="653"/>
      <c r="C3" s="657"/>
      <c r="D3" s="655"/>
      <c r="E3" s="655"/>
      <c r="F3" s="655"/>
      <c r="G3" s="653"/>
      <c r="H3" s="653"/>
      <c r="I3" s="653"/>
      <c r="J3" s="653"/>
      <c r="K3" s="653"/>
      <c r="L3" s="653"/>
    </row>
    <row r="4" spans="1:12" x14ac:dyDescent="0.3">
      <c r="F4" s="633" t="s">
        <v>1</v>
      </c>
    </row>
    <row r="5" spans="1:12" ht="26" x14ac:dyDescent="0.3">
      <c r="A5" s="390" t="s">
        <v>404</v>
      </c>
      <c r="B5" s="390" t="s">
        <v>449</v>
      </c>
      <c r="C5" s="658" t="s">
        <v>450</v>
      </c>
      <c r="D5" s="660" t="s">
        <v>949</v>
      </c>
      <c r="E5" s="660" t="s">
        <v>950</v>
      </c>
      <c r="F5" s="660" t="s">
        <v>823</v>
      </c>
    </row>
    <row r="6" spans="1:12" ht="20.149999999999999" customHeight="1" x14ac:dyDescent="0.3">
      <c r="A6" s="662">
        <v>1</v>
      </c>
      <c r="B6" s="663" t="s">
        <v>854</v>
      </c>
      <c r="C6" s="664" t="s">
        <v>457</v>
      </c>
      <c r="D6" s="661">
        <v>19640663</v>
      </c>
      <c r="E6" s="661">
        <v>19640663</v>
      </c>
      <c r="F6" s="661">
        <v>123083749</v>
      </c>
    </row>
    <row r="7" spans="1:12" ht="20.149999999999999" customHeight="1" x14ac:dyDescent="0.3">
      <c r="A7" s="662">
        <v>2</v>
      </c>
      <c r="B7" s="663" t="s">
        <v>855</v>
      </c>
      <c r="C7" s="664" t="s">
        <v>755</v>
      </c>
      <c r="D7" s="661"/>
      <c r="E7" s="661"/>
      <c r="F7" s="661">
        <v>375423</v>
      </c>
    </row>
    <row r="8" spans="1:12" ht="20.149999999999999" customHeight="1" x14ac:dyDescent="0.3">
      <c r="A8" s="662">
        <v>3</v>
      </c>
      <c r="B8" s="663" t="s">
        <v>856</v>
      </c>
      <c r="C8" s="664" t="s">
        <v>739</v>
      </c>
      <c r="D8" s="661">
        <v>389064573</v>
      </c>
      <c r="E8" s="661">
        <v>389064573</v>
      </c>
      <c r="F8" s="661">
        <v>56721110</v>
      </c>
    </row>
    <row r="9" spans="1:12" ht="20.149999999999999" customHeight="1" x14ac:dyDescent="0.3">
      <c r="A9" s="662">
        <v>4</v>
      </c>
      <c r="B9" s="663" t="s">
        <v>921</v>
      </c>
      <c r="C9" s="664" t="s">
        <v>756</v>
      </c>
      <c r="D9" s="661">
        <v>4535717</v>
      </c>
      <c r="E9" s="661">
        <v>4535717</v>
      </c>
      <c r="F9" s="661">
        <v>5742996</v>
      </c>
    </row>
    <row r="10" spans="1:12" ht="20.149999999999999" customHeight="1" x14ac:dyDescent="0.3">
      <c r="A10" s="662">
        <v>5</v>
      </c>
      <c r="B10" s="663" t="s">
        <v>922</v>
      </c>
      <c r="C10" s="664" t="s">
        <v>740</v>
      </c>
      <c r="D10" s="661">
        <v>964523969</v>
      </c>
      <c r="E10" s="661">
        <v>964523969</v>
      </c>
      <c r="F10" s="661">
        <v>47693703</v>
      </c>
    </row>
    <row r="11" spans="1:12" ht="20.149999999999999" customHeight="1" x14ac:dyDescent="0.3">
      <c r="A11" s="662">
        <v>6</v>
      </c>
      <c r="B11" s="663" t="s">
        <v>857</v>
      </c>
      <c r="C11" s="664" t="s">
        <v>459</v>
      </c>
      <c r="D11" s="661">
        <v>373580098</v>
      </c>
      <c r="E11" s="661">
        <v>373580098</v>
      </c>
      <c r="F11" s="661">
        <v>779261622</v>
      </c>
    </row>
    <row r="12" spans="1:12" ht="20.149999999999999" customHeight="1" x14ac:dyDescent="0.3">
      <c r="A12" s="662">
        <v>7</v>
      </c>
      <c r="B12" s="663" t="s">
        <v>923</v>
      </c>
      <c r="C12" s="664" t="s">
        <v>727</v>
      </c>
      <c r="D12" s="661">
        <v>58648661</v>
      </c>
      <c r="E12" s="661">
        <v>58648661</v>
      </c>
      <c r="F12" s="661">
        <v>43729316</v>
      </c>
    </row>
    <row r="13" spans="1:12" ht="20.149999999999999" customHeight="1" x14ac:dyDescent="0.3">
      <c r="A13" s="662">
        <v>8</v>
      </c>
      <c r="B13" s="663" t="s">
        <v>924</v>
      </c>
      <c r="C13" s="664" t="s">
        <v>741</v>
      </c>
      <c r="D13" s="661">
        <v>217058501</v>
      </c>
      <c r="E13" s="661">
        <v>217058501</v>
      </c>
      <c r="F13" s="661">
        <v>251024988</v>
      </c>
    </row>
    <row r="14" spans="1:12" ht="20.149999999999999" customHeight="1" x14ac:dyDescent="0.3">
      <c r="A14" s="662">
        <v>9</v>
      </c>
      <c r="B14" s="663" t="s">
        <v>925</v>
      </c>
      <c r="C14" s="664" t="s">
        <v>746</v>
      </c>
      <c r="D14" s="661">
        <v>1313497</v>
      </c>
      <c r="E14" s="661">
        <v>1313497</v>
      </c>
      <c r="F14" s="661">
        <v>15862074</v>
      </c>
    </row>
    <row r="15" spans="1:12" ht="20.149999999999999" customHeight="1" x14ac:dyDescent="0.3">
      <c r="A15" s="662">
        <v>10</v>
      </c>
      <c r="B15" s="663" t="s">
        <v>926</v>
      </c>
      <c r="C15" s="664" t="s">
        <v>801</v>
      </c>
      <c r="D15" s="661">
        <v>747857850</v>
      </c>
      <c r="E15" s="661">
        <v>747857850</v>
      </c>
      <c r="F15" s="661">
        <v>8547350</v>
      </c>
    </row>
    <row r="16" spans="1:12" ht="20.149999999999999" customHeight="1" x14ac:dyDescent="0.3">
      <c r="A16" s="662">
        <v>11</v>
      </c>
      <c r="B16" s="663" t="s">
        <v>927</v>
      </c>
      <c r="C16" s="664" t="s">
        <v>757</v>
      </c>
      <c r="D16" s="661">
        <v>50000000</v>
      </c>
      <c r="E16" s="661">
        <v>50000000</v>
      </c>
      <c r="F16" s="661">
        <v>74863510</v>
      </c>
    </row>
    <row r="17" spans="1:6" ht="20.149999999999999" customHeight="1" x14ac:dyDescent="0.3">
      <c r="A17" s="662">
        <v>12</v>
      </c>
      <c r="B17" s="663" t="s">
        <v>858</v>
      </c>
      <c r="C17" s="664" t="s">
        <v>758</v>
      </c>
      <c r="D17" s="661">
        <v>6005957</v>
      </c>
      <c r="E17" s="661">
        <v>6005957</v>
      </c>
      <c r="F17" s="661">
        <v>17063030</v>
      </c>
    </row>
    <row r="18" spans="1:6" ht="20.149999999999999" customHeight="1" x14ac:dyDescent="0.3">
      <c r="A18" s="662">
        <v>13</v>
      </c>
      <c r="B18" s="663" t="s">
        <v>803</v>
      </c>
      <c r="C18" s="664" t="s">
        <v>802</v>
      </c>
      <c r="D18" s="661">
        <v>60000000</v>
      </c>
      <c r="E18" s="661">
        <v>60000000</v>
      </c>
      <c r="F18" s="661">
        <v>2600125</v>
      </c>
    </row>
    <row r="19" spans="1:6" ht="20.149999999999999" customHeight="1" x14ac:dyDescent="0.3">
      <c r="A19" s="662">
        <v>14</v>
      </c>
      <c r="B19" s="663" t="s">
        <v>928</v>
      </c>
      <c r="C19" s="664" t="s">
        <v>859</v>
      </c>
      <c r="D19" s="661">
        <v>400025148</v>
      </c>
      <c r="E19" s="661">
        <v>400025148</v>
      </c>
      <c r="F19" s="661"/>
    </row>
    <row r="20" spans="1:6" ht="20.149999999999999" customHeight="1" x14ac:dyDescent="0.3">
      <c r="A20" s="662">
        <v>15</v>
      </c>
      <c r="B20" s="663" t="s">
        <v>860</v>
      </c>
      <c r="C20" s="664" t="s">
        <v>786</v>
      </c>
      <c r="D20" s="661">
        <v>277000000</v>
      </c>
      <c r="E20" s="661">
        <v>277000000</v>
      </c>
      <c r="F20" s="661">
        <v>1079451</v>
      </c>
    </row>
    <row r="21" spans="1:6" ht="20.149999999999999" customHeight="1" x14ac:dyDescent="0.3">
      <c r="A21" s="662">
        <v>16</v>
      </c>
      <c r="B21" s="663" t="s">
        <v>929</v>
      </c>
      <c r="C21" s="664" t="s">
        <v>759</v>
      </c>
      <c r="D21" s="661"/>
      <c r="E21" s="661"/>
      <c r="F21" s="661">
        <v>9945559</v>
      </c>
    </row>
    <row r="22" spans="1:6" ht="20.149999999999999" customHeight="1" x14ac:dyDescent="0.3">
      <c r="A22" s="662">
        <v>17</v>
      </c>
      <c r="B22" s="663" t="s">
        <v>930</v>
      </c>
      <c r="C22" s="664" t="s">
        <v>760</v>
      </c>
      <c r="D22" s="661">
        <v>599411</v>
      </c>
      <c r="E22" s="661">
        <v>599411</v>
      </c>
      <c r="F22" s="661">
        <v>7231635</v>
      </c>
    </row>
    <row r="23" spans="1:6" ht="20.149999999999999" customHeight="1" x14ac:dyDescent="0.3">
      <c r="A23" s="662">
        <v>18</v>
      </c>
      <c r="B23" s="663" t="s">
        <v>931</v>
      </c>
      <c r="C23" s="664" t="s">
        <v>761</v>
      </c>
      <c r="D23" s="661">
        <v>23158755</v>
      </c>
      <c r="E23" s="661">
        <v>23158755</v>
      </c>
      <c r="F23" s="661">
        <v>44254686</v>
      </c>
    </row>
    <row r="24" spans="1:6" ht="20.149999999999999" customHeight="1" x14ac:dyDescent="0.3">
      <c r="A24" s="662">
        <v>19</v>
      </c>
      <c r="B24" s="663" t="s">
        <v>948</v>
      </c>
      <c r="C24" s="664" t="s">
        <v>800</v>
      </c>
      <c r="D24" s="661">
        <v>187189</v>
      </c>
      <c r="E24" s="661">
        <v>187189</v>
      </c>
      <c r="F24" s="661"/>
    </row>
    <row r="25" spans="1:6" ht="20.149999999999999" customHeight="1" x14ac:dyDescent="0.3">
      <c r="A25" s="662">
        <v>20</v>
      </c>
      <c r="B25" s="663" t="s">
        <v>861</v>
      </c>
      <c r="C25" s="664" t="s">
        <v>804</v>
      </c>
      <c r="D25" s="661">
        <v>581427658</v>
      </c>
      <c r="E25" s="661">
        <v>581427658</v>
      </c>
      <c r="F25" s="661">
        <v>7763500</v>
      </c>
    </row>
    <row r="26" spans="1:6" ht="20.149999999999999" customHeight="1" x14ac:dyDescent="0.3">
      <c r="A26" s="662">
        <v>21</v>
      </c>
      <c r="B26" s="663" t="s">
        <v>932</v>
      </c>
      <c r="C26" s="664" t="s">
        <v>762</v>
      </c>
      <c r="D26" s="661"/>
      <c r="E26" s="661"/>
      <c r="F26" s="661">
        <v>13472834</v>
      </c>
    </row>
    <row r="27" spans="1:6" ht="20.149999999999999" customHeight="1" x14ac:dyDescent="0.3">
      <c r="A27" s="662">
        <v>22</v>
      </c>
      <c r="B27" s="663" t="s">
        <v>787</v>
      </c>
      <c r="C27" s="664" t="s">
        <v>763</v>
      </c>
      <c r="D27" s="661"/>
      <c r="E27" s="661"/>
      <c r="F27" s="661">
        <v>28668176</v>
      </c>
    </row>
    <row r="28" spans="1:6" ht="20.149999999999999" customHeight="1" x14ac:dyDescent="0.3">
      <c r="A28" s="662">
        <v>23</v>
      </c>
      <c r="B28" s="663" t="s">
        <v>862</v>
      </c>
      <c r="C28" s="664" t="s">
        <v>788</v>
      </c>
      <c r="D28" s="661"/>
      <c r="E28" s="661"/>
      <c r="F28" s="661">
        <v>12098336</v>
      </c>
    </row>
    <row r="29" spans="1:6" ht="20.149999999999999" customHeight="1" x14ac:dyDescent="0.3">
      <c r="A29" s="662">
        <v>24</v>
      </c>
      <c r="B29" s="663" t="s">
        <v>863</v>
      </c>
      <c r="C29" s="664" t="s">
        <v>764</v>
      </c>
      <c r="D29" s="661">
        <v>5082932</v>
      </c>
      <c r="E29" s="661">
        <v>5082932</v>
      </c>
      <c r="F29" s="661">
        <v>260863079</v>
      </c>
    </row>
    <row r="30" spans="1:6" ht="20.149999999999999" customHeight="1" x14ac:dyDescent="0.3">
      <c r="A30" s="662">
        <v>25</v>
      </c>
      <c r="B30" s="663" t="s">
        <v>745</v>
      </c>
      <c r="C30" s="664" t="s">
        <v>744</v>
      </c>
      <c r="D30" s="661">
        <v>15470500</v>
      </c>
      <c r="E30" s="661">
        <v>15470500</v>
      </c>
      <c r="F30" s="661">
        <v>13913158</v>
      </c>
    </row>
    <row r="31" spans="1:6" ht="20.149999999999999" customHeight="1" x14ac:dyDescent="0.3">
      <c r="A31" s="662">
        <v>26</v>
      </c>
      <c r="B31" s="663" t="s">
        <v>789</v>
      </c>
      <c r="C31" s="664" t="s">
        <v>765</v>
      </c>
      <c r="D31" s="661"/>
      <c r="E31" s="661"/>
      <c r="F31" s="661">
        <v>13267472</v>
      </c>
    </row>
    <row r="32" spans="1:6" ht="20.149999999999999" customHeight="1" x14ac:dyDescent="0.3">
      <c r="A32" s="662">
        <v>27</v>
      </c>
      <c r="B32" s="663" t="s">
        <v>864</v>
      </c>
      <c r="C32" s="664" t="s">
        <v>766</v>
      </c>
      <c r="D32" s="661"/>
      <c r="E32" s="661"/>
      <c r="F32" s="661">
        <v>49150000</v>
      </c>
    </row>
    <row r="33" spans="1:6" ht="20.149999999999999" customHeight="1" x14ac:dyDescent="0.3">
      <c r="A33" s="662">
        <v>28</v>
      </c>
      <c r="B33" s="663" t="s">
        <v>865</v>
      </c>
      <c r="C33" s="664" t="s">
        <v>767</v>
      </c>
      <c r="D33" s="661"/>
      <c r="E33" s="661"/>
      <c r="F33" s="661">
        <v>25128991</v>
      </c>
    </row>
    <row r="34" spans="1:6" ht="20.149999999999999" customHeight="1" x14ac:dyDescent="0.3">
      <c r="A34" s="662">
        <v>29</v>
      </c>
      <c r="B34" s="663" t="s">
        <v>866</v>
      </c>
      <c r="C34" s="664" t="s">
        <v>768</v>
      </c>
      <c r="D34" s="661"/>
      <c r="E34" s="661"/>
      <c r="F34" s="661">
        <v>26111895</v>
      </c>
    </row>
    <row r="35" spans="1:6" ht="20.149999999999999" customHeight="1" x14ac:dyDescent="0.3">
      <c r="A35" s="662">
        <v>30</v>
      </c>
      <c r="B35" s="663" t="s">
        <v>867</v>
      </c>
      <c r="C35" s="664" t="s">
        <v>769</v>
      </c>
      <c r="D35" s="661"/>
      <c r="E35" s="661"/>
      <c r="F35" s="661">
        <v>302000</v>
      </c>
    </row>
    <row r="36" spans="1:6" ht="20.149999999999999" customHeight="1" x14ac:dyDescent="0.3">
      <c r="A36" s="662">
        <v>31</v>
      </c>
      <c r="B36" s="663" t="s">
        <v>868</v>
      </c>
      <c r="C36" s="664" t="s">
        <v>790</v>
      </c>
      <c r="D36" s="661">
        <v>700000</v>
      </c>
      <c r="E36" s="661">
        <v>700000</v>
      </c>
      <c r="F36" s="661">
        <v>12549871</v>
      </c>
    </row>
    <row r="37" spans="1:6" ht="20.149999999999999" customHeight="1" x14ac:dyDescent="0.3">
      <c r="A37" s="662">
        <v>32</v>
      </c>
      <c r="B37" s="663" t="s">
        <v>869</v>
      </c>
      <c r="C37" s="664" t="s">
        <v>770</v>
      </c>
      <c r="D37" s="661">
        <v>997500</v>
      </c>
      <c r="E37" s="661">
        <v>997500</v>
      </c>
      <c r="F37" s="661">
        <v>97223134</v>
      </c>
    </row>
    <row r="38" spans="1:6" ht="20.149999999999999" customHeight="1" x14ac:dyDescent="0.3">
      <c r="A38" s="662">
        <v>33</v>
      </c>
      <c r="B38" s="663" t="s">
        <v>870</v>
      </c>
      <c r="C38" s="664" t="s">
        <v>771</v>
      </c>
      <c r="D38" s="661"/>
      <c r="E38" s="661"/>
      <c r="F38" s="661">
        <v>9867000</v>
      </c>
    </row>
    <row r="39" spans="1:6" ht="20.149999999999999" customHeight="1" x14ac:dyDescent="0.3">
      <c r="A39" s="662">
        <v>34</v>
      </c>
      <c r="B39" s="663" t="s">
        <v>871</v>
      </c>
      <c r="C39" s="664" t="s">
        <v>772</v>
      </c>
      <c r="D39" s="661"/>
      <c r="E39" s="661"/>
      <c r="F39" s="661">
        <v>5250000</v>
      </c>
    </row>
    <row r="40" spans="1:6" ht="20.149999999999999" customHeight="1" x14ac:dyDescent="0.3">
      <c r="A40" s="662">
        <v>35</v>
      </c>
      <c r="B40" s="663" t="s">
        <v>933</v>
      </c>
      <c r="C40" s="664" t="s">
        <v>773</v>
      </c>
      <c r="D40" s="661"/>
      <c r="E40" s="661"/>
      <c r="F40" s="661">
        <v>1031212</v>
      </c>
    </row>
    <row r="41" spans="1:6" ht="20.149999999999999" customHeight="1" x14ac:dyDescent="0.3">
      <c r="A41" s="662">
        <v>36</v>
      </c>
      <c r="B41" s="663" t="s">
        <v>934</v>
      </c>
      <c r="C41" s="664" t="s">
        <v>774</v>
      </c>
      <c r="D41" s="661">
        <v>233679</v>
      </c>
      <c r="E41" s="661">
        <v>233679</v>
      </c>
      <c r="F41" s="661">
        <v>3162791</v>
      </c>
    </row>
    <row r="42" spans="1:6" ht="20.149999999999999" customHeight="1" x14ac:dyDescent="0.3">
      <c r="A42" s="662">
        <v>37</v>
      </c>
      <c r="B42" s="663" t="s">
        <v>935</v>
      </c>
      <c r="C42" s="664" t="s">
        <v>775</v>
      </c>
      <c r="D42" s="661">
        <v>23287</v>
      </c>
      <c r="E42" s="661">
        <v>23287</v>
      </c>
      <c r="F42" s="661">
        <v>619395</v>
      </c>
    </row>
    <row r="43" spans="1:6" ht="20.149999999999999" customHeight="1" x14ac:dyDescent="0.3">
      <c r="A43" s="662">
        <v>38</v>
      </c>
      <c r="B43" s="663" t="s">
        <v>872</v>
      </c>
      <c r="C43" s="664" t="s">
        <v>776</v>
      </c>
      <c r="D43" s="661">
        <v>246515</v>
      </c>
      <c r="E43" s="661">
        <v>246515</v>
      </c>
      <c r="F43" s="661">
        <v>2711669</v>
      </c>
    </row>
    <row r="44" spans="1:6" ht="20.149999999999999" customHeight="1" x14ac:dyDescent="0.3">
      <c r="A44" s="662">
        <v>39</v>
      </c>
      <c r="B44" s="663" t="s">
        <v>873</v>
      </c>
      <c r="C44" s="664" t="s">
        <v>777</v>
      </c>
      <c r="D44" s="661">
        <v>6782832</v>
      </c>
      <c r="E44" s="661">
        <v>6782832</v>
      </c>
      <c r="F44" s="661">
        <v>18339836</v>
      </c>
    </row>
    <row r="45" spans="1:6" ht="20.149999999999999" customHeight="1" x14ac:dyDescent="0.3">
      <c r="A45" s="662">
        <v>40</v>
      </c>
      <c r="B45" s="663" t="s">
        <v>937</v>
      </c>
      <c r="C45" s="664" t="s">
        <v>778</v>
      </c>
      <c r="D45" s="661">
        <v>1967167</v>
      </c>
      <c r="E45" s="661">
        <v>1967167</v>
      </c>
      <c r="F45" s="661">
        <v>3728163</v>
      </c>
    </row>
    <row r="46" spans="1:6" ht="20.149999999999999" customHeight="1" x14ac:dyDescent="0.3">
      <c r="A46" s="662">
        <v>41</v>
      </c>
      <c r="B46" s="663" t="s">
        <v>874</v>
      </c>
      <c r="C46" s="664" t="s">
        <v>779</v>
      </c>
      <c r="D46" s="661">
        <v>29674094</v>
      </c>
      <c r="E46" s="661">
        <v>29674094</v>
      </c>
      <c r="F46" s="661">
        <v>157628851</v>
      </c>
    </row>
    <row r="47" spans="1:6" ht="20.149999999999999" customHeight="1" x14ac:dyDescent="0.3">
      <c r="A47" s="662">
        <v>42</v>
      </c>
      <c r="B47" s="663" t="s">
        <v>936</v>
      </c>
      <c r="C47" s="664" t="s">
        <v>780</v>
      </c>
      <c r="D47" s="661"/>
      <c r="E47" s="661"/>
      <c r="F47" s="661">
        <v>1416671</v>
      </c>
    </row>
    <row r="48" spans="1:6" ht="20.149999999999999" customHeight="1" x14ac:dyDescent="0.3">
      <c r="A48" s="662">
        <v>43</v>
      </c>
      <c r="B48" s="663" t="s">
        <v>938</v>
      </c>
      <c r="C48" s="664" t="s">
        <v>781</v>
      </c>
      <c r="D48" s="661">
        <v>2438</v>
      </c>
      <c r="E48" s="661">
        <v>2438</v>
      </c>
      <c r="F48" s="661">
        <v>509384</v>
      </c>
    </row>
    <row r="49" spans="1:6" ht="20.149999999999999" customHeight="1" x14ac:dyDescent="0.3">
      <c r="A49" s="662">
        <v>44</v>
      </c>
      <c r="B49" s="663" t="s">
        <v>821</v>
      </c>
      <c r="C49" s="664" t="s">
        <v>805</v>
      </c>
      <c r="D49" s="661">
        <v>90000000</v>
      </c>
      <c r="E49" s="661">
        <v>90000000</v>
      </c>
      <c r="F49" s="661">
        <v>617500</v>
      </c>
    </row>
    <row r="50" spans="1:6" ht="20.149999999999999" customHeight="1" x14ac:dyDescent="0.3">
      <c r="A50" s="662">
        <v>45</v>
      </c>
      <c r="B50" s="663" t="s">
        <v>875</v>
      </c>
      <c r="C50" s="664" t="s">
        <v>782</v>
      </c>
      <c r="D50" s="661"/>
      <c r="E50" s="661"/>
      <c r="F50" s="661">
        <v>10360416</v>
      </c>
    </row>
    <row r="51" spans="1:6" ht="20.149999999999999" customHeight="1" x14ac:dyDescent="0.3">
      <c r="A51" s="662">
        <v>46</v>
      </c>
      <c r="B51" s="663" t="s">
        <v>791</v>
      </c>
      <c r="C51" s="664" t="s">
        <v>783</v>
      </c>
      <c r="D51" s="661"/>
      <c r="E51" s="661"/>
      <c r="F51" s="661">
        <v>5531882</v>
      </c>
    </row>
    <row r="52" spans="1:6" ht="20.149999999999999" customHeight="1" x14ac:dyDescent="0.3">
      <c r="A52" s="662">
        <v>47</v>
      </c>
      <c r="B52" s="663" t="s">
        <v>941</v>
      </c>
      <c r="C52" s="664" t="s">
        <v>752</v>
      </c>
      <c r="D52" s="661">
        <v>828360</v>
      </c>
      <c r="E52" s="661">
        <v>828360</v>
      </c>
      <c r="F52" s="661"/>
    </row>
    <row r="53" spans="1:6" ht="20.149999999999999" customHeight="1" x14ac:dyDescent="0.3">
      <c r="A53" s="662">
        <v>48</v>
      </c>
      <c r="B53" s="663" t="s">
        <v>942</v>
      </c>
      <c r="C53" s="664" t="s">
        <v>742</v>
      </c>
      <c r="D53" s="661">
        <v>55826180</v>
      </c>
      <c r="E53" s="661">
        <v>55826180</v>
      </c>
      <c r="F53" s="661">
        <v>24961192</v>
      </c>
    </row>
    <row r="54" spans="1:6" ht="20.149999999999999" customHeight="1" x14ac:dyDescent="0.3">
      <c r="A54" s="662">
        <v>49</v>
      </c>
      <c r="B54" s="663" t="s">
        <v>939</v>
      </c>
      <c r="C54" s="664" t="s">
        <v>806</v>
      </c>
      <c r="D54" s="661">
        <v>60348839</v>
      </c>
      <c r="E54" s="661">
        <v>60348839</v>
      </c>
      <c r="F54" s="661">
        <v>1105180</v>
      </c>
    </row>
    <row r="55" spans="1:6" ht="20.149999999999999" customHeight="1" x14ac:dyDescent="0.3">
      <c r="A55" s="662">
        <v>50</v>
      </c>
      <c r="B55" s="663" t="s">
        <v>940</v>
      </c>
      <c r="C55" s="664" t="s">
        <v>784</v>
      </c>
      <c r="D55" s="661">
        <v>71587</v>
      </c>
      <c r="E55" s="661">
        <v>71587</v>
      </c>
      <c r="F55" s="661">
        <v>74650116</v>
      </c>
    </row>
    <row r="56" spans="1:6" ht="20.149999999999999" customHeight="1" x14ac:dyDescent="0.3">
      <c r="A56" s="662">
        <v>51</v>
      </c>
      <c r="B56" s="663" t="s">
        <v>943</v>
      </c>
      <c r="C56" s="664" t="s">
        <v>747</v>
      </c>
      <c r="D56" s="661">
        <v>804118801</v>
      </c>
      <c r="E56" s="661">
        <v>804118801</v>
      </c>
      <c r="F56" s="661"/>
    </row>
    <row r="57" spans="1:6" ht="20.149999999999999" customHeight="1" x14ac:dyDescent="0.3">
      <c r="A57" s="662">
        <v>52</v>
      </c>
      <c r="B57" s="663" t="s">
        <v>944</v>
      </c>
      <c r="C57" s="664" t="s">
        <v>785</v>
      </c>
      <c r="D57" s="661"/>
      <c r="E57" s="661"/>
      <c r="F57" s="661">
        <v>27826836</v>
      </c>
    </row>
    <row r="58" spans="1:6" ht="20.149999999999999" customHeight="1" x14ac:dyDescent="0.3">
      <c r="A58" s="662">
        <v>53</v>
      </c>
      <c r="B58" s="663" t="s">
        <v>945</v>
      </c>
      <c r="C58" s="664" t="s">
        <v>743</v>
      </c>
      <c r="D58" s="661">
        <v>110534313</v>
      </c>
      <c r="E58" s="661">
        <v>110534313</v>
      </c>
      <c r="F58" s="661">
        <v>53403534</v>
      </c>
    </row>
    <row r="59" spans="1:6" s="668" customFormat="1" ht="20.149999999999999" customHeight="1" x14ac:dyDescent="0.3">
      <c r="A59" s="652">
        <v>54</v>
      </c>
      <c r="B59" s="665" t="s">
        <v>405</v>
      </c>
      <c r="C59" s="666"/>
      <c r="D59" s="667">
        <f>SUM(D6:D58)</f>
        <v>5357536671</v>
      </c>
      <c r="E59" s="667">
        <f>SUM(E6:E58)</f>
        <v>5357536671</v>
      </c>
      <c r="F59" s="667">
        <f>SUM(F6:F58)</f>
        <v>2452314401</v>
      </c>
    </row>
  </sheetData>
  <mergeCells count="1">
    <mergeCell ref="A1:F2"/>
  </mergeCells>
  <pageMargins left="0.25" right="0.25" top="0.75" bottom="0.75" header="0.3" footer="0.3"/>
  <pageSetup paperSize="9" scale="63" orientation="portrait" r:id="rId1"/>
  <headerFooter>
    <oddHeader>&amp;R 9.1-2. melléklet a 7/2018. (V.31.)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view="pageLayout" topLeftCell="A25" zoomScaleNormal="100" workbookViewId="0">
      <selection activeCell="J37" sqref="J37"/>
    </sheetView>
  </sheetViews>
  <sheetFormatPr defaultRowHeight="13" x14ac:dyDescent="0.3"/>
  <cols>
    <col min="1" max="1" width="6.796875" style="101" customWidth="1"/>
    <col min="2" max="2" width="60.19921875" style="102" customWidth="1"/>
    <col min="3" max="3" width="8.19921875" style="102" customWidth="1"/>
    <col min="4" max="5" width="14.5" style="79" customWidth="1"/>
    <col min="6" max="6" width="16" style="79" customWidth="1"/>
    <col min="7" max="7" width="14.5" style="79" customWidth="1"/>
    <col min="8" max="8" width="15.19921875" style="570" bestFit="1" customWidth="1"/>
    <col min="9" max="10" width="14.69921875" style="257" bestFit="1" customWidth="1"/>
    <col min="11" max="11" width="11" style="580" bestFit="1" customWidth="1"/>
    <col min="12" max="12" width="9.296875" style="79"/>
    <col min="13" max="13" width="11.69921875" style="79" bestFit="1" customWidth="1"/>
    <col min="14" max="257" width="9.296875" style="79"/>
    <col min="258" max="258" width="6.796875" style="79" customWidth="1"/>
    <col min="259" max="259" width="60.19921875" style="79" customWidth="1"/>
    <col min="260" max="260" width="8.19921875" style="79" customWidth="1"/>
    <col min="261" max="263" width="14.5" style="79" customWidth="1"/>
    <col min="264" max="513" width="9.296875" style="79"/>
    <col min="514" max="514" width="6.796875" style="79" customWidth="1"/>
    <col min="515" max="515" width="60.19921875" style="79" customWidth="1"/>
    <col min="516" max="516" width="8.19921875" style="79" customWidth="1"/>
    <col min="517" max="519" width="14.5" style="79" customWidth="1"/>
    <col min="520" max="769" width="9.296875" style="79"/>
    <col min="770" max="770" width="6.796875" style="79" customWidth="1"/>
    <col min="771" max="771" width="60.19921875" style="79" customWidth="1"/>
    <col min="772" max="772" width="8.19921875" style="79" customWidth="1"/>
    <col min="773" max="775" width="14.5" style="79" customWidth="1"/>
    <col min="776" max="1025" width="9.296875" style="79"/>
    <col min="1026" max="1026" width="6.796875" style="79" customWidth="1"/>
    <col min="1027" max="1027" width="60.19921875" style="79" customWidth="1"/>
    <col min="1028" max="1028" width="8.19921875" style="79" customWidth="1"/>
    <col min="1029" max="1031" width="14.5" style="79" customWidth="1"/>
    <col min="1032" max="1281" width="9.296875" style="79"/>
    <col min="1282" max="1282" width="6.796875" style="79" customWidth="1"/>
    <col min="1283" max="1283" width="60.19921875" style="79" customWidth="1"/>
    <col min="1284" max="1284" width="8.19921875" style="79" customWidth="1"/>
    <col min="1285" max="1287" width="14.5" style="79" customWidth="1"/>
    <col min="1288" max="1537" width="9.296875" style="79"/>
    <col min="1538" max="1538" width="6.796875" style="79" customWidth="1"/>
    <col min="1539" max="1539" width="60.19921875" style="79" customWidth="1"/>
    <col min="1540" max="1540" width="8.19921875" style="79" customWidth="1"/>
    <col min="1541" max="1543" width="14.5" style="79" customWidth="1"/>
    <col min="1544" max="1793" width="9.296875" style="79"/>
    <col min="1794" max="1794" width="6.796875" style="79" customWidth="1"/>
    <col min="1795" max="1795" width="60.19921875" style="79" customWidth="1"/>
    <col min="1796" max="1796" width="8.19921875" style="79" customWidth="1"/>
    <col min="1797" max="1799" width="14.5" style="79" customWidth="1"/>
    <col min="1800" max="2049" width="9.296875" style="79"/>
    <col min="2050" max="2050" width="6.796875" style="79" customWidth="1"/>
    <col min="2051" max="2051" width="60.19921875" style="79" customWidth="1"/>
    <col min="2052" max="2052" width="8.19921875" style="79" customWidth="1"/>
    <col min="2053" max="2055" width="14.5" style="79" customWidth="1"/>
    <col min="2056" max="2305" width="9.296875" style="79"/>
    <col min="2306" max="2306" width="6.796875" style="79" customWidth="1"/>
    <col min="2307" max="2307" width="60.19921875" style="79" customWidth="1"/>
    <col min="2308" max="2308" width="8.19921875" style="79" customWidth="1"/>
    <col min="2309" max="2311" width="14.5" style="79" customWidth="1"/>
    <col min="2312" max="2561" width="9.296875" style="79"/>
    <col min="2562" max="2562" width="6.796875" style="79" customWidth="1"/>
    <col min="2563" max="2563" width="60.19921875" style="79" customWidth="1"/>
    <col min="2564" max="2564" width="8.19921875" style="79" customWidth="1"/>
    <col min="2565" max="2567" width="14.5" style="79" customWidth="1"/>
    <col min="2568" max="2817" width="9.296875" style="79"/>
    <col min="2818" max="2818" width="6.796875" style="79" customWidth="1"/>
    <col min="2819" max="2819" width="60.19921875" style="79" customWidth="1"/>
    <col min="2820" max="2820" width="8.19921875" style="79" customWidth="1"/>
    <col min="2821" max="2823" width="14.5" style="79" customWidth="1"/>
    <col min="2824" max="3073" width="9.296875" style="79"/>
    <col min="3074" max="3074" width="6.796875" style="79" customWidth="1"/>
    <col min="3075" max="3075" width="60.19921875" style="79" customWidth="1"/>
    <col min="3076" max="3076" width="8.19921875" style="79" customWidth="1"/>
    <col min="3077" max="3079" width="14.5" style="79" customWidth="1"/>
    <col min="3080" max="3329" width="9.296875" style="79"/>
    <col min="3330" max="3330" width="6.796875" style="79" customWidth="1"/>
    <col min="3331" max="3331" width="60.19921875" style="79" customWidth="1"/>
    <col min="3332" max="3332" width="8.19921875" style="79" customWidth="1"/>
    <col min="3333" max="3335" width="14.5" style="79" customWidth="1"/>
    <col min="3336" max="3585" width="9.296875" style="79"/>
    <col min="3586" max="3586" width="6.796875" style="79" customWidth="1"/>
    <col min="3587" max="3587" width="60.19921875" style="79" customWidth="1"/>
    <col min="3588" max="3588" width="8.19921875" style="79" customWidth="1"/>
    <col min="3589" max="3591" width="14.5" style="79" customWidth="1"/>
    <col min="3592" max="3841" width="9.296875" style="79"/>
    <col min="3842" max="3842" width="6.796875" style="79" customWidth="1"/>
    <col min="3843" max="3843" width="60.19921875" style="79" customWidth="1"/>
    <col min="3844" max="3844" width="8.19921875" style="79" customWidth="1"/>
    <col min="3845" max="3847" width="14.5" style="79" customWidth="1"/>
    <col min="3848" max="4097" width="9.296875" style="79"/>
    <col min="4098" max="4098" width="6.796875" style="79" customWidth="1"/>
    <col min="4099" max="4099" width="60.19921875" style="79" customWidth="1"/>
    <col min="4100" max="4100" width="8.19921875" style="79" customWidth="1"/>
    <col min="4101" max="4103" width="14.5" style="79" customWidth="1"/>
    <col min="4104" max="4353" width="9.296875" style="79"/>
    <col min="4354" max="4354" width="6.796875" style="79" customWidth="1"/>
    <col min="4355" max="4355" width="60.19921875" style="79" customWidth="1"/>
    <col min="4356" max="4356" width="8.19921875" style="79" customWidth="1"/>
    <col min="4357" max="4359" width="14.5" style="79" customWidth="1"/>
    <col min="4360" max="4609" width="9.296875" style="79"/>
    <col min="4610" max="4610" width="6.796875" style="79" customWidth="1"/>
    <col min="4611" max="4611" width="60.19921875" style="79" customWidth="1"/>
    <col min="4612" max="4612" width="8.19921875" style="79" customWidth="1"/>
    <col min="4613" max="4615" width="14.5" style="79" customWidth="1"/>
    <col min="4616" max="4865" width="9.296875" style="79"/>
    <col min="4866" max="4866" width="6.796875" style="79" customWidth="1"/>
    <col min="4867" max="4867" width="60.19921875" style="79" customWidth="1"/>
    <col min="4868" max="4868" width="8.19921875" style="79" customWidth="1"/>
    <col min="4869" max="4871" width="14.5" style="79" customWidth="1"/>
    <col min="4872" max="5121" width="9.296875" style="79"/>
    <col min="5122" max="5122" width="6.796875" style="79" customWidth="1"/>
    <col min="5123" max="5123" width="60.19921875" style="79" customWidth="1"/>
    <col min="5124" max="5124" width="8.19921875" style="79" customWidth="1"/>
    <col min="5125" max="5127" width="14.5" style="79" customWidth="1"/>
    <col min="5128" max="5377" width="9.296875" style="79"/>
    <col min="5378" max="5378" width="6.796875" style="79" customWidth="1"/>
    <col min="5379" max="5379" width="60.19921875" style="79" customWidth="1"/>
    <col min="5380" max="5380" width="8.19921875" style="79" customWidth="1"/>
    <col min="5381" max="5383" width="14.5" style="79" customWidth="1"/>
    <col min="5384" max="5633" width="9.296875" style="79"/>
    <col min="5634" max="5634" width="6.796875" style="79" customWidth="1"/>
    <col min="5635" max="5635" width="60.19921875" style="79" customWidth="1"/>
    <col min="5636" max="5636" width="8.19921875" style="79" customWidth="1"/>
    <col min="5637" max="5639" width="14.5" style="79" customWidth="1"/>
    <col min="5640" max="5889" width="9.296875" style="79"/>
    <col min="5890" max="5890" width="6.796875" style="79" customWidth="1"/>
    <col min="5891" max="5891" width="60.19921875" style="79" customWidth="1"/>
    <col min="5892" max="5892" width="8.19921875" style="79" customWidth="1"/>
    <col min="5893" max="5895" width="14.5" style="79" customWidth="1"/>
    <col min="5896" max="6145" width="9.296875" style="79"/>
    <col min="6146" max="6146" width="6.796875" style="79" customWidth="1"/>
    <col min="6147" max="6147" width="60.19921875" style="79" customWidth="1"/>
    <col min="6148" max="6148" width="8.19921875" style="79" customWidth="1"/>
    <col min="6149" max="6151" width="14.5" style="79" customWidth="1"/>
    <col min="6152" max="6401" width="9.296875" style="79"/>
    <col min="6402" max="6402" width="6.796875" style="79" customWidth="1"/>
    <col min="6403" max="6403" width="60.19921875" style="79" customWidth="1"/>
    <col min="6404" max="6404" width="8.19921875" style="79" customWidth="1"/>
    <col min="6405" max="6407" width="14.5" style="79" customWidth="1"/>
    <col min="6408" max="6657" width="9.296875" style="79"/>
    <col min="6658" max="6658" width="6.796875" style="79" customWidth="1"/>
    <col min="6659" max="6659" width="60.19921875" style="79" customWidth="1"/>
    <col min="6660" max="6660" width="8.19921875" style="79" customWidth="1"/>
    <col min="6661" max="6663" width="14.5" style="79" customWidth="1"/>
    <col min="6664" max="6913" width="9.296875" style="79"/>
    <col min="6914" max="6914" width="6.796875" style="79" customWidth="1"/>
    <col min="6915" max="6915" width="60.19921875" style="79" customWidth="1"/>
    <col min="6916" max="6916" width="8.19921875" style="79" customWidth="1"/>
    <col min="6917" max="6919" width="14.5" style="79" customWidth="1"/>
    <col min="6920" max="7169" width="9.296875" style="79"/>
    <col min="7170" max="7170" width="6.796875" style="79" customWidth="1"/>
    <col min="7171" max="7171" width="60.19921875" style="79" customWidth="1"/>
    <col min="7172" max="7172" width="8.19921875" style="79" customWidth="1"/>
    <col min="7173" max="7175" width="14.5" style="79" customWidth="1"/>
    <col min="7176" max="7425" width="9.296875" style="79"/>
    <col min="7426" max="7426" width="6.796875" style="79" customWidth="1"/>
    <col min="7427" max="7427" width="60.19921875" style="79" customWidth="1"/>
    <col min="7428" max="7428" width="8.19921875" style="79" customWidth="1"/>
    <col min="7429" max="7431" width="14.5" style="79" customWidth="1"/>
    <col min="7432" max="7681" width="9.296875" style="79"/>
    <col min="7682" max="7682" width="6.796875" style="79" customWidth="1"/>
    <col min="7683" max="7683" width="60.19921875" style="79" customWidth="1"/>
    <col min="7684" max="7684" width="8.19921875" style="79" customWidth="1"/>
    <col min="7685" max="7687" width="14.5" style="79" customWidth="1"/>
    <col min="7688" max="7937" width="9.296875" style="79"/>
    <col min="7938" max="7938" width="6.796875" style="79" customWidth="1"/>
    <col min="7939" max="7939" width="60.19921875" style="79" customWidth="1"/>
    <col min="7940" max="7940" width="8.19921875" style="79" customWidth="1"/>
    <col min="7941" max="7943" width="14.5" style="79" customWidth="1"/>
    <col min="7944" max="8193" width="9.296875" style="79"/>
    <col min="8194" max="8194" width="6.796875" style="79" customWidth="1"/>
    <col min="8195" max="8195" width="60.19921875" style="79" customWidth="1"/>
    <col min="8196" max="8196" width="8.19921875" style="79" customWidth="1"/>
    <col min="8197" max="8199" width="14.5" style="79" customWidth="1"/>
    <col min="8200" max="8449" width="9.296875" style="79"/>
    <col min="8450" max="8450" width="6.796875" style="79" customWidth="1"/>
    <col min="8451" max="8451" width="60.19921875" style="79" customWidth="1"/>
    <col min="8452" max="8452" width="8.19921875" style="79" customWidth="1"/>
    <col min="8453" max="8455" width="14.5" style="79" customWidth="1"/>
    <col min="8456" max="8705" width="9.296875" style="79"/>
    <col min="8706" max="8706" width="6.796875" style="79" customWidth="1"/>
    <col min="8707" max="8707" width="60.19921875" style="79" customWidth="1"/>
    <col min="8708" max="8708" width="8.19921875" style="79" customWidth="1"/>
    <col min="8709" max="8711" width="14.5" style="79" customWidth="1"/>
    <col min="8712" max="8961" width="9.296875" style="79"/>
    <col min="8962" max="8962" width="6.796875" style="79" customWidth="1"/>
    <col min="8963" max="8963" width="60.19921875" style="79" customWidth="1"/>
    <col min="8964" max="8964" width="8.19921875" style="79" customWidth="1"/>
    <col min="8965" max="8967" width="14.5" style="79" customWidth="1"/>
    <col min="8968" max="9217" width="9.296875" style="79"/>
    <col min="9218" max="9218" width="6.796875" style="79" customWidth="1"/>
    <col min="9219" max="9219" width="60.19921875" style="79" customWidth="1"/>
    <col min="9220" max="9220" width="8.19921875" style="79" customWidth="1"/>
    <col min="9221" max="9223" width="14.5" style="79" customWidth="1"/>
    <col min="9224" max="9473" width="9.296875" style="79"/>
    <col min="9474" max="9474" width="6.796875" style="79" customWidth="1"/>
    <col min="9475" max="9475" width="60.19921875" style="79" customWidth="1"/>
    <col min="9476" max="9476" width="8.19921875" style="79" customWidth="1"/>
    <col min="9477" max="9479" width="14.5" style="79" customWidth="1"/>
    <col min="9480" max="9729" width="9.296875" style="79"/>
    <col min="9730" max="9730" width="6.796875" style="79" customWidth="1"/>
    <col min="9731" max="9731" width="60.19921875" style="79" customWidth="1"/>
    <col min="9732" max="9732" width="8.19921875" style="79" customWidth="1"/>
    <col min="9733" max="9735" width="14.5" style="79" customWidth="1"/>
    <col min="9736" max="9985" width="9.296875" style="79"/>
    <col min="9986" max="9986" width="6.796875" style="79" customWidth="1"/>
    <col min="9987" max="9987" width="60.19921875" style="79" customWidth="1"/>
    <col min="9988" max="9988" width="8.19921875" style="79" customWidth="1"/>
    <col min="9989" max="9991" width="14.5" style="79" customWidth="1"/>
    <col min="9992" max="10241" width="9.296875" style="79"/>
    <col min="10242" max="10242" width="6.796875" style="79" customWidth="1"/>
    <col min="10243" max="10243" width="60.19921875" style="79" customWidth="1"/>
    <col min="10244" max="10244" width="8.19921875" style="79" customWidth="1"/>
    <col min="10245" max="10247" width="14.5" style="79" customWidth="1"/>
    <col min="10248" max="10497" width="9.296875" style="79"/>
    <col min="10498" max="10498" width="6.796875" style="79" customWidth="1"/>
    <col min="10499" max="10499" width="60.19921875" style="79" customWidth="1"/>
    <col min="10500" max="10500" width="8.19921875" style="79" customWidth="1"/>
    <col min="10501" max="10503" width="14.5" style="79" customWidth="1"/>
    <col min="10504" max="10753" width="9.296875" style="79"/>
    <col min="10754" max="10754" width="6.796875" style="79" customWidth="1"/>
    <col min="10755" max="10755" width="60.19921875" style="79" customWidth="1"/>
    <col min="10756" max="10756" width="8.19921875" style="79" customWidth="1"/>
    <col min="10757" max="10759" width="14.5" style="79" customWidth="1"/>
    <col min="10760" max="11009" width="9.296875" style="79"/>
    <col min="11010" max="11010" width="6.796875" style="79" customWidth="1"/>
    <col min="11011" max="11011" width="60.19921875" style="79" customWidth="1"/>
    <col min="11012" max="11012" width="8.19921875" style="79" customWidth="1"/>
    <col min="11013" max="11015" width="14.5" style="79" customWidth="1"/>
    <col min="11016" max="11265" width="9.296875" style="79"/>
    <col min="11266" max="11266" width="6.796875" style="79" customWidth="1"/>
    <col min="11267" max="11267" width="60.19921875" style="79" customWidth="1"/>
    <col min="11268" max="11268" width="8.19921875" style="79" customWidth="1"/>
    <col min="11269" max="11271" width="14.5" style="79" customWidth="1"/>
    <col min="11272" max="11521" width="9.296875" style="79"/>
    <col min="11522" max="11522" width="6.796875" style="79" customWidth="1"/>
    <col min="11523" max="11523" width="60.19921875" style="79" customWidth="1"/>
    <col min="11524" max="11524" width="8.19921875" style="79" customWidth="1"/>
    <col min="11525" max="11527" width="14.5" style="79" customWidth="1"/>
    <col min="11528" max="11777" width="9.296875" style="79"/>
    <col min="11778" max="11778" width="6.796875" style="79" customWidth="1"/>
    <col min="11779" max="11779" width="60.19921875" style="79" customWidth="1"/>
    <col min="11780" max="11780" width="8.19921875" style="79" customWidth="1"/>
    <col min="11781" max="11783" width="14.5" style="79" customWidth="1"/>
    <col min="11784" max="12033" width="9.296875" style="79"/>
    <col min="12034" max="12034" width="6.796875" style="79" customWidth="1"/>
    <col min="12035" max="12035" width="60.19921875" style="79" customWidth="1"/>
    <col min="12036" max="12036" width="8.19921875" style="79" customWidth="1"/>
    <col min="12037" max="12039" width="14.5" style="79" customWidth="1"/>
    <col min="12040" max="12289" width="9.296875" style="79"/>
    <col min="12290" max="12290" width="6.796875" style="79" customWidth="1"/>
    <col min="12291" max="12291" width="60.19921875" style="79" customWidth="1"/>
    <col min="12292" max="12292" width="8.19921875" style="79" customWidth="1"/>
    <col min="12293" max="12295" width="14.5" style="79" customWidth="1"/>
    <col min="12296" max="12545" width="9.296875" style="79"/>
    <col min="12546" max="12546" width="6.796875" style="79" customWidth="1"/>
    <col min="12547" max="12547" width="60.19921875" style="79" customWidth="1"/>
    <col min="12548" max="12548" width="8.19921875" style="79" customWidth="1"/>
    <col min="12549" max="12551" width="14.5" style="79" customWidth="1"/>
    <col min="12552" max="12801" width="9.296875" style="79"/>
    <col min="12802" max="12802" width="6.796875" style="79" customWidth="1"/>
    <col min="12803" max="12803" width="60.19921875" style="79" customWidth="1"/>
    <col min="12804" max="12804" width="8.19921875" style="79" customWidth="1"/>
    <col min="12805" max="12807" width="14.5" style="79" customWidth="1"/>
    <col min="12808" max="13057" width="9.296875" style="79"/>
    <col min="13058" max="13058" width="6.796875" style="79" customWidth="1"/>
    <col min="13059" max="13059" width="60.19921875" style="79" customWidth="1"/>
    <col min="13060" max="13060" width="8.19921875" style="79" customWidth="1"/>
    <col min="13061" max="13063" width="14.5" style="79" customWidth="1"/>
    <col min="13064" max="13313" width="9.296875" style="79"/>
    <col min="13314" max="13314" width="6.796875" style="79" customWidth="1"/>
    <col min="13315" max="13315" width="60.19921875" style="79" customWidth="1"/>
    <col min="13316" max="13316" width="8.19921875" style="79" customWidth="1"/>
    <col min="13317" max="13319" width="14.5" style="79" customWidth="1"/>
    <col min="13320" max="13569" width="9.296875" style="79"/>
    <col min="13570" max="13570" width="6.796875" style="79" customWidth="1"/>
    <col min="13571" max="13571" width="60.19921875" style="79" customWidth="1"/>
    <col min="13572" max="13572" width="8.19921875" style="79" customWidth="1"/>
    <col min="13573" max="13575" width="14.5" style="79" customWidth="1"/>
    <col min="13576" max="13825" width="9.296875" style="79"/>
    <col min="13826" max="13826" width="6.796875" style="79" customWidth="1"/>
    <col min="13827" max="13827" width="60.19921875" style="79" customWidth="1"/>
    <col min="13828" max="13828" width="8.19921875" style="79" customWidth="1"/>
    <col min="13829" max="13831" width="14.5" style="79" customWidth="1"/>
    <col min="13832" max="14081" width="9.296875" style="79"/>
    <col min="14082" max="14082" width="6.796875" style="79" customWidth="1"/>
    <col min="14083" max="14083" width="60.19921875" style="79" customWidth="1"/>
    <col min="14084" max="14084" width="8.19921875" style="79" customWidth="1"/>
    <col min="14085" max="14087" width="14.5" style="79" customWidth="1"/>
    <col min="14088" max="14337" width="9.296875" style="79"/>
    <col min="14338" max="14338" width="6.796875" style="79" customWidth="1"/>
    <col min="14339" max="14339" width="60.19921875" style="79" customWidth="1"/>
    <col min="14340" max="14340" width="8.19921875" style="79" customWidth="1"/>
    <col min="14341" max="14343" width="14.5" style="79" customWidth="1"/>
    <col min="14344" max="14593" width="9.296875" style="79"/>
    <col min="14594" max="14594" width="6.796875" style="79" customWidth="1"/>
    <col min="14595" max="14595" width="60.19921875" style="79" customWidth="1"/>
    <col min="14596" max="14596" width="8.19921875" style="79" customWidth="1"/>
    <col min="14597" max="14599" width="14.5" style="79" customWidth="1"/>
    <col min="14600" max="14849" width="9.296875" style="79"/>
    <col min="14850" max="14850" width="6.796875" style="79" customWidth="1"/>
    <col min="14851" max="14851" width="60.19921875" style="79" customWidth="1"/>
    <col min="14852" max="14852" width="8.19921875" style="79" customWidth="1"/>
    <col min="14853" max="14855" width="14.5" style="79" customWidth="1"/>
    <col min="14856" max="15105" width="9.296875" style="79"/>
    <col min="15106" max="15106" width="6.796875" style="79" customWidth="1"/>
    <col min="15107" max="15107" width="60.19921875" style="79" customWidth="1"/>
    <col min="15108" max="15108" width="8.19921875" style="79" customWidth="1"/>
    <col min="15109" max="15111" width="14.5" style="79" customWidth="1"/>
    <col min="15112" max="15361" width="9.296875" style="79"/>
    <col min="15362" max="15362" width="6.796875" style="79" customWidth="1"/>
    <col min="15363" max="15363" width="60.19921875" style="79" customWidth="1"/>
    <col min="15364" max="15364" width="8.19921875" style="79" customWidth="1"/>
    <col min="15365" max="15367" width="14.5" style="79" customWidth="1"/>
    <col min="15368" max="15617" width="9.296875" style="79"/>
    <col min="15618" max="15618" width="6.796875" style="79" customWidth="1"/>
    <col min="15619" max="15619" width="60.19921875" style="79" customWidth="1"/>
    <col min="15620" max="15620" width="8.19921875" style="79" customWidth="1"/>
    <col min="15621" max="15623" width="14.5" style="79" customWidth="1"/>
    <col min="15624" max="15873" width="9.296875" style="79"/>
    <col min="15874" max="15874" width="6.796875" style="79" customWidth="1"/>
    <col min="15875" max="15875" width="60.19921875" style="79" customWidth="1"/>
    <col min="15876" max="15876" width="8.19921875" style="79" customWidth="1"/>
    <col min="15877" max="15879" width="14.5" style="79" customWidth="1"/>
    <col min="15880" max="16129" width="9.296875" style="79"/>
    <col min="16130" max="16130" width="6.796875" style="79" customWidth="1"/>
    <col min="16131" max="16131" width="60.19921875" style="79" customWidth="1"/>
    <col min="16132" max="16132" width="8.19921875" style="79" customWidth="1"/>
    <col min="16133" max="16135" width="14.5" style="79" customWidth="1"/>
    <col min="16136" max="16384" width="9.296875" style="79"/>
  </cols>
  <sheetData>
    <row r="1" spans="1:11" s="73" customFormat="1" ht="51.75" customHeight="1" x14ac:dyDescent="0.3">
      <c r="A1" s="1068" t="s">
        <v>622</v>
      </c>
      <c r="B1" s="1068"/>
      <c r="C1" s="1068"/>
      <c r="D1" s="1068"/>
      <c r="E1" s="1068"/>
      <c r="F1" s="1068"/>
      <c r="G1" s="1068"/>
      <c r="H1" s="1068"/>
      <c r="I1" s="1068"/>
      <c r="J1" s="1068"/>
      <c r="K1" s="1068"/>
    </row>
    <row r="2" spans="1:11" s="76" customFormat="1" ht="12" customHeight="1" x14ac:dyDescent="0.3">
      <c r="A2" s="74"/>
      <c r="B2" s="74"/>
      <c r="C2" s="75"/>
      <c r="D2" s="75"/>
      <c r="E2" s="75"/>
      <c r="F2" s="75"/>
      <c r="I2" s="573" t="s">
        <v>799</v>
      </c>
      <c r="J2" s="572"/>
      <c r="K2" s="574" t="s">
        <v>1</v>
      </c>
    </row>
    <row r="3" spans="1:11" s="418" customFormat="1" ht="38.25" customHeight="1" x14ac:dyDescent="0.3">
      <c r="A3" s="417" t="s">
        <v>404</v>
      </c>
      <c r="B3" s="417" t="s">
        <v>468</v>
      </c>
      <c r="C3" s="87" t="s">
        <v>469</v>
      </c>
      <c r="D3" s="87" t="s">
        <v>470</v>
      </c>
      <c r="E3" s="87" t="s">
        <v>471</v>
      </c>
      <c r="F3" s="87" t="s">
        <v>793</v>
      </c>
      <c r="G3" s="87" t="s">
        <v>268</v>
      </c>
      <c r="H3" s="565" t="s">
        <v>959</v>
      </c>
      <c r="I3" s="576" t="s">
        <v>796</v>
      </c>
      <c r="J3" s="576" t="s">
        <v>823</v>
      </c>
      <c r="K3" s="577" t="s">
        <v>824</v>
      </c>
    </row>
    <row r="4" spans="1:11" s="553" customFormat="1" ht="13" customHeight="1" x14ac:dyDescent="0.3">
      <c r="A4" s="77" t="s">
        <v>6</v>
      </c>
      <c r="B4" s="77" t="s">
        <v>7</v>
      </c>
      <c r="C4" s="77" t="s">
        <v>8</v>
      </c>
      <c r="D4" s="77" t="s">
        <v>9</v>
      </c>
      <c r="E4" s="77" t="s">
        <v>269</v>
      </c>
      <c r="F4" s="77" t="s">
        <v>472</v>
      </c>
      <c r="G4" s="77" t="s">
        <v>794</v>
      </c>
      <c r="H4" s="565" t="s">
        <v>797</v>
      </c>
      <c r="I4" s="576" t="s">
        <v>826</v>
      </c>
      <c r="J4" s="576" t="s">
        <v>827</v>
      </c>
      <c r="K4" s="577" t="s">
        <v>828</v>
      </c>
    </row>
    <row r="5" spans="1:11" s="80" customFormat="1" ht="16" customHeight="1" x14ac:dyDescent="0.3">
      <c r="A5" s="1069" t="s">
        <v>265</v>
      </c>
      <c r="B5" s="1070"/>
      <c r="C5" s="1070"/>
      <c r="D5" s="1070"/>
      <c r="E5" s="1070"/>
      <c r="F5" s="1070"/>
      <c r="G5" s="1070"/>
      <c r="H5" s="1070"/>
      <c r="I5" s="1070"/>
      <c r="J5" s="1070"/>
      <c r="K5" s="1071"/>
    </row>
    <row r="6" spans="1:11" s="80" customFormat="1" ht="25.5" customHeight="1" x14ac:dyDescent="0.3">
      <c r="A6" s="415" t="s">
        <v>10</v>
      </c>
      <c r="B6" s="419" t="s">
        <v>473</v>
      </c>
      <c r="C6" s="415" t="s">
        <v>474</v>
      </c>
      <c r="D6" s="725"/>
      <c r="E6" s="725"/>
      <c r="F6" s="725"/>
      <c r="G6" s="725">
        <f>SUM(D6:F6)</f>
        <v>0</v>
      </c>
      <c r="H6" s="565"/>
      <c r="I6" s="576"/>
      <c r="J6" s="576"/>
      <c r="K6" s="577"/>
    </row>
    <row r="7" spans="1:11" s="80" customFormat="1" ht="30" customHeight="1" x14ac:dyDescent="0.3">
      <c r="A7" s="415" t="s">
        <v>13</v>
      </c>
      <c r="B7" s="419" t="s">
        <v>475</v>
      </c>
      <c r="C7" s="415" t="s">
        <v>476</v>
      </c>
      <c r="D7" s="725"/>
      <c r="E7" s="725"/>
      <c r="F7" s="725"/>
      <c r="G7" s="725">
        <f t="shared" ref="G7:G9" si="0">SUM(D7:F7)</f>
        <v>0</v>
      </c>
      <c r="H7" s="637">
        <f>I7-G7</f>
        <v>12290500</v>
      </c>
      <c r="I7" s="582">
        <v>12290500</v>
      </c>
      <c r="J7" s="582">
        <v>12290500</v>
      </c>
      <c r="K7" s="724">
        <f>J7/I7</f>
        <v>1</v>
      </c>
    </row>
    <row r="8" spans="1:11" s="80" customFormat="1" ht="25.5" customHeight="1" x14ac:dyDescent="0.3">
      <c r="A8" s="415" t="s">
        <v>16</v>
      </c>
      <c r="B8" s="419" t="s">
        <v>477</v>
      </c>
      <c r="C8" s="415" t="s">
        <v>478</v>
      </c>
      <c r="D8" s="725"/>
      <c r="E8" s="725"/>
      <c r="F8" s="725"/>
      <c r="G8" s="725">
        <f t="shared" si="0"/>
        <v>0</v>
      </c>
      <c r="H8" s="565"/>
      <c r="I8" s="576"/>
      <c r="J8" s="576"/>
      <c r="K8" s="577"/>
    </row>
    <row r="9" spans="1:11" s="80" customFormat="1" ht="25.5" customHeight="1" x14ac:dyDescent="0.3">
      <c r="A9" s="415" t="s">
        <v>19</v>
      </c>
      <c r="B9" s="419" t="s">
        <v>479</v>
      </c>
      <c r="C9" s="415" t="s">
        <v>480</v>
      </c>
      <c r="D9" s="725"/>
      <c r="E9" s="725"/>
      <c r="F9" s="725"/>
      <c r="G9" s="725">
        <f t="shared" si="0"/>
        <v>0</v>
      </c>
      <c r="H9" s="565"/>
      <c r="I9" s="576"/>
      <c r="J9" s="576"/>
      <c r="K9" s="577"/>
    </row>
    <row r="10" spans="1:11" s="80" customFormat="1" ht="27.75" customHeight="1" x14ac:dyDescent="0.3">
      <c r="A10" s="417" t="s">
        <v>22</v>
      </c>
      <c r="B10" s="207" t="s">
        <v>481</v>
      </c>
      <c r="C10" s="417" t="s">
        <v>36</v>
      </c>
      <c r="D10" s="726">
        <f>SUM(D6:D9)</f>
        <v>0</v>
      </c>
      <c r="E10" s="726">
        <f t="shared" ref="E10:J10" si="1">SUM(E6:E9)</f>
        <v>0</v>
      </c>
      <c r="F10" s="726">
        <f t="shared" si="1"/>
        <v>0</v>
      </c>
      <c r="G10" s="726">
        <f t="shared" si="1"/>
        <v>0</v>
      </c>
      <c r="H10" s="726">
        <f t="shared" si="1"/>
        <v>12290500</v>
      </c>
      <c r="I10" s="726">
        <f t="shared" si="1"/>
        <v>12290500</v>
      </c>
      <c r="J10" s="726">
        <f t="shared" si="1"/>
        <v>12290500</v>
      </c>
      <c r="K10" s="577">
        <f>J10/I10</f>
        <v>1</v>
      </c>
    </row>
    <row r="11" spans="1:11" s="80" customFormat="1" ht="24.75" customHeight="1" x14ac:dyDescent="0.3">
      <c r="A11" s="415" t="s">
        <v>25</v>
      </c>
      <c r="B11" s="419" t="s">
        <v>482</v>
      </c>
      <c r="C11" s="415" t="s">
        <v>483</v>
      </c>
      <c r="D11" s="726"/>
      <c r="E11" s="726"/>
      <c r="F11" s="726"/>
      <c r="G11" s="726">
        <f>SUM(D11:F11)</f>
        <v>0</v>
      </c>
      <c r="H11" s="565"/>
      <c r="I11" s="576"/>
      <c r="J11" s="576"/>
      <c r="K11" s="577"/>
    </row>
    <row r="12" spans="1:11" s="80" customFormat="1" ht="30" customHeight="1" x14ac:dyDescent="0.3">
      <c r="A12" s="415" t="s">
        <v>28</v>
      </c>
      <c r="B12" s="419" t="s">
        <v>484</v>
      </c>
      <c r="C12" s="415" t="s">
        <v>485</v>
      </c>
      <c r="D12" s="726"/>
      <c r="E12" s="726"/>
      <c r="F12" s="726"/>
      <c r="G12" s="726">
        <f t="shared" ref="G12:G14" si="2">SUM(D12:F12)</f>
        <v>0</v>
      </c>
      <c r="H12" s="565"/>
      <c r="I12" s="576"/>
      <c r="J12" s="576"/>
      <c r="K12" s="577"/>
    </row>
    <row r="13" spans="1:11" s="80" customFormat="1" ht="30" customHeight="1" x14ac:dyDescent="0.3">
      <c r="A13" s="415" t="s">
        <v>31</v>
      </c>
      <c r="B13" s="419" t="s">
        <v>486</v>
      </c>
      <c r="C13" s="415" t="s">
        <v>487</v>
      </c>
      <c r="D13" s="726"/>
      <c r="E13" s="726"/>
      <c r="F13" s="726"/>
      <c r="G13" s="726">
        <f t="shared" si="2"/>
        <v>0</v>
      </c>
      <c r="H13" s="565"/>
      <c r="I13" s="576"/>
      <c r="J13" s="576"/>
      <c r="K13" s="577"/>
    </row>
    <row r="14" spans="1:11" s="80" customFormat="1" ht="30" customHeight="1" x14ac:dyDescent="0.3">
      <c r="A14" s="415" t="s">
        <v>34</v>
      </c>
      <c r="B14" s="419" t="s">
        <v>488</v>
      </c>
      <c r="C14" s="415" t="s">
        <v>489</v>
      </c>
      <c r="D14" s="726"/>
      <c r="E14" s="726"/>
      <c r="F14" s="726"/>
      <c r="G14" s="726">
        <f t="shared" si="2"/>
        <v>0</v>
      </c>
      <c r="H14" s="565"/>
      <c r="I14" s="576"/>
      <c r="J14" s="576"/>
      <c r="K14" s="577"/>
    </row>
    <row r="15" spans="1:11" s="80" customFormat="1" ht="21.75" customHeight="1" x14ac:dyDescent="0.3">
      <c r="A15" s="417" t="s">
        <v>37</v>
      </c>
      <c r="B15" s="208" t="s">
        <v>451</v>
      </c>
      <c r="C15" s="77" t="s">
        <v>59</v>
      </c>
      <c r="D15" s="726">
        <f>SUM(D11:D14)</f>
        <v>0</v>
      </c>
      <c r="E15" s="726">
        <f t="shared" ref="E15:J15" si="3">SUM(E11:E14)</f>
        <v>0</v>
      </c>
      <c r="F15" s="726">
        <f t="shared" si="3"/>
        <v>0</v>
      </c>
      <c r="G15" s="726">
        <f t="shared" si="3"/>
        <v>0</v>
      </c>
      <c r="H15" s="726">
        <f t="shared" si="3"/>
        <v>0</v>
      </c>
      <c r="I15" s="726">
        <f t="shared" si="3"/>
        <v>0</v>
      </c>
      <c r="J15" s="726">
        <f t="shared" si="3"/>
        <v>0</v>
      </c>
      <c r="K15" s="577"/>
    </row>
    <row r="16" spans="1:11" s="81" customFormat="1" ht="16.5" customHeight="1" x14ac:dyDescent="0.3">
      <c r="A16" s="415" t="s">
        <v>39</v>
      </c>
      <c r="B16" s="420" t="s">
        <v>111</v>
      </c>
      <c r="C16" s="421" t="s">
        <v>112</v>
      </c>
      <c r="D16" s="422"/>
      <c r="E16" s="422"/>
      <c r="F16" s="422"/>
      <c r="G16" s="422">
        <f>SUM(D16:E16)</f>
        <v>0</v>
      </c>
      <c r="H16" s="566"/>
      <c r="I16" s="253"/>
      <c r="J16" s="253"/>
      <c r="K16" s="578"/>
    </row>
    <row r="17" spans="1:11" s="81" customFormat="1" ht="16.5" customHeight="1" x14ac:dyDescent="0.3">
      <c r="A17" s="415" t="s">
        <v>41</v>
      </c>
      <c r="B17" s="420" t="s">
        <v>114</v>
      </c>
      <c r="C17" s="421" t="s">
        <v>115</v>
      </c>
      <c r="D17" s="422"/>
      <c r="E17" s="422"/>
      <c r="F17" s="422">
        <v>800000</v>
      </c>
      <c r="G17" s="422">
        <f>SUM(D17:F17)</f>
        <v>800000</v>
      </c>
      <c r="H17" s="567">
        <f>I17-G17</f>
        <v>415165</v>
      </c>
      <c r="I17" s="253">
        <v>1215165</v>
      </c>
      <c r="J17" s="253">
        <v>1215165</v>
      </c>
      <c r="K17" s="578">
        <f>J17/I17</f>
        <v>1</v>
      </c>
    </row>
    <row r="18" spans="1:11" s="81" customFormat="1" ht="16.5" customHeight="1" x14ac:dyDescent="0.3">
      <c r="A18" s="415" t="s">
        <v>43</v>
      </c>
      <c r="B18" s="420" t="s">
        <v>490</v>
      </c>
      <c r="C18" s="421" t="s">
        <v>118</v>
      </c>
      <c r="D18" s="422">
        <f>SUM(D19:D20)</f>
        <v>0</v>
      </c>
      <c r="E18" s="422">
        <f>SUM(E19:E20)</f>
        <v>0</v>
      </c>
      <c r="F18" s="422">
        <f>SUM(F19:F20)</f>
        <v>5604344</v>
      </c>
      <c r="G18" s="422">
        <f>SUM(G19:G20)</f>
        <v>5604344</v>
      </c>
      <c r="H18" s="567">
        <f t="shared" ref="H18:H28" si="4">I18-G18</f>
        <v>401415</v>
      </c>
      <c r="I18" s="253">
        <v>6005759</v>
      </c>
      <c r="J18" s="253">
        <v>6005759</v>
      </c>
      <c r="K18" s="578">
        <f t="shared" ref="K18:K42" si="5">J18/I18</f>
        <v>1</v>
      </c>
    </row>
    <row r="19" spans="1:11" s="81" customFormat="1" ht="16.5" customHeight="1" x14ac:dyDescent="0.3">
      <c r="A19" s="415" t="s">
        <v>45</v>
      </c>
      <c r="B19" s="423" t="s">
        <v>491</v>
      </c>
      <c r="C19" s="424" t="s">
        <v>492</v>
      </c>
      <c r="D19" s="425"/>
      <c r="E19" s="425"/>
      <c r="F19" s="425">
        <v>5604344</v>
      </c>
      <c r="G19" s="425">
        <f>SUM(D19:F19)</f>
        <v>5604344</v>
      </c>
      <c r="H19" s="567">
        <f t="shared" si="4"/>
        <v>401415</v>
      </c>
      <c r="I19" s="253">
        <v>6005759</v>
      </c>
      <c r="J19" s="253">
        <v>6005759</v>
      </c>
      <c r="K19" s="578">
        <f t="shared" si="5"/>
        <v>1</v>
      </c>
    </row>
    <row r="20" spans="1:11" s="82" customFormat="1" ht="16.5" customHeight="1" x14ac:dyDescent="0.3">
      <c r="A20" s="415" t="s">
        <v>47</v>
      </c>
      <c r="B20" s="423" t="s">
        <v>493</v>
      </c>
      <c r="C20" s="424" t="s">
        <v>494</v>
      </c>
      <c r="D20" s="425"/>
      <c r="E20" s="425"/>
      <c r="F20" s="425"/>
      <c r="G20" s="425">
        <f t="shared" ref="G20:G28" si="6">SUM(D20:F20)</f>
        <v>0</v>
      </c>
      <c r="H20" s="567">
        <f t="shared" si="4"/>
        <v>0</v>
      </c>
      <c r="I20" s="253"/>
      <c r="J20" s="253"/>
      <c r="K20" s="578"/>
    </row>
    <row r="21" spans="1:11" s="82" customFormat="1" ht="16.5" customHeight="1" x14ac:dyDescent="0.3">
      <c r="A21" s="415" t="s">
        <v>49</v>
      </c>
      <c r="B21" s="426" t="s">
        <v>120</v>
      </c>
      <c r="C21" s="421" t="s">
        <v>121</v>
      </c>
      <c r="D21" s="425"/>
      <c r="E21" s="425"/>
      <c r="F21" s="425"/>
      <c r="G21" s="425">
        <f t="shared" si="6"/>
        <v>0</v>
      </c>
      <c r="H21" s="567">
        <f t="shared" si="4"/>
        <v>0</v>
      </c>
      <c r="I21" s="253"/>
      <c r="J21" s="253"/>
      <c r="K21" s="578"/>
    </row>
    <row r="22" spans="1:11" s="81" customFormat="1" ht="16.5" customHeight="1" x14ac:dyDescent="0.3">
      <c r="A22" s="415" t="s">
        <v>51</v>
      </c>
      <c r="B22" s="420" t="s">
        <v>123</v>
      </c>
      <c r="C22" s="421" t="s">
        <v>124</v>
      </c>
      <c r="D22" s="422"/>
      <c r="E22" s="422"/>
      <c r="F22" s="422"/>
      <c r="G22" s="425">
        <f t="shared" si="6"/>
        <v>0</v>
      </c>
      <c r="H22" s="567">
        <f t="shared" si="4"/>
        <v>0</v>
      </c>
      <c r="I22" s="253"/>
      <c r="J22" s="253"/>
      <c r="K22" s="578"/>
    </row>
    <row r="23" spans="1:11" s="81" customFormat="1" ht="16.5" customHeight="1" x14ac:dyDescent="0.3">
      <c r="A23" s="415" t="s">
        <v>54</v>
      </c>
      <c r="B23" s="420" t="s">
        <v>495</v>
      </c>
      <c r="C23" s="421" t="s">
        <v>127</v>
      </c>
      <c r="D23" s="422"/>
      <c r="E23" s="422"/>
      <c r="F23" s="422">
        <v>216000</v>
      </c>
      <c r="G23" s="425">
        <f t="shared" si="6"/>
        <v>216000</v>
      </c>
      <c r="H23" s="567">
        <f t="shared" si="4"/>
        <v>0</v>
      </c>
      <c r="I23" s="253">
        <v>216000</v>
      </c>
      <c r="J23" s="253">
        <v>134707</v>
      </c>
      <c r="K23" s="578">
        <f t="shared" si="5"/>
        <v>0.62364351851851851</v>
      </c>
    </row>
    <row r="24" spans="1:11" s="82" customFormat="1" ht="16.5" customHeight="1" x14ac:dyDescent="0.3">
      <c r="A24" s="415" t="s">
        <v>57</v>
      </c>
      <c r="B24" s="420" t="s">
        <v>496</v>
      </c>
      <c r="C24" s="421" t="s">
        <v>130</v>
      </c>
      <c r="D24" s="422"/>
      <c r="E24" s="422"/>
      <c r="F24" s="422"/>
      <c r="G24" s="425">
        <f t="shared" si="6"/>
        <v>0</v>
      </c>
      <c r="H24" s="567">
        <f t="shared" si="4"/>
        <v>0</v>
      </c>
      <c r="I24" s="253"/>
      <c r="J24" s="253"/>
      <c r="K24" s="578"/>
    </row>
    <row r="25" spans="1:11" s="82" customFormat="1" ht="16.5" customHeight="1" x14ac:dyDescent="0.3">
      <c r="A25" s="415" t="s">
        <v>60</v>
      </c>
      <c r="B25" s="427" t="s">
        <v>132</v>
      </c>
      <c r="C25" s="421" t="s">
        <v>133</v>
      </c>
      <c r="D25" s="422"/>
      <c r="E25" s="422"/>
      <c r="F25" s="422"/>
      <c r="G25" s="425">
        <f t="shared" si="6"/>
        <v>0</v>
      </c>
      <c r="H25" s="567">
        <f t="shared" si="4"/>
        <v>1258</v>
      </c>
      <c r="I25" s="253">
        <v>1258</v>
      </c>
      <c r="J25" s="253">
        <v>1258</v>
      </c>
      <c r="K25" s="578">
        <f t="shared" si="5"/>
        <v>1</v>
      </c>
    </row>
    <row r="26" spans="1:11" s="82" customFormat="1" ht="16.5" customHeight="1" x14ac:dyDescent="0.3">
      <c r="A26" s="415" t="s">
        <v>62</v>
      </c>
      <c r="B26" s="420" t="s">
        <v>497</v>
      </c>
      <c r="C26" s="421" t="s">
        <v>136</v>
      </c>
      <c r="D26" s="422"/>
      <c r="E26" s="422"/>
      <c r="F26" s="422"/>
      <c r="G26" s="425">
        <f t="shared" si="6"/>
        <v>0</v>
      </c>
      <c r="H26" s="567">
        <f t="shared" si="4"/>
        <v>0</v>
      </c>
      <c r="I26" s="253">
        <v>0</v>
      </c>
      <c r="J26" s="253"/>
      <c r="K26" s="578"/>
    </row>
    <row r="27" spans="1:11" s="82" customFormat="1" ht="16.5" customHeight="1" x14ac:dyDescent="0.3">
      <c r="A27" s="415" t="s">
        <v>64</v>
      </c>
      <c r="B27" s="420" t="s">
        <v>498</v>
      </c>
      <c r="C27" s="421" t="s">
        <v>139</v>
      </c>
      <c r="D27" s="422"/>
      <c r="E27" s="422"/>
      <c r="F27" s="422"/>
      <c r="G27" s="425">
        <f t="shared" si="6"/>
        <v>0</v>
      </c>
      <c r="H27" s="567">
        <f t="shared" si="4"/>
        <v>0</v>
      </c>
      <c r="I27" s="253"/>
      <c r="J27" s="253"/>
      <c r="K27" s="578"/>
    </row>
    <row r="28" spans="1:11" s="82" customFormat="1" ht="16.5" customHeight="1" x14ac:dyDescent="0.3">
      <c r="A28" s="415" t="s">
        <v>66</v>
      </c>
      <c r="B28" s="420" t="s">
        <v>141</v>
      </c>
      <c r="C28" s="421" t="s">
        <v>142</v>
      </c>
      <c r="D28" s="317"/>
      <c r="E28" s="317"/>
      <c r="F28" s="317"/>
      <c r="G28" s="425">
        <f t="shared" si="6"/>
        <v>0</v>
      </c>
      <c r="H28" s="567">
        <f t="shared" si="4"/>
        <v>395289</v>
      </c>
      <c r="I28" s="253">
        <v>395289</v>
      </c>
      <c r="J28" s="253">
        <v>395289</v>
      </c>
      <c r="K28" s="578">
        <f t="shared" si="5"/>
        <v>1</v>
      </c>
    </row>
    <row r="29" spans="1:11" s="82" customFormat="1" ht="21" customHeight="1" x14ac:dyDescent="0.3">
      <c r="A29" s="417" t="s">
        <v>68</v>
      </c>
      <c r="B29" s="84" t="s">
        <v>499</v>
      </c>
      <c r="C29" s="209" t="s">
        <v>145</v>
      </c>
      <c r="D29" s="85">
        <f>SUM(D16+D17+D18+D21+D22+D23+D24+D25+D26+D27+D28)</f>
        <v>0</v>
      </c>
      <c r="E29" s="85">
        <f>SUM(E16+E17+E18+E21+E22+E23+E24+E25+E26+E27+E28)</f>
        <v>0</v>
      </c>
      <c r="F29" s="85">
        <f>SUM(F16+F17+F18+F21+F22+F23+F24+F25+F26+F27+F28)</f>
        <v>6620344</v>
      </c>
      <c r="G29" s="85">
        <f>SUM(G16+G17+G18+G21+G22+G23+G24+G25+G26+G27+G28)</f>
        <v>6620344</v>
      </c>
      <c r="H29" s="568">
        <f t="shared" ref="H29:J29" si="7">SUM(H16+H17+H18+H21+H22+H23+H24+H25+H26+H27+H28)</f>
        <v>1213127</v>
      </c>
      <c r="I29" s="579">
        <f t="shared" si="7"/>
        <v>7833471</v>
      </c>
      <c r="J29" s="579">
        <f t="shared" si="7"/>
        <v>7752178</v>
      </c>
      <c r="K29" s="575">
        <f t="shared" si="5"/>
        <v>0.98962235259439912</v>
      </c>
    </row>
    <row r="30" spans="1:11" s="83" customFormat="1" ht="21" customHeight="1" x14ac:dyDescent="0.3">
      <c r="A30" s="417" t="s">
        <v>70</v>
      </c>
      <c r="B30" s="84" t="s">
        <v>453</v>
      </c>
      <c r="C30" s="209" t="s">
        <v>163</v>
      </c>
      <c r="D30" s="85"/>
      <c r="E30" s="85"/>
      <c r="F30" s="85"/>
      <c r="G30" s="85">
        <f>SUM(D30:F30)</f>
        <v>0</v>
      </c>
      <c r="H30" s="569"/>
      <c r="I30" s="251"/>
      <c r="J30" s="251"/>
      <c r="K30" s="578"/>
    </row>
    <row r="31" spans="1:11" s="82" customFormat="1" ht="21" customHeight="1" x14ac:dyDescent="0.3">
      <c r="A31" s="417" t="s">
        <v>72</v>
      </c>
      <c r="B31" s="84" t="s">
        <v>424</v>
      </c>
      <c r="C31" s="209" t="s">
        <v>172</v>
      </c>
      <c r="D31" s="210"/>
      <c r="E31" s="210"/>
      <c r="F31" s="210"/>
      <c r="G31" s="210">
        <f>SUM(D31:F31)</f>
        <v>0</v>
      </c>
      <c r="H31" s="431"/>
      <c r="I31" s="253"/>
      <c r="J31" s="253"/>
      <c r="K31" s="578"/>
    </row>
    <row r="32" spans="1:11" s="82" customFormat="1" ht="21" customHeight="1" x14ac:dyDescent="0.3">
      <c r="A32" s="417" t="s">
        <v>75</v>
      </c>
      <c r="B32" s="84" t="s">
        <v>454</v>
      </c>
      <c r="C32" s="209" t="s">
        <v>181</v>
      </c>
      <c r="D32" s="210"/>
      <c r="E32" s="210"/>
      <c r="F32" s="210"/>
      <c r="G32" s="210">
        <f>SUM(D32:F32)</f>
        <v>0</v>
      </c>
      <c r="H32" s="431"/>
      <c r="I32" s="253"/>
      <c r="J32" s="253"/>
      <c r="K32" s="578"/>
    </row>
    <row r="33" spans="1:11" s="82" customFormat="1" ht="21" customHeight="1" x14ac:dyDescent="0.3">
      <c r="A33" s="417" t="s">
        <v>78</v>
      </c>
      <c r="B33" s="84" t="s">
        <v>500</v>
      </c>
      <c r="C33" s="727"/>
      <c r="D33" s="85">
        <f>D10+D15+D29+D30+D31+D32</f>
        <v>0</v>
      </c>
      <c r="E33" s="85">
        <f>E10+E15+E29+E30+E31+E32</f>
        <v>0</v>
      </c>
      <c r="F33" s="85">
        <f>F10+F15+F29+F30+F31+F32</f>
        <v>6620344</v>
      </c>
      <c r="G33" s="85">
        <f>G10+G15+G29+G30+G31+G32</f>
        <v>6620344</v>
      </c>
      <c r="H33" s="568">
        <f t="shared" ref="H33:J33" si="8">H10+H15+H29+H30+H31+H32</f>
        <v>13503627</v>
      </c>
      <c r="I33" s="568">
        <f t="shared" si="8"/>
        <v>20123971</v>
      </c>
      <c r="J33" s="568">
        <f t="shared" si="8"/>
        <v>20042678</v>
      </c>
      <c r="K33" s="575">
        <f t="shared" si="5"/>
        <v>0.99596038972626233</v>
      </c>
    </row>
    <row r="34" spans="1:11" s="81" customFormat="1" ht="20.25" customHeight="1" x14ac:dyDescent="0.3">
      <c r="A34" s="415" t="s">
        <v>81</v>
      </c>
      <c r="B34" s="228" t="s">
        <v>501</v>
      </c>
      <c r="C34" s="307" t="s">
        <v>190</v>
      </c>
      <c r="D34" s="728">
        <f>SUM(D35:D36)</f>
        <v>0</v>
      </c>
      <c r="E34" s="728">
        <f>SUM(E35:E36)</f>
        <v>0</v>
      </c>
      <c r="F34" s="728">
        <f>SUM(F35:F36)</f>
        <v>0</v>
      </c>
      <c r="G34" s="728">
        <f>SUM(G35:G36)</f>
        <v>0</v>
      </c>
      <c r="H34" s="567">
        <v>1081188</v>
      </c>
      <c r="I34" s="253">
        <v>1081188</v>
      </c>
      <c r="J34" s="253">
        <v>1081188</v>
      </c>
      <c r="K34" s="578">
        <f t="shared" si="5"/>
        <v>1</v>
      </c>
    </row>
    <row r="35" spans="1:11" s="81" customFormat="1" ht="20.25" customHeight="1" x14ac:dyDescent="0.3">
      <c r="A35" s="415" t="s">
        <v>83</v>
      </c>
      <c r="B35" s="225" t="s">
        <v>192</v>
      </c>
      <c r="C35" s="307" t="s">
        <v>193</v>
      </c>
      <c r="D35" s="728"/>
      <c r="E35" s="728"/>
      <c r="F35" s="728"/>
      <c r="G35" s="728">
        <f>SUM(D35:F35)</f>
        <v>0</v>
      </c>
      <c r="H35" s="567">
        <f>I35-G35</f>
        <v>0</v>
      </c>
      <c r="I35" s="253"/>
      <c r="J35" s="253"/>
      <c r="K35" s="578"/>
    </row>
    <row r="36" spans="1:11" s="81" customFormat="1" ht="20.25" customHeight="1" x14ac:dyDescent="0.3">
      <c r="A36" s="415" t="s">
        <v>85</v>
      </c>
      <c r="B36" s="225" t="s">
        <v>195</v>
      </c>
      <c r="C36" s="307" t="s">
        <v>196</v>
      </c>
      <c r="D36" s="728"/>
      <c r="E36" s="728"/>
      <c r="F36" s="728"/>
      <c r="G36" s="728">
        <f>SUM(D36:F36)</f>
        <v>0</v>
      </c>
      <c r="H36" s="567">
        <f>I36-G36</f>
        <v>0</v>
      </c>
      <c r="I36" s="253"/>
      <c r="J36" s="253"/>
      <c r="K36" s="578"/>
    </row>
    <row r="37" spans="1:11" s="81" customFormat="1" ht="20.25" customHeight="1" x14ac:dyDescent="0.3">
      <c r="A37" s="415" t="s">
        <v>87</v>
      </c>
      <c r="B37" s="228" t="s">
        <v>502</v>
      </c>
      <c r="C37" s="307" t="s">
        <v>503</v>
      </c>
      <c r="D37" s="728">
        <f>SUM(D38:D39)</f>
        <v>100666221</v>
      </c>
      <c r="E37" s="728">
        <f t="shared" ref="E37:G37" si="9">SUM(E38:E39)</f>
        <v>9132668</v>
      </c>
      <c r="F37" s="728">
        <f t="shared" si="9"/>
        <v>163552282</v>
      </c>
      <c r="G37" s="728">
        <f t="shared" si="9"/>
        <v>273351171</v>
      </c>
      <c r="H37" s="567">
        <f>I37-G37</f>
        <v>3319540</v>
      </c>
      <c r="I37" s="253">
        <v>276670711</v>
      </c>
      <c r="J37" s="253">
        <v>266256738</v>
      </c>
      <c r="K37" s="578">
        <f t="shared" si="5"/>
        <v>0.96235968396380056</v>
      </c>
    </row>
    <row r="38" spans="1:11" s="81" customFormat="1" ht="20.25" customHeight="1" x14ac:dyDescent="0.3">
      <c r="A38" s="415"/>
      <c r="B38" s="428" t="s">
        <v>589</v>
      </c>
      <c r="C38" s="298" t="s">
        <v>503</v>
      </c>
      <c r="D38" s="728">
        <v>71018282</v>
      </c>
      <c r="E38" s="728"/>
      <c r="F38" s="728">
        <v>134217642</v>
      </c>
      <c r="G38" s="728">
        <f>SUM(D38:F38)</f>
        <v>205235924</v>
      </c>
      <c r="H38" s="567">
        <f t="shared" ref="H38:H39" si="10">I38-G38</f>
        <v>-280924</v>
      </c>
      <c r="I38" s="253">
        <v>204955000</v>
      </c>
      <c r="J38" s="253">
        <v>129330615</v>
      </c>
      <c r="K38" s="578">
        <f t="shared" si="5"/>
        <v>0.63101956527042524</v>
      </c>
    </row>
    <row r="39" spans="1:11" s="81" customFormat="1" ht="20.25" customHeight="1" x14ac:dyDescent="0.3">
      <c r="A39" s="415"/>
      <c r="B39" s="429" t="s">
        <v>590</v>
      </c>
      <c r="C39" s="298" t="s">
        <v>503</v>
      </c>
      <c r="D39" s="728">
        <v>29647939</v>
      </c>
      <c r="E39" s="728">
        <v>9132668</v>
      </c>
      <c r="F39" s="728">
        <v>29334640</v>
      </c>
      <c r="G39" s="728">
        <f>SUM(D39:F39)</f>
        <v>68115247</v>
      </c>
      <c r="H39" s="567">
        <f t="shared" si="10"/>
        <v>3600464</v>
      </c>
      <c r="I39" s="253">
        <v>71715711</v>
      </c>
      <c r="J39" s="253">
        <v>68115247</v>
      </c>
      <c r="K39" s="578">
        <f t="shared" si="5"/>
        <v>0.94979532448615056</v>
      </c>
    </row>
    <row r="40" spans="1:11" s="81" customFormat="1" ht="20.25" customHeight="1" x14ac:dyDescent="0.3">
      <c r="A40" s="415" t="s">
        <v>90</v>
      </c>
      <c r="B40" s="84" t="s">
        <v>504</v>
      </c>
      <c r="C40" s="87" t="s">
        <v>505</v>
      </c>
      <c r="D40" s="86">
        <f>SUM(D34+D37)</f>
        <v>100666221</v>
      </c>
      <c r="E40" s="86">
        <f t="shared" ref="E40:F40" si="11">SUM(E34+E37)</f>
        <v>9132668</v>
      </c>
      <c r="F40" s="86">
        <f t="shared" si="11"/>
        <v>163552282</v>
      </c>
      <c r="G40" s="86">
        <f>SUM(G34+G37)</f>
        <v>273351171</v>
      </c>
      <c r="H40" s="375">
        <f t="shared" ref="H40:J40" si="12">SUM(H34+H37)</f>
        <v>4400728</v>
      </c>
      <c r="I40" s="375">
        <f t="shared" si="12"/>
        <v>277751899</v>
      </c>
      <c r="J40" s="375">
        <f t="shared" si="12"/>
        <v>267337926</v>
      </c>
      <c r="K40" s="575">
        <f t="shared" si="5"/>
        <v>0.96250620414300025</v>
      </c>
    </row>
    <row r="41" spans="1:11" s="81" customFormat="1" ht="20.25" customHeight="1" x14ac:dyDescent="0.3">
      <c r="A41" s="417" t="s">
        <v>94</v>
      </c>
      <c r="B41" s="84" t="s">
        <v>506</v>
      </c>
      <c r="C41" s="87" t="s">
        <v>199</v>
      </c>
      <c r="D41" s="86">
        <f>D40</f>
        <v>100666221</v>
      </c>
      <c r="E41" s="86">
        <f t="shared" ref="E41:F41" si="13">E40</f>
        <v>9132668</v>
      </c>
      <c r="F41" s="86">
        <f t="shared" si="13"/>
        <v>163552282</v>
      </c>
      <c r="G41" s="86">
        <f t="shared" ref="G41:J41" si="14">G40</f>
        <v>273351171</v>
      </c>
      <c r="H41" s="375">
        <f t="shared" si="14"/>
        <v>4400728</v>
      </c>
      <c r="I41" s="375">
        <f t="shared" si="14"/>
        <v>277751899</v>
      </c>
      <c r="J41" s="375">
        <f t="shared" si="14"/>
        <v>267337926</v>
      </c>
      <c r="K41" s="575">
        <f t="shared" si="5"/>
        <v>0.96250620414300025</v>
      </c>
    </row>
    <row r="42" spans="1:11" s="81" customFormat="1" ht="27" customHeight="1" x14ac:dyDescent="0.3">
      <c r="A42" s="417" t="s">
        <v>97</v>
      </c>
      <c r="B42" s="84" t="s">
        <v>507</v>
      </c>
      <c r="C42" s="87"/>
      <c r="D42" s="86">
        <f>D33+D41</f>
        <v>100666221</v>
      </c>
      <c r="E42" s="86">
        <f>E33+E41</f>
        <v>9132668</v>
      </c>
      <c r="F42" s="86">
        <f>F33+F41</f>
        <v>170172626</v>
      </c>
      <c r="G42" s="86">
        <f>G33+G41</f>
        <v>279971515</v>
      </c>
      <c r="H42" s="375">
        <f t="shared" ref="H42:J42" si="15">H33+H41</f>
        <v>17904355</v>
      </c>
      <c r="I42" s="375">
        <f t="shared" si="15"/>
        <v>297875870</v>
      </c>
      <c r="J42" s="375">
        <f t="shared" si="15"/>
        <v>287380604</v>
      </c>
      <c r="K42" s="575">
        <f t="shared" si="5"/>
        <v>0.9647663102083428</v>
      </c>
    </row>
    <row r="43" spans="1:11" s="81" customFormat="1" ht="15" customHeight="1" x14ac:dyDescent="0.3">
      <c r="A43" s="88"/>
      <c r="B43" s="89"/>
      <c r="C43" s="90"/>
      <c r="D43" s="91"/>
      <c r="E43" s="91"/>
      <c r="F43" s="91"/>
      <c r="G43" s="91"/>
      <c r="H43" s="570"/>
      <c r="I43" s="257"/>
      <c r="J43" s="257"/>
      <c r="K43" s="581" t="s">
        <v>799</v>
      </c>
    </row>
    <row r="44" spans="1:11" s="81" customFormat="1" ht="15" customHeight="1" x14ac:dyDescent="0.3">
      <c r="A44" s="1067" t="s">
        <v>508</v>
      </c>
      <c r="B44" s="1067"/>
      <c r="C44" s="1067"/>
      <c r="D44" s="1067"/>
      <c r="E44" s="1067"/>
      <c r="F44" s="1067"/>
      <c r="G44" s="1067"/>
      <c r="H44" s="1067"/>
      <c r="I44" s="1067"/>
      <c r="J44" s="257"/>
      <c r="K44" s="580"/>
    </row>
    <row r="45" spans="1:11" s="430" customFormat="1" ht="38.25" customHeight="1" x14ac:dyDescent="0.3">
      <c r="A45" s="87" t="s">
        <v>404</v>
      </c>
      <c r="B45" s="87" t="s">
        <v>267</v>
      </c>
      <c r="C45" s="87" t="s">
        <v>469</v>
      </c>
      <c r="D45" s="87" t="s">
        <v>470</v>
      </c>
      <c r="E45" s="87" t="s">
        <v>471</v>
      </c>
      <c r="F45" s="87" t="s">
        <v>793</v>
      </c>
      <c r="G45" s="87" t="s">
        <v>509</v>
      </c>
      <c r="H45" s="736" t="s">
        <v>959</v>
      </c>
      <c r="I45" s="576" t="s">
        <v>796</v>
      </c>
      <c r="J45" s="576" t="s">
        <v>823</v>
      </c>
      <c r="K45" s="577" t="s">
        <v>824</v>
      </c>
    </row>
    <row r="46" spans="1:11" s="554" customFormat="1" ht="15" customHeight="1" x14ac:dyDescent="0.3">
      <c r="A46" s="87" t="s">
        <v>6</v>
      </c>
      <c r="B46" s="87" t="s">
        <v>7</v>
      </c>
      <c r="C46" s="87"/>
      <c r="D46" s="87" t="s">
        <v>9</v>
      </c>
      <c r="E46" s="87" t="s">
        <v>269</v>
      </c>
      <c r="F46" s="87" t="s">
        <v>472</v>
      </c>
      <c r="G46" s="87" t="s">
        <v>794</v>
      </c>
      <c r="H46" s="736" t="s">
        <v>797</v>
      </c>
      <c r="I46" s="576" t="s">
        <v>826</v>
      </c>
      <c r="J46" s="576" t="s">
        <v>827</v>
      </c>
      <c r="K46" s="577" t="s">
        <v>828</v>
      </c>
    </row>
    <row r="47" spans="1:11" s="81" customFormat="1" ht="17.25" customHeight="1" x14ac:dyDescent="0.3">
      <c r="A47" s="732" t="s">
        <v>10</v>
      </c>
      <c r="B47" s="434" t="s">
        <v>204</v>
      </c>
      <c r="C47" s="416" t="s">
        <v>205</v>
      </c>
      <c r="D47" s="292">
        <v>64760954</v>
      </c>
      <c r="E47" s="292">
        <v>5320450</v>
      </c>
      <c r="F47" s="292">
        <v>109953405</v>
      </c>
      <c r="G47" s="292">
        <f>SUM(D47:F47)</f>
        <v>180034809</v>
      </c>
      <c r="H47" s="737">
        <f>I47-G47</f>
        <v>7373594</v>
      </c>
      <c r="I47" s="733">
        <v>187408403</v>
      </c>
      <c r="J47" s="733">
        <v>186282935</v>
      </c>
      <c r="K47" s="734">
        <f>J47/I47</f>
        <v>0.99399457024346982</v>
      </c>
    </row>
    <row r="48" spans="1:11" s="81" customFormat="1" ht="17.25" customHeight="1" x14ac:dyDescent="0.3">
      <c r="A48" s="732" t="s">
        <v>13</v>
      </c>
      <c r="B48" s="434" t="s">
        <v>206</v>
      </c>
      <c r="C48" s="416" t="s">
        <v>207</v>
      </c>
      <c r="D48" s="292">
        <v>17291291</v>
      </c>
      <c r="E48" s="292">
        <v>1178018</v>
      </c>
      <c r="F48" s="292">
        <v>24264237</v>
      </c>
      <c r="G48" s="292">
        <f>SUM(D48:F48)</f>
        <v>42733546</v>
      </c>
      <c r="H48" s="737">
        <f t="shared" ref="H48:H50" si="16">I48-G48</f>
        <v>467886</v>
      </c>
      <c r="I48" s="733">
        <v>43201432</v>
      </c>
      <c r="J48" s="733">
        <v>41849921</v>
      </c>
      <c r="K48" s="734">
        <f t="shared" ref="K48:K60" si="17">J48/I48</f>
        <v>0.96871606015282086</v>
      </c>
    </row>
    <row r="49" spans="1:11" s="81" customFormat="1" ht="17.25" customHeight="1" x14ac:dyDescent="0.3">
      <c r="A49" s="732" t="s">
        <v>16</v>
      </c>
      <c r="B49" s="434" t="s">
        <v>208</v>
      </c>
      <c r="C49" s="416" t="s">
        <v>209</v>
      </c>
      <c r="D49" s="292">
        <v>16362016</v>
      </c>
      <c r="E49" s="292">
        <v>145000</v>
      </c>
      <c r="F49" s="292">
        <v>35954984</v>
      </c>
      <c r="G49" s="292">
        <f t="shared" ref="G49:G51" si="18">SUM(D49:F49)</f>
        <v>52462000</v>
      </c>
      <c r="H49" s="737">
        <f t="shared" si="16"/>
        <v>-2271639</v>
      </c>
      <c r="I49" s="733">
        <v>50190361</v>
      </c>
      <c r="J49" s="733">
        <v>42769685</v>
      </c>
      <c r="K49" s="734">
        <f t="shared" si="17"/>
        <v>0.8521493798380928</v>
      </c>
    </row>
    <row r="50" spans="1:11" s="81" customFormat="1" ht="17.25" customHeight="1" x14ac:dyDescent="0.3">
      <c r="A50" s="732" t="s">
        <v>19</v>
      </c>
      <c r="B50" s="434" t="s">
        <v>210</v>
      </c>
      <c r="C50" s="416" t="s">
        <v>211</v>
      </c>
      <c r="D50" s="292">
        <v>677160</v>
      </c>
      <c r="E50" s="292"/>
      <c r="F50" s="292"/>
      <c r="G50" s="292">
        <f t="shared" si="18"/>
        <v>677160</v>
      </c>
      <c r="H50" s="737">
        <f t="shared" si="16"/>
        <v>12441700</v>
      </c>
      <c r="I50" s="733">
        <v>13118860</v>
      </c>
      <c r="J50" s="733">
        <v>13118860</v>
      </c>
      <c r="K50" s="734">
        <f t="shared" si="17"/>
        <v>1</v>
      </c>
    </row>
    <row r="51" spans="1:11" s="81" customFormat="1" ht="17.25" customHeight="1" x14ac:dyDescent="0.3">
      <c r="A51" s="732" t="s">
        <v>22</v>
      </c>
      <c r="B51" s="434" t="s">
        <v>212</v>
      </c>
      <c r="C51" s="416" t="s">
        <v>213</v>
      </c>
      <c r="D51" s="292"/>
      <c r="E51" s="292"/>
      <c r="F51" s="292"/>
      <c r="G51" s="292">
        <f t="shared" si="18"/>
        <v>0</v>
      </c>
      <c r="H51" s="737">
        <f>I51-G51</f>
        <v>0</v>
      </c>
      <c r="I51" s="733"/>
      <c r="J51" s="733"/>
      <c r="K51" s="734" t="s">
        <v>799</v>
      </c>
    </row>
    <row r="52" spans="1:11" s="433" customFormat="1" ht="17.25" customHeight="1" x14ac:dyDescent="0.3">
      <c r="A52" s="93" t="s">
        <v>25</v>
      </c>
      <c r="B52" s="304" t="s">
        <v>510</v>
      </c>
      <c r="C52" s="87" t="s">
        <v>230</v>
      </c>
      <c r="D52" s="212">
        <f>SUM(D47:D51)</f>
        <v>99091421</v>
      </c>
      <c r="E52" s="212">
        <f>SUM(E47:E51)</f>
        <v>6643468</v>
      </c>
      <c r="F52" s="212">
        <f>SUM(F47:F51)</f>
        <v>170172626</v>
      </c>
      <c r="G52" s="212">
        <f>SUM(G47:G51)</f>
        <v>275907515</v>
      </c>
      <c r="H52" s="212">
        <f t="shared" ref="H52:J52" si="19">SUM(H47:H51)</f>
        <v>18011541</v>
      </c>
      <c r="I52" s="212">
        <f t="shared" si="19"/>
        <v>293919056</v>
      </c>
      <c r="J52" s="212">
        <f t="shared" si="19"/>
        <v>284021401</v>
      </c>
      <c r="K52" s="575">
        <f t="shared" si="17"/>
        <v>0.96632523547571547</v>
      </c>
    </row>
    <row r="53" spans="1:11" s="92" customFormat="1" ht="17.25" customHeight="1" x14ac:dyDescent="0.3">
      <c r="A53" s="732" t="s">
        <v>28</v>
      </c>
      <c r="B53" s="434" t="s">
        <v>511</v>
      </c>
      <c r="C53" s="416" t="s">
        <v>232</v>
      </c>
      <c r="D53" s="292">
        <v>1574800</v>
      </c>
      <c r="E53" s="292">
        <v>2489200</v>
      </c>
      <c r="F53" s="292"/>
      <c r="G53" s="292">
        <f>SUM(D53:F53)</f>
        <v>4064000</v>
      </c>
      <c r="H53" s="255">
        <f>I53-G53</f>
        <v>-107186</v>
      </c>
      <c r="I53" s="733">
        <v>3956814</v>
      </c>
      <c r="J53" s="733">
        <v>2413328</v>
      </c>
      <c r="K53" s="734">
        <f t="shared" si="17"/>
        <v>0.60991696855096045</v>
      </c>
    </row>
    <row r="54" spans="1:11" ht="17.25" customHeight="1" x14ac:dyDescent="0.3">
      <c r="A54" s="732" t="s">
        <v>31</v>
      </c>
      <c r="B54" s="434" t="s">
        <v>233</v>
      </c>
      <c r="C54" s="416" t="s">
        <v>234</v>
      </c>
      <c r="D54" s="292"/>
      <c r="E54" s="292"/>
      <c r="F54" s="292"/>
      <c r="G54" s="292">
        <f t="shared" ref="G54:G55" si="20">SUM(D54:F54)</f>
        <v>0</v>
      </c>
      <c r="H54" s="738"/>
      <c r="I54" s="733"/>
      <c r="J54" s="733"/>
      <c r="K54" s="734"/>
    </row>
    <row r="55" spans="1:11" ht="17.25" customHeight="1" x14ac:dyDescent="0.3">
      <c r="A55" s="732" t="s">
        <v>34</v>
      </c>
      <c r="B55" s="434" t="s">
        <v>512</v>
      </c>
      <c r="C55" s="416" t="s">
        <v>236</v>
      </c>
      <c r="D55" s="292"/>
      <c r="E55" s="292"/>
      <c r="F55" s="292"/>
      <c r="G55" s="292">
        <f t="shared" si="20"/>
        <v>0</v>
      </c>
      <c r="H55" s="738"/>
      <c r="I55" s="733"/>
      <c r="J55" s="733"/>
      <c r="K55" s="734"/>
    </row>
    <row r="56" spans="1:11" ht="17.25" customHeight="1" x14ac:dyDescent="0.3">
      <c r="A56" s="93" t="s">
        <v>37</v>
      </c>
      <c r="B56" s="94" t="s">
        <v>513</v>
      </c>
      <c r="C56" s="87" t="s">
        <v>248</v>
      </c>
      <c r="D56" s="212">
        <f>SUM(D53:D55)</f>
        <v>1574800</v>
      </c>
      <c r="E56" s="212">
        <f>SUM(E53:E55)</f>
        <v>2489200</v>
      </c>
      <c r="F56" s="212">
        <f>SUM(F53:F55)</f>
        <v>0</v>
      </c>
      <c r="G56" s="212">
        <f>SUM(G53:G55)</f>
        <v>4064000</v>
      </c>
      <c r="H56" s="212">
        <f t="shared" ref="H56:J56" si="21">SUM(H53:H55)</f>
        <v>-107186</v>
      </c>
      <c r="I56" s="212">
        <f t="shared" si="21"/>
        <v>3956814</v>
      </c>
      <c r="J56" s="212">
        <f t="shared" si="21"/>
        <v>2413328</v>
      </c>
      <c r="K56" s="575">
        <f t="shared" si="17"/>
        <v>0.60991696855096045</v>
      </c>
    </row>
    <row r="57" spans="1:11" s="418" customFormat="1" ht="17.25" customHeight="1" x14ac:dyDescent="0.3">
      <c r="A57" s="93" t="s">
        <v>39</v>
      </c>
      <c r="B57" s="94" t="s">
        <v>514</v>
      </c>
      <c r="C57" s="87" t="s">
        <v>515</v>
      </c>
      <c r="D57" s="95">
        <f>D52+D56</f>
        <v>100666221</v>
      </c>
      <c r="E57" s="95">
        <f>E52+E56</f>
        <v>9132668</v>
      </c>
      <c r="F57" s="95">
        <f>F52+F56</f>
        <v>170172626</v>
      </c>
      <c r="G57" s="95">
        <f>G52+G56</f>
        <v>279971515</v>
      </c>
      <c r="H57" s="95">
        <f t="shared" ref="H57:J57" si="22">H52+H56</f>
        <v>17904355</v>
      </c>
      <c r="I57" s="95">
        <f t="shared" si="22"/>
        <v>297875870</v>
      </c>
      <c r="J57" s="95">
        <f t="shared" si="22"/>
        <v>286434729</v>
      </c>
      <c r="K57" s="575">
        <f t="shared" si="17"/>
        <v>0.96159091033456323</v>
      </c>
    </row>
    <row r="58" spans="1:11" ht="22.5" customHeight="1" x14ac:dyDescent="0.3">
      <c r="A58" s="416" t="s">
        <v>41</v>
      </c>
      <c r="B58" s="94" t="s">
        <v>516</v>
      </c>
      <c r="C58" s="87" t="s">
        <v>517</v>
      </c>
      <c r="D58" s="95"/>
      <c r="E58" s="95"/>
      <c r="F58" s="95"/>
      <c r="G58" s="95">
        <f>SUM(D58:F58)</f>
        <v>0</v>
      </c>
      <c r="H58" s="738"/>
      <c r="I58" s="733"/>
      <c r="J58" s="251"/>
      <c r="K58" s="575"/>
    </row>
    <row r="59" spans="1:11" s="418" customFormat="1" ht="20.25" customHeight="1" x14ac:dyDescent="0.3">
      <c r="A59" s="87" t="s">
        <v>45</v>
      </c>
      <c r="B59" s="94" t="s">
        <v>591</v>
      </c>
      <c r="C59" s="87" t="s">
        <v>260</v>
      </c>
      <c r="D59" s="95">
        <f>D58</f>
        <v>0</v>
      </c>
      <c r="E59" s="95">
        <f t="shared" ref="E59:G59" si="23">E58</f>
        <v>0</v>
      </c>
      <c r="F59" s="95">
        <f t="shared" si="23"/>
        <v>0</v>
      </c>
      <c r="G59" s="95">
        <f t="shared" si="23"/>
        <v>0</v>
      </c>
      <c r="H59" s="735"/>
      <c r="I59" s="251"/>
      <c r="J59" s="251"/>
      <c r="K59" s="575"/>
    </row>
    <row r="60" spans="1:11" s="418" customFormat="1" ht="30.75" customHeight="1" x14ac:dyDescent="0.3">
      <c r="A60" s="87" t="s">
        <v>47</v>
      </c>
      <c r="B60" s="94" t="s">
        <v>518</v>
      </c>
      <c r="C60" s="87" t="s">
        <v>262</v>
      </c>
      <c r="D60" s="95">
        <f>SUM(D57+D59)</f>
        <v>100666221</v>
      </c>
      <c r="E60" s="95">
        <f>SUM(E57+E59)</f>
        <v>9132668</v>
      </c>
      <c r="F60" s="95">
        <f>SUM(F57+F59)</f>
        <v>170172626</v>
      </c>
      <c r="G60" s="95">
        <f>SUM(G57+G59)</f>
        <v>279971515</v>
      </c>
      <c r="H60" s="95">
        <f t="shared" ref="H60:J60" si="24">SUM(H57+H59)</f>
        <v>17904355</v>
      </c>
      <c r="I60" s="95">
        <f t="shared" si="24"/>
        <v>297875870</v>
      </c>
      <c r="J60" s="95">
        <f t="shared" si="24"/>
        <v>286434729</v>
      </c>
      <c r="K60" s="575">
        <f t="shared" si="17"/>
        <v>0.96159091033456323</v>
      </c>
    </row>
    <row r="61" spans="1:11" ht="12" customHeight="1" x14ac:dyDescent="0.3">
      <c r="A61" s="96"/>
      <c r="B61" s="97"/>
      <c r="C61" s="98"/>
      <c r="D61" s="98"/>
      <c r="E61" s="98"/>
      <c r="F61" s="98"/>
      <c r="G61" s="98"/>
      <c r="H61" s="571"/>
      <c r="I61" s="256"/>
      <c r="J61" s="256"/>
      <c r="K61" s="581"/>
    </row>
    <row r="62" spans="1:11" ht="12" customHeight="1" x14ac:dyDescent="0.3">
      <c r="A62" s="96"/>
      <c r="B62" s="97"/>
      <c r="C62" s="98"/>
      <c r="D62" s="98"/>
      <c r="E62" s="98"/>
      <c r="F62" s="98"/>
      <c r="G62" s="98"/>
      <c r="H62" s="571"/>
      <c r="I62" s="256"/>
      <c r="J62" s="256"/>
      <c r="K62" s="581"/>
    </row>
    <row r="63" spans="1:11" x14ac:dyDescent="0.3">
      <c r="A63" s="99"/>
      <c r="B63" s="100"/>
      <c r="C63" s="100"/>
    </row>
    <row r="64" spans="1:11" x14ac:dyDescent="0.3">
      <c r="A64" s="99"/>
      <c r="B64" s="100"/>
      <c r="C64" s="100"/>
    </row>
    <row r="65" spans="1:3" x14ac:dyDescent="0.3">
      <c r="A65" s="99"/>
      <c r="B65" s="100"/>
      <c r="C65" s="100"/>
    </row>
  </sheetData>
  <sheetProtection formatCells="0"/>
  <mergeCells count="3">
    <mergeCell ref="A44:I44"/>
    <mergeCell ref="A1:K1"/>
    <mergeCell ref="A5:K5"/>
  </mergeCells>
  <printOptions horizontalCentered="1"/>
  <pageMargins left="0.25" right="0.25" top="0.75" bottom="0.75" header="0.3" footer="0.3"/>
  <pageSetup paperSize="9" scale="71" orientation="landscape" verticalDpi="300" r:id="rId1"/>
  <headerFooter alignWithMargins="0">
    <oddHeader>&amp;R&amp;"Times New Roman CE,Félkövér dőlt"&amp;11 10. melléklet a 7/2018. (V.31.)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view="pageLayout" zoomScaleNormal="100" workbookViewId="0">
      <selection sqref="A1:L1"/>
    </sheetView>
  </sheetViews>
  <sheetFormatPr defaultRowHeight="13" x14ac:dyDescent="0.3"/>
  <cols>
    <col min="1" max="1" width="6.69921875" style="70" customWidth="1"/>
    <col min="2" max="2" width="24.69921875" style="48" customWidth="1"/>
    <col min="3" max="3" width="13.796875" style="48" customWidth="1"/>
    <col min="4" max="9" width="13.796875" style="71" customWidth="1"/>
    <col min="10" max="12" width="13.796875" style="48" customWidth="1"/>
    <col min="13" max="257" width="9.296875" style="48"/>
    <col min="258" max="258" width="6.69921875" style="48" customWidth="1"/>
    <col min="259" max="259" width="24.69921875" style="48" customWidth="1"/>
    <col min="260" max="260" width="13" style="48" customWidth="1"/>
    <col min="261" max="262" width="15.5" style="48" customWidth="1"/>
    <col min="263" max="263" width="11.5" style="48" customWidth="1"/>
    <col min="264" max="264" width="13" style="48" customWidth="1"/>
    <col min="265" max="266" width="14" style="48" customWidth="1"/>
    <col min="267" max="267" width="13.296875" style="48" customWidth="1"/>
    <col min="268" max="268" width="14.69921875" style="48" customWidth="1"/>
    <col min="269" max="513" width="9.296875" style="48"/>
    <col min="514" max="514" width="6.69921875" style="48" customWidth="1"/>
    <col min="515" max="515" width="24.69921875" style="48" customWidth="1"/>
    <col min="516" max="516" width="13" style="48" customWidth="1"/>
    <col min="517" max="518" width="15.5" style="48" customWidth="1"/>
    <col min="519" max="519" width="11.5" style="48" customWidth="1"/>
    <col min="520" max="520" width="13" style="48" customWidth="1"/>
    <col min="521" max="522" width="14" style="48" customWidth="1"/>
    <col min="523" max="523" width="13.296875" style="48" customWidth="1"/>
    <col min="524" max="524" width="14.69921875" style="48" customWidth="1"/>
    <col min="525" max="769" width="9.296875" style="48"/>
    <col min="770" max="770" width="6.69921875" style="48" customWidth="1"/>
    <col min="771" max="771" width="24.69921875" style="48" customWidth="1"/>
    <col min="772" max="772" width="13" style="48" customWidth="1"/>
    <col min="773" max="774" width="15.5" style="48" customWidth="1"/>
    <col min="775" max="775" width="11.5" style="48" customWidth="1"/>
    <col min="776" max="776" width="13" style="48" customWidth="1"/>
    <col min="777" max="778" width="14" style="48" customWidth="1"/>
    <col min="779" max="779" width="13.296875" style="48" customWidth="1"/>
    <col min="780" max="780" width="14.69921875" style="48" customWidth="1"/>
    <col min="781" max="1025" width="9.296875" style="48"/>
    <col min="1026" max="1026" width="6.69921875" style="48" customWidth="1"/>
    <col min="1027" max="1027" width="24.69921875" style="48" customWidth="1"/>
    <col min="1028" max="1028" width="13" style="48" customWidth="1"/>
    <col min="1029" max="1030" width="15.5" style="48" customWidth="1"/>
    <col min="1031" max="1031" width="11.5" style="48" customWidth="1"/>
    <col min="1032" max="1032" width="13" style="48" customWidth="1"/>
    <col min="1033" max="1034" width="14" style="48" customWidth="1"/>
    <col min="1035" max="1035" width="13.296875" style="48" customWidth="1"/>
    <col min="1036" max="1036" width="14.69921875" style="48" customWidth="1"/>
    <col min="1037" max="1281" width="9.296875" style="48"/>
    <col min="1282" max="1282" width="6.69921875" style="48" customWidth="1"/>
    <col min="1283" max="1283" width="24.69921875" style="48" customWidth="1"/>
    <col min="1284" max="1284" width="13" style="48" customWidth="1"/>
    <col min="1285" max="1286" width="15.5" style="48" customWidth="1"/>
    <col min="1287" max="1287" width="11.5" style="48" customWidth="1"/>
    <col min="1288" max="1288" width="13" style="48" customWidth="1"/>
    <col min="1289" max="1290" width="14" style="48" customWidth="1"/>
    <col min="1291" max="1291" width="13.296875" style="48" customWidth="1"/>
    <col min="1292" max="1292" width="14.69921875" style="48" customWidth="1"/>
    <col min="1293" max="1537" width="9.296875" style="48"/>
    <col min="1538" max="1538" width="6.69921875" style="48" customWidth="1"/>
    <col min="1539" max="1539" width="24.69921875" style="48" customWidth="1"/>
    <col min="1540" max="1540" width="13" style="48" customWidth="1"/>
    <col min="1541" max="1542" width="15.5" style="48" customWidth="1"/>
    <col min="1543" max="1543" width="11.5" style="48" customWidth="1"/>
    <col min="1544" max="1544" width="13" style="48" customWidth="1"/>
    <col min="1545" max="1546" width="14" style="48" customWidth="1"/>
    <col min="1547" max="1547" width="13.296875" style="48" customWidth="1"/>
    <col min="1548" max="1548" width="14.69921875" style="48" customWidth="1"/>
    <col min="1549" max="1793" width="9.296875" style="48"/>
    <col min="1794" max="1794" width="6.69921875" style="48" customWidth="1"/>
    <col min="1795" max="1795" width="24.69921875" style="48" customWidth="1"/>
    <col min="1796" max="1796" width="13" style="48" customWidth="1"/>
    <col min="1797" max="1798" width="15.5" style="48" customWidth="1"/>
    <col min="1799" max="1799" width="11.5" style="48" customWidth="1"/>
    <col min="1800" max="1800" width="13" style="48" customWidth="1"/>
    <col min="1801" max="1802" width="14" style="48" customWidth="1"/>
    <col min="1803" max="1803" width="13.296875" style="48" customWidth="1"/>
    <col min="1804" max="1804" width="14.69921875" style="48" customWidth="1"/>
    <col min="1805" max="2049" width="9.296875" style="48"/>
    <col min="2050" max="2050" width="6.69921875" style="48" customWidth="1"/>
    <col min="2051" max="2051" width="24.69921875" style="48" customWidth="1"/>
    <col min="2052" max="2052" width="13" style="48" customWidth="1"/>
    <col min="2053" max="2054" width="15.5" style="48" customWidth="1"/>
    <col min="2055" max="2055" width="11.5" style="48" customWidth="1"/>
    <col min="2056" max="2056" width="13" style="48" customWidth="1"/>
    <col min="2057" max="2058" width="14" style="48" customWidth="1"/>
    <col min="2059" max="2059" width="13.296875" style="48" customWidth="1"/>
    <col min="2060" max="2060" width="14.69921875" style="48" customWidth="1"/>
    <col min="2061" max="2305" width="9.296875" style="48"/>
    <col min="2306" max="2306" width="6.69921875" style="48" customWidth="1"/>
    <col min="2307" max="2307" width="24.69921875" style="48" customWidth="1"/>
    <col min="2308" max="2308" width="13" style="48" customWidth="1"/>
    <col min="2309" max="2310" width="15.5" style="48" customWidth="1"/>
    <col min="2311" max="2311" width="11.5" style="48" customWidth="1"/>
    <col min="2312" max="2312" width="13" style="48" customWidth="1"/>
    <col min="2313" max="2314" width="14" style="48" customWidth="1"/>
    <col min="2315" max="2315" width="13.296875" style="48" customWidth="1"/>
    <col min="2316" max="2316" width="14.69921875" style="48" customWidth="1"/>
    <col min="2317" max="2561" width="9.296875" style="48"/>
    <col min="2562" max="2562" width="6.69921875" style="48" customWidth="1"/>
    <col min="2563" max="2563" width="24.69921875" style="48" customWidth="1"/>
    <col min="2564" max="2564" width="13" style="48" customWidth="1"/>
    <col min="2565" max="2566" width="15.5" style="48" customWidth="1"/>
    <col min="2567" max="2567" width="11.5" style="48" customWidth="1"/>
    <col min="2568" max="2568" width="13" style="48" customWidth="1"/>
    <col min="2569" max="2570" width="14" style="48" customWidth="1"/>
    <col min="2571" max="2571" width="13.296875" style="48" customWidth="1"/>
    <col min="2572" max="2572" width="14.69921875" style="48" customWidth="1"/>
    <col min="2573" max="2817" width="9.296875" style="48"/>
    <col min="2818" max="2818" width="6.69921875" style="48" customWidth="1"/>
    <col min="2819" max="2819" width="24.69921875" style="48" customWidth="1"/>
    <col min="2820" max="2820" width="13" style="48" customWidth="1"/>
    <col min="2821" max="2822" width="15.5" style="48" customWidth="1"/>
    <col min="2823" max="2823" width="11.5" style="48" customWidth="1"/>
    <col min="2824" max="2824" width="13" style="48" customWidth="1"/>
    <col min="2825" max="2826" width="14" style="48" customWidth="1"/>
    <col min="2827" max="2827" width="13.296875" style="48" customWidth="1"/>
    <col min="2828" max="2828" width="14.69921875" style="48" customWidth="1"/>
    <col min="2829" max="3073" width="9.296875" style="48"/>
    <col min="3074" max="3074" width="6.69921875" style="48" customWidth="1"/>
    <col min="3075" max="3075" width="24.69921875" style="48" customWidth="1"/>
    <col min="3076" max="3076" width="13" style="48" customWidth="1"/>
    <col min="3077" max="3078" width="15.5" style="48" customWidth="1"/>
    <col min="3079" max="3079" width="11.5" style="48" customWidth="1"/>
    <col min="3080" max="3080" width="13" style="48" customWidth="1"/>
    <col min="3081" max="3082" width="14" style="48" customWidth="1"/>
    <col min="3083" max="3083" width="13.296875" style="48" customWidth="1"/>
    <col min="3084" max="3084" width="14.69921875" style="48" customWidth="1"/>
    <col min="3085" max="3329" width="9.296875" style="48"/>
    <col min="3330" max="3330" width="6.69921875" style="48" customWidth="1"/>
    <col min="3331" max="3331" width="24.69921875" style="48" customWidth="1"/>
    <col min="3332" max="3332" width="13" style="48" customWidth="1"/>
    <col min="3333" max="3334" width="15.5" style="48" customWidth="1"/>
    <col min="3335" max="3335" width="11.5" style="48" customWidth="1"/>
    <col min="3336" max="3336" width="13" style="48" customWidth="1"/>
    <col min="3337" max="3338" width="14" style="48" customWidth="1"/>
    <col min="3339" max="3339" width="13.296875" style="48" customWidth="1"/>
    <col min="3340" max="3340" width="14.69921875" style="48" customWidth="1"/>
    <col min="3341" max="3585" width="9.296875" style="48"/>
    <col min="3586" max="3586" width="6.69921875" style="48" customWidth="1"/>
    <col min="3587" max="3587" width="24.69921875" style="48" customWidth="1"/>
    <col min="3588" max="3588" width="13" style="48" customWidth="1"/>
    <col min="3589" max="3590" width="15.5" style="48" customWidth="1"/>
    <col min="3591" max="3591" width="11.5" style="48" customWidth="1"/>
    <col min="3592" max="3592" width="13" style="48" customWidth="1"/>
    <col min="3593" max="3594" width="14" style="48" customWidth="1"/>
    <col min="3595" max="3595" width="13.296875" style="48" customWidth="1"/>
    <col min="3596" max="3596" width="14.69921875" style="48" customWidth="1"/>
    <col min="3597" max="3841" width="9.296875" style="48"/>
    <col min="3842" max="3842" width="6.69921875" style="48" customWidth="1"/>
    <col min="3843" max="3843" width="24.69921875" style="48" customWidth="1"/>
    <col min="3844" max="3844" width="13" style="48" customWidth="1"/>
    <col min="3845" max="3846" width="15.5" style="48" customWidth="1"/>
    <col min="3847" max="3847" width="11.5" style="48" customWidth="1"/>
    <col min="3848" max="3848" width="13" style="48" customWidth="1"/>
    <col min="3849" max="3850" width="14" style="48" customWidth="1"/>
    <col min="3851" max="3851" width="13.296875" style="48" customWidth="1"/>
    <col min="3852" max="3852" width="14.69921875" style="48" customWidth="1"/>
    <col min="3853" max="4097" width="9.296875" style="48"/>
    <col min="4098" max="4098" width="6.69921875" style="48" customWidth="1"/>
    <col min="4099" max="4099" width="24.69921875" style="48" customWidth="1"/>
    <col min="4100" max="4100" width="13" style="48" customWidth="1"/>
    <col min="4101" max="4102" width="15.5" style="48" customWidth="1"/>
    <col min="4103" max="4103" width="11.5" style="48" customWidth="1"/>
    <col min="4104" max="4104" width="13" style="48" customWidth="1"/>
    <col min="4105" max="4106" width="14" style="48" customWidth="1"/>
    <col min="4107" max="4107" width="13.296875" style="48" customWidth="1"/>
    <col min="4108" max="4108" width="14.69921875" style="48" customWidth="1"/>
    <col min="4109" max="4353" width="9.296875" style="48"/>
    <col min="4354" max="4354" width="6.69921875" style="48" customWidth="1"/>
    <col min="4355" max="4355" width="24.69921875" style="48" customWidth="1"/>
    <col min="4356" max="4356" width="13" style="48" customWidth="1"/>
    <col min="4357" max="4358" width="15.5" style="48" customWidth="1"/>
    <col min="4359" max="4359" width="11.5" style="48" customWidth="1"/>
    <col min="4360" max="4360" width="13" style="48" customWidth="1"/>
    <col min="4361" max="4362" width="14" style="48" customWidth="1"/>
    <col min="4363" max="4363" width="13.296875" style="48" customWidth="1"/>
    <col min="4364" max="4364" width="14.69921875" style="48" customWidth="1"/>
    <col min="4365" max="4609" width="9.296875" style="48"/>
    <col min="4610" max="4610" width="6.69921875" style="48" customWidth="1"/>
    <col min="4611" max="4611" width="24.69921875" style="48" customWidth="1"/>
    <col min="4612" max="4612" width="13" style="48" customWidth="1"/>
    <col min="4613" max="4614" width="15.5" style="48" customWidth="1"/>
    <col min="4615" max="4615" width="11.5" style="48" customWidth="1"/>
    <col min="4616" max="4616" width="13" style="48" customWidth="1"/>
    <col min="4617" max="4618" width="14" style="48" customWidth="1"/>
    <col min="4619" max="4619" width="13.296875" style="48" customWidth="1"/>
    <col min="4620" max="4620" width="14.69921875" style="48" customWidth="1"/>
    <col min="4621" max="4865" width="9.296875" style="48"/>
    <col min="4866" max="4866" width="6.69921875" style="48" customWidth="1"/>
    <col min="4867" max="4867" width="24.69921875" style="48" customWidth="1"/>
    <col min="4868" max="4868" width="13" style="48" customWidth="1"/>
    <col min="4869" max="4870" width="15.5" style="48" customWidth="1"/>
    <col min="4871" max="4871" width="11.5" style="48" customWidth="1"/>
    <col min="4872" max="4872" width="13" style="48" customWidth="1"/>
    <col min="4873" max="4874" width="14" style="48" customWidth="1"/>
    <col min="4875" max="4875" width="13.296875" style="48" customWidth="1"/>
    <col min="4876" max="4876" width="14.69921875" style="48" customWidth="1"/>
    <col min="4877" max="5121" width="9.296875" style="48"/>
    <col min="5122" max="5122" width="6.69921875" style="48" customWidth="1"/>
    <col min="5123" max="5123" width="24.69921875" style="48" customWidth="1"/>
    <col min="5124" max="5124" width="13" style="48" customWidth="1"/>
    <col min="5125" max="5126" width="15.5" style="48" customWidth="1"/>
    <col min="5127" max="5127" width="11.5" style="48" customWidth="1"/>
    <col min="5128" max="5128" width="13" style="48" customWidth="1"/>
    <col min="5129" max="5130" width="14" style="48" customWidth="1"/>
    <col min="5131" max="5131" width="13.296875" style="48" customWidth="1"/>
    <col min="5132" max="5132" width="14.69921875" style="48" customWidth="1"/>
    <col min="5133" max="5377" width="9.296875" style="48"/>
    <col min="5378" max="5378" width="6.69921875" style="48" customWidth="1"/>
    <col min="5379" max="5379" width="24.69921875" style="48" customWidth="1"/>
    <col min="5380" max="5380" width="13" style="48" customWidth="1"/>
    <col min="5381" max="5382" width="15.5" style="48" customWidth="1"/>
    <col min="5383" max="5383" width="11.5" style="48" customWidth="1"/>
    <col min="5384" max="5384" width="13" style="48" customWidth="1"/>
    <col min="5385" max="5386" width="14" style="48" customWidth="1"/>
    <col min="5387" max="5387" width="13.296875" style="48" customWidth="1"/>
    <col min="5388" max="5388" width="14.69921875" style="48" customWidth="1"/>
    <col min="5389" max="5633" width="9.296875" style="48"/>
    <col min="5634" max="5634" width="6.69921875" style="48" customWidth="1"/>
    <col min="5635" max="5635" width="24.69921875" style="48" customWidth="1"/>
    <col min="5636" max="5636" width="13" style="48" customWidth="1"/>
    <col min="5637" max="5638" width="15.5" style="48" customWidth="1"/>
    <col min="5639" max="5639" width="11.5" style="48" customWidth="1"/>
    <col min="5640" max="5640" width="13" style="48" customWidth="1"/>
    <col min="5641" max="5642" width="14" style="48" customWidth="1"/>
    <col min="5643" max="5643" width="13.296875" style="48" customWidth="1"/>
    <col min="5644" max="5644" width="14.69921875" style="48" customWidth="1"/>
    <col min="5645" max="5889" width="9.296875" style="48"/>
    <col min="5890" max="5890" width="6.69921875" style="48" customWidth="1"/>
    <col min="5891" max="5891" width="24.69921875" style="48" customWidth="1"/>
    <col min="5892" max="5892" width="13" style="48" customWidth="1"/>
    <col min="5893" max="5894" width="15.5" style="48" customWidth="1"/>
    <col min="5895" max="5895" width="11.5" style="48" customWidth="1"/>
    <col min="5896" max="5896" width="13" style="48" customWidth="1"/>
    <col min="5897" max="5898" width="14" style="48" customWidth="1"/>
    <col min="5899" max="5899" width="13.296875" style="48" customWidth="1"/>
    <col min="5900" max="5900" width="14.69921875" style="48" customWidth="1"/>
    <col min="5901" max="6145" width="9.296875" style="48"/>
    <col min="6146" max="6146" width="6.69921875" style="48" customWidth="1"/>
    <col min="6147" max="6147" width="24.69921875" style="48" customWidth="1"/>
    <col min="6148" max="6148" width="13" style="48" customWidth="1"/>
    <col min="6149" max="6150" width="15.5" style="48" customWidth="1"/>
    <col min="6151" max="6151" width="11.5" style="48" customWidth="1"/>
    <col min="6152" max="6152" width="13" style="48" customWidth="1"/>
    <col min="6153" max="6154" width="14" style="48" customWidth="1"/>
    <col min="6155" max="6155" width="13.296875" style="48" customWidth="1"/>
    <col min="6156" max="6156" width="14.69921875" style="48" customWidth="1"/>
    <col min="6157" max="6401" width="9.296875" style="48"/>
    <col min="6402" max="6402" width="6.69921875" style="48" customWidth="1"/>
    <col min="6403" max="6403" width="24.69921875" style="48" customWidth="1"/>
    <col min="6404" max="6404" width="13" style="48" customWidth="1"/>
    <col min="6405" max="6406" width="15.5" style="48" customWidth="1"/>
    <col min="6407" max="6407" width="11.5" style="48" customWidth="1"/>
    <col min="6408" max="6408" width="13" style="48" customWidth="1"/>
    <col min="6409" max="6410" width="14" style="48" customWidth="1"/>
    <col min="6411" max="6411" width="13.296875" style="48" customWidth="1"/>
    <col min="6412" max="6412" width="14.69921875" style="48" customWidth="1"/>
    <col min="6413" max="6657" width="9.296875" style="48"/>
    <col min="6658" max="6658" width="6.69921875" style="48" customWidth="1"/>
    <col min="6659" max="6659" width="24.69921875" style="48" customWidth="1"/>
    <col min="6660" max="6660" width="13" style="48" customWidth="1"/>
    <col min="6661" max="6662" width="15.5" style="48" customWidth="1"/>
    <col min="6663" max="6663" width="11.5" style="48" customWidth="1"/>
    <col min="6664" max="6664" width="13" style="48" customWidth="1"/>
    <col min="6665" max="6666" width="14" style="48" customWidth="1"/>
    <col min="6667" max="6667" width="13.296875" style="48" customWidth="1"/>
    <col min="6668" max="6668" width="14.69921875" style="48" customWidth="1"/>
    <col min="6669" max="6913" width="9.296875" style="48"/>
    <col min="6914" max="6914" width="6.69921875" style="48" customWidth="1"/>
    <col min="6915" max="6915" width="24.69921875" style="48" customWidth="1"/>
    <col min="6916" max="6916" width="13" style="48" customWidth="1"/>
    <col min="6917" max="6918" width="15.5" style="48" customWidth="1"/>
    <col min="6919" max="6919" width="11.5" style="48" customWidth="1"/>
    <col min="6920" max="6920" width="13" style="48" customWidth="1"/>
    <col min="6921" max="6922" width="14" style="48" customWidth="1"/>
    <col min="6923" max="6923" width="13.296875" style="48" customWidth="1"/>
    <col min="6924" max="6924" width="14.69921875" style="48" customWidth="1"/>
    <col min="6925" max="7169" width="9.296875" style="48"/>
    <col min="7170" max="7170" width="6.69921875" style="48" customWidth="1"/>
    <col min="7171" max="7171" width="24.69921875" style="48" customWidth="1"/>
    <col min="7172" max="7172" width="13" style="48" customWidth="1"/>
    <col min="7173" max="7174" width="15.5" style="48" customWidth="1"/>
    <col min="7175" max="7175" width="11.5" style="48" customWidth="1"/>
    <col min="7176" max="7176" width="13" style="48" customWidth="1"/>
    <col min="7177" max="7178" width="14" style="48" customWidth="1"/>
    <col min="7179" max="7179" width="13.296875" style="48" customWidth="1"/>
    <col min="7180" max="7180" width="14.69921875" style="48" customWidth="1"/>
    <col min="7181" max="7425" width="9.296875" style="48"/>
    <col min="7426" max="7426" width="6.69921875" style="48" customWidth="1"/>
    <col min="7427" max="7427" width="24.69921875" style="48" customWidth="1"/>
    <col min="7428" max="7428" width="13" style="48" customWidth="1"/>
    <col min="7429" max="7430" width="15.5" style="48" customWidth="1"/>
    <col min="7431" max="7431" width="11.5" style="48" customWidth="1"/>
    <col min="7432" max="7432" width="13" style="48" customWidth="1"/>
    <col min="7433" max="7434" width="14" style="48" customWidth="1"/>
    <col min="7435" max="7435" width="13.296875" style="48" customWidth="1"/>
    <col min="7436" max="7436" width="14.69921875" style="48" customWidth="1"/>
    <col min="7437" max="7681" width="9.296875" style="48"/>
    <col min="7682" max="7682" width="6.69921875" style="48" customWidth="1"/>
    <col min="7683" max="7683" width="24.69921875" style="48" customWidth="1"/>
    <col min="7684" max="7684" width="13" style="48" customWidth="1"/>
    <col min="7685" max="7686" width="15.5" style="48" customWidth="1"/>
    <col min="7687" max="7687" width="11.5" style="48" customWidth="1"/>
    <col min="7688" max="7688" width="13" style="48" customWidth="1"/>
    <col min="7689" max="7690" width="14" style="48" customWidth="1"/>
    <col min="7691" max="7691" width="13.296875" style="48" customWidth="1"/>
    <col min="7692" max="7692" width="14.69921875" style="48" customWidth="1"/>
    <col min="7693" max="7937" width="9.296875" style="48"/>
    <col min="7938" max="7938" width="6.69921875" style="48" customWidth="1"/>
    <col min="7939" max="7939" width="24.69921875" style="48" customWidth="1"/>
    <col min="7940" max="7940" width="13" style="48" customWidth="1"/>
    <col min="7941" max="7942" width="15.5" style="48" customWidth="1"/>
    <col min="7943" max="7943" width="11.5" style="48" customWidth="1"/>
    <col min="7944" max="7944" width="13" style="48" customWidth="1"/>
    <col min="7945" max="7946" width="14" style="48" customWidth="1"/>
    <col min="7947" max="7947" width="13.296875" style="48" customWidth="1"/>
    <col min="7948" max="7948" width="14.69921875" style="48" customWidth="1"/>
    <col min="7949" max="8193" width="9.296875" style="48"/>
    <col min="8194" max="8194" width="6.69921875" style="48" customWidth="1"/>
    <col min="8195" max="8195" width="24.69921875" style="48" customWidth="1"/>
    <col min="8196" max="8196" width="13" style="48" customWidth="1"/>
    <col min="8197" max="8198" width="15.5" style="48" customWidth="1"/>
    <col min="8199" max="8199" width="11.5" style="48" customWidth="1"/>
    <col min="8200" max="8200" width="13" style="48" customWidth="1"/>
    <col min="8201" max="8202" width="14" style="48" customWidth="1"/>
    <col min="8203" max="8203" width="13.296875" style="48" customWidth="1"/>
    <col min="8204" max="8204" width="14.69921875" style="48" customWidth="1"/>
    <col min="8205" max="8449" width="9.296875" style="48"/>
    <col min="8450" max="8450" width="6.69921875" style="48" customWidth="1"/>
    <col min="8451" max="8451" width="24.69921875" style="48" customWidth="1"/>
    <col min="8452" max="8452" width="13" style="48" customWidth="1"/>
    <col min="8453" max="8454" width="15.5" style="48" customWidth="1"/>
    <col min="8455" max="8455" width="11.5" style="48" customWidth="1"/>
    <col min="8456" max="8456" width="13" style="48" customWidth="1"/>
    <col min="8457" max="8458" width="14" style="48" customWidth="1"/>
    <col min="8459" max="8459" width="13.296875" style="48" customWidth="1"/>
    <col min="8460" max="8460" width="14.69921875" style="48" customWidth="1"/>
    <col min="8461" max="8705" width="9.296875" style="48"/>
    <col min="8706" max="8706" width="6.69921875" style="48" customWidth="1"/>
    <col min="8707" max="8707" width="24.69921875" style="48" customWidth="1"/>
    <col min="8708" max="8708" width="13" style="48" customWidth="1"/>
    <col min="8709" max="8710" width="15.5" style="48" customWidth="1"/>
    <col min="8711" max="8711" width="11.5" style="48" customWidth="1"/>
    <col min="8712" max="8712" width="13" style="48" customWidth="1"/>
    <col min="8713" max="8714" width="14" style="48" customWidth="1"/>
    <col min="8715" max="8715" width="13.296875" style="48" customWidth="1"/>
    <col min="8716" max="8716" width="14.69921875" style="48" customWidth="1"/>
    <col min="8717" max="8961" width="9.296875" style="48"/>
    <col min="8962" max="8962" width="6.69921875" style="48" customWidth="1"/>
    <col min="8963" max="8963" width="24.69921875" style="48" customWidth="1"/>
    <col min="8964" max="8964" width="13" style="48" customWidth="1"/>
    <col min="8965" max="8966" width="15.5" style="48" customWidth="1"/>
    <col min="8967" max="8967" width="11.5" style="48" customWidth="1"/>
    <col min="8968" max="8968" width="13" style="48" customWidth="1"/>
    <col min="8969" max="8970" width="14" style="48" customWidth="1"/>
    <col min="8971" max="8971" width="13.296875" style="48" customWidth="1"/>
    <col min="8972" max="8972" width="14.69921875" style="48" customWidth="1"/>
    <col min="8973" max="9217" width="9.296875" style="48"/>
    <col min="9218" max="9218" width="6.69921875" style="48" customWidth="1"/>
    <col min="9219" max="9219" width="24.69921875" style="48" customWidth="1"/>
    <col min="9220" max="9220" width="13" style="48" customWidth="1"/>
    <col min="9221" max="9222" width="15.5" style="48" customWidth="1"/>
    <col min="9223" max="9223" width="11.5" style="48" customWidth="1"/>
    <col min="9224" max="9224" width="13" style="48" customWidth="1"/>
    <col min="9225" max="9226" width="14" style="48" customWidth="1"/>
    <col min="9227" max="9227" width="13.296875" style="48" customWidth="1"/>
    <col min="9228" max="9228" width="14.69921875" style="48" customWidth="1"/>
    <col min="9229" max="9473" width="9.296875" style="48"/>
    <col min="9474" max="9474" width="6.69921875" style="48" customWidth="1"/>
    <col min="9475" max="9475" width="24.69921875" style="48" customWidth="1"/>
    <col min="9476" max="9476" width="13" style="48" customWidth="1"/>
    <col min="9477" max="9478" width="15.5" style="48" customWidth="1"/>
    <col min="9479" max="9479" width="11.5" style="48" customWidth="1"/>
    <col min="9480" max="9480" width="13" style="48" customWidth="1"/>
    <col min="9481" max="9482" width="14" style="48" customWidth="1"/>
    <col min="9483" max="9483" width="13.296875" style="48" customWidth="1"/>
    <col min="9484" max="9484" width="14.69921875" style="48" customWidth="1"/>
    <col min="9485" max="9729" width="9.296875" style="48"/>
    <col min="9730" max="9730" width="6.69921875" style="48" customWidth="1"/>
    <col min="9731" max="9731" width="24.69921875" style="48" customWidth="1"/>
    <col min="9732" max="9732" width="13" style="48" customWidth="1"/>
    <col min="9733" max="9734" width="15.5" style="48" customWidth="1"/>
    <col min="9735" max="9735" width="11.5" style="48" customWidth="1"/>
    <col min="9736" max="9736" width="13" style="48" customWidth="1"/>
    <col min="9737" max="9738" width="14" style="48" customWidth="1"/>
    <col min="9739" max="9739" width="13.296875" style="48" customWidth="1"/>
    <col min="9740" max="9740" width="14.69921875" style="48" customWidth="1"/>
    <col min="9741" max="9985" width="9.296875" style="48"/>
    <col min="9986" max="9986" width="6.69921875" style="48" customWidth="1"/>
    <col min="9987" max="9987" width="24.69921875" style="48" customWidth="1"/>
    <col min="9988" max="9988" width="13" style="48" customWidth="1"/>
    <col min="9989" max="9990" width="15.5" style="48" customWidth="1"/>
    <col min="9991" max="9991" width="11.5" style="48" customWidth="1"/>
    <col min="9992" max="9992" width="13" style="48" customWidth="1"/>
    <col min="9993" max="9994" width="14" style="48" customWidth="1"/>
    <col min="9995" max="9995" width="13.296875" style="48" customWidth="1"/>
    <col min="9996" max="9996" width="14.69921875" style="48" customWidth="1"/>
    <col min="9997" max="10241" width="9.296875" style="48"/>
    <col min="10242" max="10242" width="6.69921875" style="48" customWidth="1"/>
    <col min="10243" max="10243" width="24.69921875" style="48" customWidth="1"/>
    <col min="10244" max="10244" width="13" style="48" customWidth="1"/>
    <col min="10245" max="10246" width="15.5" style="48" customWidth="1"/>
    <col min="10247" max="10247" width="11.5" style="48" customWidth="1"/>
    <col min="10248" max="10248" width="13" style="48" customWidth="1"/>
    <col min="10249" max="10250" width="14" style="48" customWidth="1"/>
    <col min="10251" max="10251" width="13.296875" style="48" customWidth="1"/>
    <col min="10252" max="10252" width="14.69921875" style="48" customWidth="1"/>
    <col min="10253" max="10497" width="9.296875" style="48"/>
    <col min="10498" max="10498" width="6.69921875" style="48" customWidth="1"/>
    <col min="10499" max="10499" width="24.69921875" style="48" customWidth="1"/>
    <col min="10500" max="10500" width="13" style="48" customWidth="1"/>
    <col min="10501" max="10502" width="15.5" style="48" customWidth="1"/>
    <col min="10503" max="10503" width="11.5" style="48" customWidth="1"/>
    <col min="10504" max="10504" width="13" style="48" customWidth="1"/>
    <col min="10505" max="10506" width="14" style="48" customWidth="1"/>
    <col min="10507" max="10507" width="13.296875" style="48" customWidth="1"/>
    <col min="10508" max="10508" width="14.69921875" style="48" customWidth="1"/>
    <col min="10509" max="10753" width="9.296875" style="48"/>
    <col min="10754" max="10754" width="6.69921875" style="48" customWidth="1"/>
    <col min="10755" max="10755" width="24.69921875" style="48" customWidth="1"/>
    <col min="10756" max="10756" width="13" style="48" customWidth="1"/>
    <col min="10757" max="10758" width="15.5" style="48" customWidth="1"/>
    <col min="10759" max="10759" width="11.5" style="48" customWidth="1"/>
    <col min="10760" max="10760" width="13" style="48" customWidth="1"/>
    <col min="10761" max="10762" width="14" style="48" customWidth="1"/>
    <col min="10763" max="10763" width="13.296875" style="48" customWidth="1"/>
    <col min="10764" max="10764" width="14.69921875" style="48" customWidth="1"/>
    <col min="10765" max="11009" width="9.296875" style="48"/>
    <col min="11010" max="11010" width="6.69921875" style="48" customWidth="1"/>
    <col min="11011" max="11011" width="24.69921875" style="48" customWidth="1"/>
    <col min="11012" max="11012" width="13" style="48" customWidth="1"/>
    <col min="11013" max="11014" width="15.5" style="48" customWidth="1"/>
    <col min="11015" max="11015" width="11.5" style="48" customWidth="1"/>
    <col min="11016" max="11016" width="13" style="48" customWidth="1"/>
    <col min="11017" max="11018" width="14" style="48" customWidth="1"/>
    <col min="11019" max="11019" width="13.296875" style="48" customWidth="1"/>
    <col min="11020" max="11020" width="14.69921875" style="48" customWidth="1"/>
    <col min="11021" max="11265" width="9.296875" style="48"/>
    <col min="11266" max="11266" width="6.69921875" style="48" customWidth="1"/>
    <col min="11267" max="11267" width="24.69921875" style="48" customWidth="1"/>
    <col min="11268" max="11268" width="13" style="48" customWidth="1"/>
    <col min="11269" max="11270" width="15.5" style="48" customWidth="1"/>
    <col min="11271" max="11271" width="11.5" style="48" customWidth="1"/>
    <col min="11272" max="11272" width="13" style="48" customWidth="1"/>
    <col min="11273" max="11274" width="14" style="48" customWidth="1"/>
    <col min="11275" max="11275" width="13.296875" style="48" customWidth="1"/>
    <col min="11276" max="11276" width="14.69921875" style="48" customWidth="1"/>
    <col min="11277" max="11521" width="9.296875" style="48"/>
    <col min="11522" max="11522" width="6.69921875" style="48" customWidth="1"/>
    <col min="11523" max="11523" width="24.69921875" style="48" customWidth="1"/>
    <col min="11524" max="11524" width="13" style="48" customWidth="1"/>
    <col min="11525" max="11526" width="15.5" style="48" customWidth="1"/>
    <col min="11527" max="11527" width="11.5" style="48" customWidth="1"/>
    <col min="11528" max="11528" width="13" style="48" customWidth="1"/>
    <col min="11529" max="11530" width="14" style="48" customWidth="1"/>
    <col min="11531" max="11531" width="13.296875" style="48" customWidth="1"/>
    <col min="11532" max="11532" width="14.69921875" style="48" customWidth="1"/>
    <col min="11533" max="11777" width="9.296875" style="48"/>
    <col min="11778" max="11778" width="6.69921875" style="48" customWidth="1"/>
    <col min="11779" max="11779" width="24.69921875" style="48" customWidth="1"/>
    <col min="11780" max="11780" width="13" style="48" customWidth="1"/>
    <col min="11781" max="11782" width="15.5" style="48" customWidth="1"/>
    <col min="11783" max="11783" width="11.5" style="48" customWidth="1"/>
    <col min="11784" max="11784" width="13" style="48" customWidth="1"/>
    <col min="11785" max="11786" width="14" style="48" customWidth="1"/>
    <col min="11787" max="11787" width="13.296875" style="48" customWidth="1"/>
    <col min="11788" max="11788" width="14.69921875" style="48" customWidth="1"/>
    <col min="11789" max="12033" width="9.296875" style="48"/>
    <col min="12034" max="12034" width="6.69921875" style="48" customWidth="1"/>
    <col min="12035" max="12035" width="24.69921875" style="48" customWidth="1"/>
    <col min="12036" max="12036" width="13" style="48" customWidth="1"/>
    <col min="12037" max="12038" width="15.5" style="48" customWidth="1"/>
    <col min="12039" max="12039" width="11.5" style="48" customWidth="1"/>
    <col min="12040" max="12040" width="13" style="48" customWidth="1"/>
    <col min="12041" max="12042" width="14" style="48" customWidth="1"/>
    <col min="12043" max="12043" width="13.296875" style="48" customWidth="1"/>
    <col min="12044" max="12044" width="14.69921875" style="48" customWidth="1"/>
    <col min="12045" max="12289" width="9.296875" style="48"/>
    <col min="12290" max="12290" width="6.69921875" style="48" customWidth="1"/>
    <col min="12291" max="12291" width="24.69921875" style="48" customWidth="1"/>
    <col min="12292" max="12292" width="13" style="48" customWidth="1"/>
    <col min="12293" max="12294" width="15.5" style="48" customWidth="1"/>
    <col min="12295" max="12295" width="11.5" style="48" customWidth="1"/>
    <col min="12296" max="12296" width="13" style="48" customWidth="1"/>
    <col min="12297" max="12298" width="14" style="48" customWidth="1"/>
    <col min="12299" max="12299" width="13.296875" style="48" customWidth="1"/>
    <col min="12300" max="12300" width="14.69921875" style="48" customWidth="1"/>
    <col min="12301" max="12545" width="9.296875" style="48"/>
    <col min="12546" max="12546" width="6.69921875" style="48" customWidth="1"/>
    <col min="12547" max="12547" width="24.69921875" style="48" customWidth="1"/>
    <col min="12548" max="12548" width="13" style="48" customWidth="1"/>
    <col min="12549" max="12550" width="15.5" style="48" customWidth="1"/>
    <col min="12551" max="12551" width="11.5" style="48" customWidth="1"/>
    <col min="12552" max="12552" width="13" style="48" customWidth="1"/>
    <col min="12553" max="12554" width="14" style="48" customWidth="1"/>
    <col min="12555" max="12555" width="13.296875" style="48" customWidth="1"/>
    <col min="12556" max="12556" width="14.69921875" style="48" customWidth="1"/>
    <col min="12557" max="12801" width="9.296875" style="48"/>
    <col min="12802" max="12802" width="6.69921875" style="48" customWidth="1"/>
    <col min="12803" max="12803" width="24.69921875" style="48" customWidth="1"/>
    <col min="12804" max="12804" width="13" style="48" customWidth="1"/>
    <col min="12805" max="12806" width="15.5" style="48" customWidth="1"/>
    <col min="12807" max="12807" width="11.5" style="48" customWidth="1"/>
    <col min="12808" max="12808" width="13" style="48" customWidth="1"/>
    <col min="12809" max="12810" width="14" style="48" customWidth="1"/>
    <col min="12811" max="12811" width="13.296875" style="48" customWidth="1"/>
    <col min="12812" max="12812" width="14.69921875" style="48" customWidth="1"/>
    <col min="12813" max="13057" width="9.296875" style="48"/>
    <col min="13058" max="13058" width="6.69921875" style="48" customWidth="1"/>
    <col min="13059" max="13059" width="24.69921875" style="48" customWidth="1"/>
    <col min="13060" max="13060" width="13" style="48" customWidth="1"/>
    <col min="13061" max="13062" width="15.5" style="48" customWidth="1"/>
    <col min="13063" max="13063" width="11.5" style="48" customWidth="1"/>
    <col min="13064" max="13064" width="13" style="48" customWidth="1"/>
    <col min="13065" max="13066" width="14" style="48" customWidth="1"/>
    <col min="13067" max="13067" width="13.296875" style="48" customWidth="1"/>
    <col min="13068" max="13068" width="14.69921875" style="48" customWidth="1"/>
    <col min="13069" max="13313" width="9.296875" style="48"/>
    <col min="13314" max="13314" width="6.69921875" style="48" customWidth="1"/>
    <col min="13315" max="13315" width="24.69921875" style="48" customWidth="1"/>
    <col min="13316" max="13316" width="13" style="48" customWidth="1"/>
    <col min="13317" max="13318" width="15.5" style="48" customWidth="1"/>
    <col min="13319" max="13319" width="11.5" style="48" customWidth="1"/>
    <col min="13320" max="13320" width="13" style="48" customWidth="1"/>
    <col min="13321" max="13322" width="14" style="48" customWidth="1"/>
    <col min="13323" max="13323" width="13.296875" style="48" customWidth="1"/>
    <col min="13324" max="13324" width="14.69921875" style="48" customWidth="1"/>
    <col min="13325" max="13569" width="9.296875" style="48"/>
    <col min="13570" max="13570" width="6.69921875" style="48" customWidth="1"/>
    <col min="13571" max="13571" width="24.69921875" style="48" customWidth="1"/>
    <col min="13572" max="13572" width="13" style="48" customWidth="1"/>
    <col min="13573" max="13574" width="15.5" style="48" customWidth="1"/>
    <col min="13575" max="13575" width="11.5" style="48" customWidth="1"/>
    <col min="13576" max="13576" width="13" style="48" customWidth="1"/>
    <col min="13577" max="13578" width="14" style="48" customWidth="1"/>
    <col min="13579" max="13579" width="13.296875" style="48" customWidth="1"/>
    <col min="13580" max="13580" width="14.69921875" style="48" customWidth="1"/>
    <col min="13581" max="13825" width="9.296875" style="48"/>
    <col min="13826" max="13826" width="6.69921875" style="48" customWidth="1"/>
    <col min="13827" max="13827" width="24.69921875" style="48" customWidth="1"/>
    <col min="13828" max="13828" width="13" style="48" customWidth="1"/>
    <col min="13829" max="13830" width="15.5" style="48" customWidth="1"/>
    <col min="13831" max="13831" width="11.5" style="48" customWidth="1"/>
    <col min="13832" max="13832" width="13" style="48" customWidth="1"/>
    <col min="13833" max="13834" width="14" style="48" customWidth="1"/>
    <col min="13835" max="13835" width="13.296875" style="48" customWidth="1"/>
    <col min="13836" max="13836" width="14.69921875" style="48" customWidth="1"/>
    <col min="13837" max="14081" width="9.296875" style="48"/>
    <col min="14082" max="14082" width="6.69921875" style="48" customWidth="1"/>
    <col min="14083" max="14083" width="24.69921875" style="48" customWidth="1"/>
    <col min="14084" max="14084" width="13" style="48" customWidth="1"/>
    <col min="14085" max="14086" width="15.5" style="48" customWidth="1"/>
    <col min="14087" max="14087" width="11.5" style="48" customWidth="1"/>
    <col min="14088" max="14088" width="13" style="48" customWidth="1"/>
    <col min="14089" max="14090" width="14" style="48" customWidth="1"/>
    <col min="14091" max="14091" width="13.296875" style="48" customWidth="1"/>
    <col min="14092" max="14092" width="14.69921875" style="48" customWidth="1"/>
    <col min="14093" max="14337" width="9.296875" style="48"/>
    <col min="14338" max="14338" width="6.69921875" style="48" customWidth="1"/>
    <col min="14339" max="14339" width="24.69921875" style="48" customWidth="1"/>
    <col min="14340" max="14340" width="13" style="48" customWidth="1"/>
    <col min="14341" max="14342" width="15.5" style="48" customWidth="1"/>
    <col min="14343" max="14343" width="11.5" style="48" customWidth="1"/>
    <col min="14344" max="14344" width="13" style="48" customWidth="1"/>
    <col min="14345" max="14346" width="14" style="48" customWidth="1"/>
    <col min="14347" max="14347" width="13.296875" style="48" customWidth="1"/>
    <col min="14348" max="14348" width="14.69921875" style="48" customWidth="1"/>
    <col min="14349" max="14593" width="9.296875" style="48"/>
    <col min="14594" max="14594" width="6.69921875" style="48" customWidth="1"/>
    <col min="14595" max="14595" width="24.69921875" style="48" customWidth="1"/>
    <col min="14596" max="14596" width="13" style="48" customWidth="1"/>
    <col min="14597" max="14598" width="15.5" style="48" customWidth="1"/>
    <col min="14599" max="14599" width="11.5" style="48" customWidth="1"/>
    <col min="14600" max="14600" width="13" style="48" customWidth="1"/>
    <col min="14601" max="14602" width="14" style="48" customWidth="1"/>
    <col min="14603" max="14603" width="13.296875" style="48" customWidth="1"/>
    <col min="14604" max="14604" width="14.69921875" style="48" customWidth="1"/>
    <col min="14605" max="14849" width="9.296875" style="48"/>
    <col min="14850" max="14850" width="6.69921875" style="48" customWidth="1"/>
    <col min="14851" max="14851" width="24.69921875" style="48" customWidth="1"/>
    <col min="14852" max="14852" width="13" style="48" customWidth="1"/>
    <col min="14853" max="14854" width="15.5" style="48" customWidth="1"/>
    <col min="14855" max="14855" width="11.5" style="48" customWidth="1"/>
    <col min="14856" max="14856" width="13" style="48" customWidth="1"/>
    <col min="14857" max="14858" width="14" style="48" customWidth="1"/>
    <col min="14859" max="14859" width="13.296875" style="48" customWidth="1"/>
    <col min="14860" max="14860" width="14.69921875" style="48" customWidth="1"/>
    <col min="14861" max="15105" width="9.296875" style="48"/>
    <col min="15106" max="15106" width="6.69921875" style="48" customWidth="1"/>
    <col min="15107" max="15107" width="24.69921875" style="48" customWidth="1"/>
    <col min="15108" max="15108" width="13" style="48" customWidth="1"/>
    <col min="15109" max="15110" width="15.5" style="48" customWidth="1"/>
    <col min="15111" max="15111" width="11.5" style="48" customWidth="1"/>
    <col min="15112" max="15112" width="13" style="48" customWidth="1"/>
    <col min="15113" max="15114" width="14" style="48" customWidth="1"/>
    <col min="15115" max="15115" width="13.296875" style="48" customWidth="1"/>
    <col min="15116" max="15116" width="14.69921875" style="48" customWidth="1"/>
    <col min="15117" max="15361" width="9.296875" style="48"/>
    <col min="15362" max="15362" width="6.69921875" style="48" customWidth="1"/>
    <col min="15363" max="15363" width="24.69921875" style="48" customWidth="1"/>
    <col min="15364" max="15364" width="13" style="48" customWidth="1"/>
    <col min="15365" max="15366" width="15.5" style="48" customWidth="1"/>
    <col min="15367" max="15367" width="11.5" style="48" customWidth="1"/>
    <col min="15368" max="15368" width="13" style="48" customWidth="1"/>
    <col min="15369" max="15370" width="14" style="48" customWidth="1"/>
    <col min="15371" max="15371" width="13.296875" style="48" customWidth="1"/>
    <col min="15372" max="15372" width="14.69921875" style="48" customWidth="1"/>
    <col min="15373" max="15617" width="9.296875" style="48"/>
    <col min="15618" max="15618" width="6.69921875" style="48" customWidth="1"/>
    <col min="15619" max="15619" width="24.69921875" style="48" customWidth="1"/>
    <col min="15620" max="15620" width="13" style="48" customWidth="1"/>
    <col min="15621" max="15622" width="15.5" style="48" customWidth="1"/>
    <col min="15623" max="15623" width="11.5" style="48" customWidth="1"/>
    <col min="15624" max="15624" width="13" style="48" customWidth="1"/>
    <col min="15625" max="15626" width="14" style="48" customWidth="1"/>
    <col min="15627" max="15627" width="13.296875" style="48" customWidth="1"/>
    <col min="15628" max="15628" width="14.69921875" style="48" customWidth="1"/>
    <col min="15629" max="15873" width="9.296875" style="48"/>
    <col min="15874" max="15874" width="6.69921875" style="48" customWidth="1"/>
    <col min="15875" max="15875" width="24.69921875" style="48" customWidth="1"/>
    <col min="15876" max="15876" width="13" style="48" customWidth="1"/>
    <col min="15877" max="15878" width="15.5" style="48" customWidth="1"/>
    <col min="15879" max="15879" width="11.5" style="48" customWidth="1"/>
    <col min="15880" max="15880" width="13" style="48" customWidth="1"/>
    <col min="15881" max="15882" width="14" style="48" customWidth="1"/>
    <col min="15883" max="15883" width="13.296875" style="48" customWidth="1"/>
    <col min="15884" max="15884" width="14.69921875" style="48" customWidth="1"/>
    <col min="15885" max="16129" width="9.296875" style="48"/>
    <col min="16130" max="16130" width="6.69921875" style="48" customWidth="1"/>
    <col min="16131" max="16131" width="24.69921875" style="48" customWidth="1"/>
    <col min="16132" max="16132" width="13" style="48" customWidth="1"/>
    <col min="16133" max="16134" width="15.5" style="48" customWidth="1"/>
    <col min="16135" max="16135" width="11.5" style="48" customWidth="1"/>
    <col min="16136" max="16136" width="13" style="48" customWidth="1"/>
    <col min="16137" max="16138" width="14" style="48" customWidth="1"/>
    <col min="16139" max="16139" width="13.296875" style="48" customWidth="1"/>
    <col min="16140" max="16140" width="14.69921875" style="48" customWidth="1"/>
    <col min="16141" max="16384" width="9.296875" style="48"/>
  </cols>
  <sheetData>
    <row r="1" spans="1:12" ht="33" customHeight="1" x14ac:dyDescent="0.3">
      <c r="A1" s="1072" t="s">
        <v>521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</row>
    <row r="2" spans="1:12" ht="14" x14ac:dyDescent="0.3">
      <c r="A2" s="49"/>
      <c r="B2" s="50"/>
      <c r="C2" s="50"/>
      <c r="D2" s="51"/>
      <c r="E2" s="52"/>
      <c r="F2" s="52"/>
      <c r="G2" s="53"/>
      <c r="H2" s="53"/>
      <c r="I2" s="52"/>
    </row>
    <row r="3" spans="1:12" ht="14" x14ac:dyDescent="0.3">
      <c r="A3" s="49"/>
      <c r="B3" s="54"/>
      <c r="C3" s="54"/>
      <c r="D3" s="55"/>
      <c r="E3" s="51"/>
      <c r="F3" s="51"/>
      <c r="G3" s="51"/>
      <c r="H3" s="51"/>
      <c r="I3" s="51"/>
      <c r="L3" s="72"/>
    </row>
    <row r="4" spans="1:12" s="56" customFormat="1" ht="85.5" customHeight="1" x14ac:dyDescent="0.3">
      <c r="A4" s="390" t="s">
        <v>404</v>
      </c>
      <c r="B4" s="390" t="s">
        <v>449</v>
      </c>
      <c r="C4" s="390" t="s">
        <v>450</v>
      </c>
      <c r="D4" s="390" t="s">
        <v>725</v>
      </c>
      <c r="E4" s="390" t="s">
        <v>451</v>
      </c>
      <c r="F4" s="390" t="s">
        <v>452</v>
      </c>
      <c r="G4" s="391" t="s">
        <v>453</v>
      </c>
      <c r="H4" s="391" t="s">
        <v>424</v>
      </c>
      <c r="I4" s="206" t="s">
        <v>454</v>
      </c>
      <c r="J4" s="392" t="s">
        <v>189</v>
      </c>
      <c r="K4" s="392" t="s">
        <v>726</v>
      </c>
      <c r="L4" s="206" t="s">
        <v>455</v>
      </c>
    </row>
    <row r="5" spans="1:12" ht="57" customHeight="1" x14ac:dyDescent="0.3">
      <c r="A5" s="393" t="s">
        <v>10</v>
      </c>
      <c r="B5" s="394" t="s">
        <v>456</v>
      </c>
      <c r="C5" s="395" t="s">
        <v>457</v>
      </c>
      <c r="D5" s="396"/>
      <c r="E5" s="397"/>
      <c r="F5" s="397">
        <f>'10.sz.mell'!G29</f>
        <v>6620344</v>
      </c>
      <c r="G5" s="398"/>
      <c r="H5" s="398"/>
      <c r="I5" s="397"/>
      <c r="J5" s="399"/>
      <c r="K5" s="399"/>
      <c r="L5" s="399">
        <f>SUM(D5:K5)</f>
        <v>6620344</v>
      </c>
    </row>
    <row r="6" spans="1:12" s="57" customFormat="1" ht="57" customHeight="1" x14ac:dyDescent="0.35">
      <c r="A6" s="390" t="s">
        <v>832</v>
      </c>
      <c r="B6" s="400" t="s">
        <v>796</v>
      </c>
      <c r="C6" s="401"/>
      <c r="D6" s="402"/>
      <c r="E6" s="403"/>
      <c r="F6" s="403">
        <v>7768942</v>
      </c>
      <c r="G6" s="404"/>
      <c r="H6" s="404"/>
      <c r="I6" s="403"/>
      <c r="J6" s="405"/>
      <c r="K6" s="405"/>
      <c r="L6" s="405">
        <f t="shared" ref="L6:L7" si="0">SUM(D6:K6)</f>
        <v>7768942</v>
      </c>
    </row>
    <row r="7" spans="1:12" s="57" customFormat="1" ht="57" customHeight="1" x14ac:dyDescent="0.35">
      <c r="A7" s="390" t="s">
        <v>16</v>
      </c>
      <c r="B7" s="400" t="s">
        <v>823</v>
      </c>
      <c r="C7" s="401"/>
      <c r="D7" s="402"/>
      <c r="E7" s="403"/>
      <c r="F7" s="403">
        <v>7687649</v>
      </c>
      <c r="G7" s="404"/>
      <c r="H7" s="404"/>
      <c r="I7" s="403"/>
      <c r="J7" s="405"/>
      <c r="K7" s="405"/>
      <c r="L7" s="405">
        <f t="shared" si="0"/>
        <v>7687649</v>
      </c>
    </row>
    <row r="8" spans="1:12" ht="45.75" customHeight="1" x14ac:dyDescent="0.3">
      <c r="A8" s="393" t="s">
        <v>19</v>
      </c>
      <c r="B8" s="394" t="s">
        <v>458</v>
      </c>
      <c r="C8" s="395" t="s">
        <v>459</v>
      </c>
      <c r="D8" s="396"/>
      <c r="E8" s="397"/>
      <c r="F8" s="397"/>
      <c r="G8" s="398"/>
      <c r="H8" s="398"/>
      <c r="I8" s="397"/>
      <c r="J8" s="399"/>
      <c r="K8" s="399">
        <f>'10.sz.mell'!G37</f>
        <v>273351171</v>
      </c>
      <c r="L8" s="399">
        <f>SUM(D8:K8)</f>
        <v>273351171</v>
      </c>
    </row>
    <row r="9" spans="1:12" s="57" customFormat="1" ht="45.75" customHeight="1" x14ac:dyDescent="0.35">
      <c r="A9" s="390" t="s">
        <v>22</v>
      </c>
      <c r="B9" s="400" t="s">
        <v>796</v>
      </c>
      <c r="C9" s="401"/>
      <c r="D9" s="402"/>
      <c r="E9" s="403"/>
      <c r="F9" s="403"/>
      <c r="G9" s="404"/>
      <c r="H9" s="404"/>
      <c r="I9" s="403"/>
      <c r="J9" s="405"/>
      <c r="K9" s="405">
        <v>277751899</v>
      </c>
      <c r="L9" s="405">
        <f t="shared" ref="L9:L18" si="1">SUM(D9:K9)</f>
        <v>277751899</v>
      </c>
    </row>
    <row r="10" spans="1:12" s="57" customFormat="1" ht="45.75" customHeight="1" x14ac:dyDescent="0.35">
      <c r="A10" s="390" t="s">
        <v>25</v>
      </c>
      <c r="B10" s="400" t="s">
        <v>823</v>
      </c>
      <c r="C10" s="401"/>
      <c r="D10" s="402"/>
      <c r="E10" s="403"/>
      <c r="F10" s="403"/>
      <c r="G10" s="404"/>
      <c r="H10" s="404"/>
      <c r="I10" s="403"/>
      <c r="J10" s="405"/>
      <c r="K10" s="405">
        <v>267337926</v>
      </c>
      <c r="L10" s="405">
        <f t="shared" si="1"/>
        <v>267337926</v>
      </c>
    </row>
    <row r="11" spans="1:12" s="57" customFormat="1" ht="45.75" customHeight="1" x14ac:dyDescent="0.35">
      <c r="A11" s="390"/>
      <c r="B11" s="394" t="s">
        <v>851</v>
      </c>
      <c r="C11" s="395" t="s">
        <v>751</v>
      </c>
      <c r="D11" s="396"/>
      <c r="E11" s="397"/>
      <c r="F11" s="397"/>
      <c r="G11" s="398"/>
      <c r="H11" s="398"/>
      <c r="I11" s="397"/>
      <c r="J11" s="399"/>
      <c r="K11" s="399"/>
      <c r="L11" s="399">
        <f t="shared" si="1"/>
        <v>0</v>
      </c>
    </row>
    <row r="12" spans="1:12" s="57" customFormat="1" ht="45.75" customHeight="1" x14ac:dyDescent="0.35">
      <c r="A12" s="390"/>
      <c r="B12" s="400" t="s">
        <v>796</v>
      </c>
      <c r="C12" s="401"/>
      <c r="D12" s="402"/>
      <c r="E12" s="403"/>
      <c r="F12" s="403">
        <v>64529</v>
      </c>
      <c r="G12" s="404"/>
      <c r="H12" s="404"/>
      <c r="I12" s="403"/>
      <c r="J12" s="405"/>
      <c r="K12" s="405"/>
      <c r="L12" s="405">
        <f t="shared" si="1"/>
        <v>64529</v>
      </c>
    </row>
    <row r="13" spans="1:12" s="57" customFormat="1" ht="45.75" customHeight="1" x14ac:dyDescent="0.35">
      <c r="A13" s="390"/>
      <c r="B13" s="400" t="s">
        <v>823</v>
      </c>
      <c r="C13" s="401"/>
      <c r="D13" s="402"/>
      <c r="E13" s="403"/>
      <c r="F13" s="403">
        <v>64529</v>
      </c>
      <c r="G13" s="404"/>
      <c r="H13" s="404"/>
      <c r="I13" s="403"/>
      <c r="J13" s="405"/>
      <c r="K13" s="405"/>
      <c r="L13" s="405">
        <f t="shared" si="1"/>
        <v>64529</v>
      </c>
    </row>
    <row r="14" spans="1:12" s="57" customFormat="1" ht="45.75" customHeight="1" x14ac:dyDescent="0.35">
      <c r="A14" s="390"/>
      <c r="B14" s="394" t="s">
        <v>852</v>
      </c>
      <c r="C14" s="395" t="s">
        <v>752</v>
      </c>
      <c r="D14" s="396"/>
      <c r="E14" s="397"/>
      <c r="F14" s="48"/>
      <c r="G14" s="398"/>
      <c r="H14" s="398"/>
      <c r="I14" s="397"/>
      <c r="J14" s="399"/>
      <c r="K14" s="399"/>
      <c r="L14" s="399">
        <f t="shared" si="1"/>
        <v>0</v>
      </c>
    </row>
    <row r="15" spans="1:12" s="57" customFormat="1" ht="45.75" customHeight="1" x14ac:dyDescent="0.35">
      <c r="A15" s="390"/>
      <c r="B15" s="652" t="s">
        <v>796</v>
      </c>
      <c r="D15" s="402"/>
      <c r="E15" s="403"/>
      <c r="F15" s="403">
        <v>12290500</v>
      </c>
      <c r="G15" s="404"/>
      <c r="H15" s="404"/>
      <c r="I15" s="403"/>
      <c r="J15" s="405"/>
      <c r="K15" s="405"/>
      <c r="L15" s="405">
        <f t="shared" si="1"/>
        <v>12290500</v>
      </c>
    </row>
    <row r="16" spans="1:12" s="57" customFormat="1" ht="45.75" customHeight="1" x14ac:dyDescent="0.35">
      <c r="A16" s="390"/>
      <c r="B16" s="400" t="s">
        <v>823</v>
      </c>
      <c r="C16" s="401"/>
      <c r="D16" s="402"/>
      <c r="E16" s="403"/>
      <c r="F16" s="403">
        <v>12290500</v>
      </c>
      <c r="G16" s="404"/>
      <c r="H16" s="404"/>
      <c r="I16" s="403"/>
      <c r="J16" s="405"/>
      <c r="K16" s="405"/>
      <c r="L16" s="405">
        <f t="shared" si="1"/>
        <v>12290500</v>
      </c>
    </row>
    <row r="17" spans="1:12" s="57" customFormat="1" ht="33" customHeight="1" x14ac:dyDescent="0.35">
      <c r="A17" s="393" t="s">
        <v>28</v>
      </c>
      <c r="B17" s="406" t="s">
        <v>830</v>
      </c>
      <c r="C17" s="407"/>
      <c r="D17" s="412">
        <f>D7+D10</f>
        <v>0</v>
      </c>
      <c r="E17" s="412">
        <f t="shared" ref="E17:K17" si="2">E7+E10</f>
        <v>0</v>
      </c>
      <c r="F17" s="412">
        <f>F7+F10+F13+F16</f>
        <v>20042678</v>
      </c>
      <c r="G17" s="412">
        <f t="shared" si="2"/>
        <v>0</v>
      </c>
      <c r="H17" s="412">
        <f t="shared" si="2"/>
        <v>0</v>
      </c>
      <c r="I17" s="412">
        <f t="shared" si="2"/>
        <v>0</v>
      </c>
      <c r="J17" s="412">
        <f t="shared" si="2"/>
        <v>0</v>
      </c>
      <c r="K17" s="412">
        <f t="shared" si="2"/>
        <v>267337926</v>
      </c>
      <c r="L17" s="405">
        <f t="shared" si="1"/>
        <v>287380604</v>
      </c>
    </row>
    <row r="18" spans="1:12" s="555" customFormat="1" ht="21" customHeight="1" x14ac:dyDescent="0.3">
      <c r="A18" s="390" t="s">
        <v>31</v>
      </c>
      <c r="B18" s="556" t="s">
        <v>831</v>
      </c>
      <c r="C18" s="556"/>
      <c r="D18" s="557">
        <f>D6+D9</f>
        <v>0</v>
      </c>
      <c r="E18" s="557">
        <f t="shared" ref="E18:K18" si="3">E6+E9</f>
        <v>0</v>
      </c>
      <c r="F18" s="557">
        <f>F6+F9+F12+F15</f>
        <v>20123971</v>
      </c>
      <c r="G18" s="557">
        <f t="shared" si="3"/>
        <v>0</v>
      </c>
      <c r="H18" s="557">
        <f t="shared" si="3"/>
        <v>0</v>
      </c>
      <c r="I18" s="557">
        <f t="shared" si="3"/>
        <v>0</v>
      </c>
      <c r="J18" s="557">
        <f t="shared" si="3"/>
        <v>0</v>
      </c>
      <c r="K18" s="557">
        <f t="shared" si="3"/>
        <v>277751899</v>
      </c>
      <c r="L18" s="405">
        <f t="shared" si="1"/>
        <v>297875870</v>
      </c>
    </row>
    <row r="19" spans="1:12" ht="42" customHeight="1" x14ac:dyDescent="0.3">
      <c r="A19" s="58"/>
      <c r="B19" s="61"/>
      <c r="C19" s="62"/>
      <c r="D19" s="63"/>
      <c r="E19" s="60"/>
      <c r="F19" s="60"/>
      <c r="G19" s="59"/>
      <c r="H19" s="59"/>
      <c r="I19" s="59"/>
    </row>
    <row r="20" spans="1:12" ht="42" customHeight="1" x14ac:dyDescent="0.3">
      <c r="A20" s="64"/>
      <c r="B20" s="65"/>
      <c r="C20" s="66"/>
      <c r="D20" s="67"/>
      <c r="E20" s="52"/>
      <c r="F20" s="52"/>
      <c r="G20" s="53"/>
      <c r="H20" s="53"/>
      <c r="I20" s="53"/>
    </row>
    <row r="21" spans="1:12" ht="14" x14ac:dyDescent="0.3">
      <c r="A21" s="49"/>
      <c r="B21" s="50"/>
      <c r="C21" s="50"/>
      <c r="D21" s="51"/>
      <c r="E21" s="51"/>
      <c r="F21" s="51"/>
      <c r="G21" s="51"/>
      <c r="H21" s="51"/>
      <c r="I21" s="51"/>
    </row>
    <row r="22" spans="1:12" s="69" customFormat="1" ht="14" x14ac:dyDescent="0.3">
      <c r="A22" s="49"/>
      <c r="B22" s="50"/>
      <c r="C22" s="50"/>
      <c r="D22" s="51"/>
      <c r="E22" s="52"/>
      <c r="F22" s="68"/>
      <c r="G22" s="68"/>
      <c r="H22" s="68"/>
      <c r="I22" s="68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61" orientation="landscape" r:id="rId1"/>
  <headerFooter>
    <oddHeader>&amp;R&amp;"Times New Roman CE,Félkövér dőlt"&amp;11 10.1. melléklet a 7/2018. (V.31.)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view="pageLayout" zoomScaleNormal="100" workbookViewId="0">
      <selection sqref="A1:M1"/>
    </sheetView>
  </sheetViews>
  <sheetFormatPr defaultRowHeight="13" x14ac:dyDescent="0.3"/>
  <cols>
    <col min="1" max="1" width="5.796875" style="70" customWidth="1"/>
    <col min="2" max="2" width="21" style="48" customWidth="1"/>
    <col min="3" max="3" width="11.5" style="48" customWidth="1"/>
    <col min="4" max="9" width="13.796875" style="71" customWidth="1"/>
    <col min="10" max="13" width="13.796875" style="48" customWidth="1"/>
    <col min="14" max="256" width="9.296875" style="48"/>
    <col min="257" max="257" width="5.796875" style="48" customWidth="1"/>
    <col min="258" max="258" width="22.296875" style="48" customWidth="1"/>
    <col min="259" max="259" width="13" style="48" customWidth="1"/>
    <col min="260" max="260" width="11" style="48" customWidth="1"/>
    <col min="261" max="261" width="15.5" style="48" customWidth="1"/>
    <col min="262" max="262" width="11.19921875" style="48" customWidth="1"/>
    <col min="263" max="263" width="13.296875" style="48" customWidth="1"/>
    <col min="264" max="265" width="14" style="48" customWidth="1"/>
    <col min="266" max="266" width="13.296875" style="48" customWidth="1"/>
    <col min="267" max="267" width="12.296875" style="48" customWidth="1"/>
    <col min="268" max="268" width="14.296875" style="48" customWidth="1"/>
    <col min="269" max="269" width="15.19921875" style="48" customWidth="1"/>
    <col min="270" max="512" width="9.296875" style="48"/>
    <col min="513" max="513" width="5.796875" style="48" customWidth="1"/>
    <col min="514" max="514" width="22.296875" style="48" customWidth="1"/>
    <col min="515" max="515" width="13" style="48" customWidth="1"/>
    <col min="516" max="516" width="11" style="48" customWidth="1"/>
    <col min="517" max="517" width="15.5" style="48" customWidth="1"/>
    <col min="518" max="518" width="11.19921875" style="48" customWidth="1"/>
    <col min="519" max="519" width="13.296875" style="48" customWidth="1"/>
    <col min="520" max="521" width="14" style="48" customWidth="1"/>
    <col min="522" max="522" width="13.296875" style="48" customWidth="1"/>
    <col min="523" max="523" width="12.296875" style="48" customWidth="1"/>
    <col min="524" max="524" width="14.296875" style="48" customWidth="1"/>
    <col min="525" max="525" width="15.19921875" style="48" customWidth="1"/>
    <col min="526" max="768" width="9.296875" style="48"/>
    <col min="769" max="769" width="5.796875" style="48" customWidth="1"/>
    <col min="770" max="770" width="22.296875" style="48" customWidth="1"/>
    <col min="771" max="771" width="13" style="48" customWidth="1"/>
    <col min="772" max="772" width="11" style="48" customWidth="1"/>
    <col min="773" max="773" width="15.5" style="48" customWidth="1"/>
    <col min="774" max="774" width="11.19921875" style="48" customWidth="1"/>
    <col min="775" max="775" width="13.296875" style="48" customWidth="1"/>
    <col min="776" max="777" width="14" style="48" customWidth="1"/>
    <col min="778" max="778" width="13.296875" style="48" customWidth="1"/>
    <col min="779" max="779" width="12.296875" style="48" customWidth="1"/>
    <col min="780" max="780" width="14.296875" style="48" customWidth="1"/>
    <col min="781" max="781" width="15.19921875" style="48" customWidth="1"/>
    <col min="782" max="1024" width="9.296875" style="48"/>
    <col min="1025" max="1025" width="5.796875" style="48" customWidth="1"/>
    <col min="1026" max="1026" width="22.296875" style="48" customWidth="1"/>
    <col min="1027" max="1027" width="13" style="48" customWidth="1"/>
    <col min="1028" max="1028" width="11" style="48" customWidth="1"/>
    <col min="1029" max="1029" width="15.5" style="48" customWidth="1"/>
    <col min="1030" max="1030" width="11.19921875" style="48" customWidth="1"/>
    <col min="1031" max="1031" width="13.296875" style="48" customWidth="1"/>
    <col min="1032" max="1033" width="14" style="48" customWidth="1"/>
    <col min="1034" max="1034" width="13.296875" style="48" customWidth="1"/>
    <col min="1035" max="1035" width="12.296875" style="48" customWidth="1"/>
    <col min="1036" max="1036" width="14.296875" style="48" customWidth="1"/>
    <col min="1037" max="1037" width="15.19921875" style="48" customWidth="1"/>
    <col min="1038" max="1280" width="9.296875" style="48"/>
    <col min="1281" max="1281" width="5.796875" style="48" customWidth="1"/>
    <col min="1282" max="1282" width="22.296875" style="48" customWidth="1"/>
    <col min="1283" max="1283" width="13" style="48" customWidth="1"/>
    <col min="1284" max="1284" width="11" style="48" customWidth="1"/>
    <col min="1285" max="1285" width="15.5" style="48" customWidth="1"/>
    <col min="1286" max="1286" width="11.19921875" style="48" customWidth="1"/>
    <col min="1287" max="1287" width="13.296875" style="48" customWidth="1"/>
    <col min="1288" max="1289" width="14" style="48" customWidth="1"/>
    <col min="1290" max="1290" width="13.296875" style="48" customWidth="1"/>
    <col min="1291" max="1291" width="12.296875" style="48" customWidth="1"/>
    <col min="1292" max="1292" width="14.296875" style="48" customWidth="1"/>
    <col min="1293" max="1293" width="15.19921875" style="48" customWidth="1"/>
    <col min="1294" max="1536" width="9.296875" style="48"/>
    <col min="1537" max="1537" width="5.796875" style="48" customWidth="1"/>
    <col min="1538" max="1538" width="22.296875" style="48" customWidth="1"/>
    <col min="1539" max="1539" width="13" style="48" customWidth="1"/>
    <col min="1540" max="1540" width="11" style="48" customWidth="1"/>
    <col min="1541" max="1541" width="15.5" style="48" customWidth="1"/>
    <col min="1542" max="1542" width="11.19921875" style="48" customWidth="1"/>
    <col min="1543" max="1543" width="13.296875" style="48" customWidth="1"/>
    <col min="1544" max="1545" width="14" style="48" customWidth="1"/>
    <col min="1546" max="1546" width="13.296875" style="48" customWidth="1"/>
    <col min="1547" max="1547" width="12.296875" style="48" customWidth="1"/>
    <col min="1548" max="1548" width="14.296875" style="48" customWidth="1"/>
    <col min="1549" max="1549" width="15.19921875" style="48" customWidth="1"/>
    <col min="1550" max="1792" width="9.296875" style="48"/>
    <col min="1793" max="1793" width="5.796875" style="48" customWidth="1"/>
    <col min="1794" max="1794" width="22.296875" style="48" customWidth="1"/>
    <col min="1795" max="1795" width="13" style="48" customWidth="1"/>
    <col min="1796" max="1796" width="11" style="48" customWidth="1"/>
    <col min="1797" max="1797" width="15.5" style="48" customWidth="1"/>
    <col min="1798" max="1798" width="11.19921875" style="48" customWidth="1"/>
    <col min="1799" max="1799" width="13.296875" style="48" customWidth="1"/>
    <col min="1800" max="1801" width="14" style="48" customWidth="1"/>
    <col min="1802" max="1802" width="13.296875" style="48" customWidth="1"/>
    <col min="1803" max="1803" width="12.296875" style="48" customWidth="1"/>
    <col min="1804" max="1804" width="14.296875" style="48" customWidth="1"/>
    <col min="1805" max="1805" width="15.19921875" style="48" customWidth="1"/>
    <col min="1806" max="2048" width="9.296875" style="48"/>
    <col min="2049" max="2049" width="5.796875" style="48" customWidth="1"/>
    <col min="2050" max="2050" width="22.296875" style="48" customWidth="1"/>
    <col min="2051" max="2051" width="13" style="48" customWidth="1"/>
    <col min="2052" max="2052" width="11" style="48" customWidth="1"/>
    <col min="2053" max="2053" width="15.5" style="48" customWidth="1"/>
    <col min="2054" max="2054" width="11.19921875" style="48" customWidth="1"/>
    <col min="2055" max="2055" width="13.296875" style="48" customWidth="1"/>
    <col min="2056" max="2057" width="14" style="48" customWidth="1"/>
    <col min="2058" max="2058" width="13.296875" style="48" customWidth="1"/>
    <col min="2059" max="2059" width="12.296875" style="48" customWidth="1"/>
    <col min="2060" max="2060" width="14.296875" style="48" customWidth="1"/>
    <col min="2061" max="2061" width="15.19921875" style="48" customWidth="1"/>
    <col min="2062" max="2304" width="9.296875" style="48"/>
    <col min="2305" max="2305" width="5.796875" style="48" customWidth="1"/>
    <col min="2306" max="2306" width="22.296875" style="48" customWidth="1"/>
    <col min="2307" max="2307" width="13" style="48" customWidth="1"/>
    <col min="2308" max="2308" width="11" style="48" customWidth="1"/>
    <col min="2309" max="2309" width="15.5" style="48" customWidth="1"/>
    <col min="2310" max="2310" width="11.19921875" style="48" customWidth="1"/>
    <col min="2311" max="2311" width="13.296875" style="48" customWidth="1"/>
    <col min="2312" max="2313" width="14" style="48" customWidth="1"/>
    <col min="2314" max="2314" width="13.296875" style="48" customWidth="1"/>
    <col min="2315" max="2315" width="12.296875" style="48" customWidth="1"/>
    <col min="2316" max="2316" width="14.296875" style="48" customWidth="1"/>
    <col min="2317" max="2317" width="15.19921875" style="48" customWidth="1"/>
    <col min="2318" max="2560" width="9.296875" style="48"/>
    <col min="2561" max="2561" width="5.796875" style="48" customWidth="1"/>
    <col min="2562" max="2562" width="22.296875" style="48" customWidth="1"/>
    <col min="2563" max="2563" width="13" style="48" customWidth="1"/>
    <col min="2564" max="2564" width="11" style="48" customWidth="1"/>
    <col min="2565" max="2565" width="15.5" style="48" customWidth="1"/>
    <col min="2566" max="2566" width="11.19921875" style="48" customWidth="1"/>
    <col min="2567" max="2567" width="13.296875" style="48" customWidth="1"/>
    <col min="2568" max="2569" width="14" style="48" customWidth="1"/>
    <col min="2570" max="2570" width="13.296875" style="48" customWidth="1"/>
    <col min="2571" max="2571" width="12.296875" style="48" customWidth="1"/>
    <col min="2572" max="2572" width="14.296875" style="48" customWidth="1"/>
    <col min="2573" max="2573" width="15.19921875" style="48" customWidth="1"/>
    <col min="2574" max="2816" width="9.296875" style="48"/>
    <col min="2817" max="2817" width="5.796875" style="48" customWidth="1"/>
    <col min="2818" max="2818" width="22.296875" style="48" customWidth="1"/>
    <col min="2819" max="2819" width="13" style="48" customWidth="1"/>
    <col min="2820" max="2820" width="11" style="48" customWidth="1"/>
    <col min="2821" max="2821" width="15.5" style="48" customWidth="1"/>
    <col min="2822" max="2822" width="11.19921875" style="48" customWidth="1"/>
    <col min="2823" max="2823" width="13.296875" style="48" customWidth="1"/>
    <col min="2824" max="2825" width="14" style="48" customWidth="1"/>
    <col min="2826" max="2826" width="13.296875" style="48" customWidth="1"/>
    <col min="2827" max="2827" width="12.296875" style="48" customWidth="1"/>
    <col min="2828" max="2828" width="14.296875" style="48" customWidth="1"/>
    <col min="2829" max="2829" width="15.19921875" style="48" customWidth="1"/>
    <col min="2830" max="3072" width="9.296875" style="48"/>
    <col min="3073" max="3073" width="5.796875" style="48" customWidth="1"/>
    <col min="3074" max="3074" width="22.296875" style="48" customWidth="1"/>
    <col min="3075" max="3075" width="13" style="48" customWidth="1"/>
    <col min="3076" max="3076" width="11" style="48" customWidth="1"/>
    <col min="3077" max="3077" width="15.5" style="48" customWidth="1"/>
    <col min="3078" max="3078" width="11.19921875" style="48" customWidth="1"/>
    <col min="3079" max="3079" width="13.296875" style="48" customWidth="1"/>
    <col min="3080" max="3081" width="14" style="48" customWidth="1"/>
    <col min="3082" max="3082" width="13.296875" style="48" customWidth="1"/>
    <col min="3083" max="3083" width="12.296875" style="48" customWidth="1"/>
    <col min="3084" max="3084" width="14.296875" style="48" customWidth="1"/>
    <col min="3085" max="3085" width="15.19921875" style="48" customWidth="1"/>
    <col min="3086" max="3328" width="9.296875" style="48"/>
    <col min="3329" max="3329" width="5.796875" style="48" customWidth="1"/>
    <col min="3330" max="3330" width="22.296875" style="48" customWidth="1"/>
    <col min="3331" max="3331" width="13" style="48" customWidth="1"/>
    <col min="3332" max="3332" width="11" style="48" customWidth="1"/>
    <col min="3333" max="3333" width="15.5" style="48" customWidth="1"/>
    <col min="3334" max="3334" width="11.19921875" style="48" customWidth="1"/>
    <col min="3335" max="3335" width="13.296875" style="48" customWidth="1"/>
    <col min="3336" max="3337" width="14" style="48" customWidth="1"/>
    <col min="3338" max="3338" width="13.296875" style="48" customWidth="1"/>
    <col min="3339" max="3339" width="12.296875" style="48" customWidth="1"/>
    <col min="3340" max="3340" width="14.296875" style="48" customWidth="1"/>
    <col min="3341" max="3341" width="15.19921875" style="48" customWidth="1"/>
    <col min="3342" max="3584" width="9.296875" style="48"/>
    <col min="3585" max="3585" width="5.796875" style="48" customWidth="1"/>
    <col min="3586" max="3586" width="22.296875" style="48" customWidth="1"/>
    <col min="3587" max="3587" width="13" style="48" customWidth="1"/>
    <col min="3588" max="3588" width="11" style="48" customWidth="1"/>
    <col min="3589" max="3589" width="15.5" style="48" customWidth="1"/>
    <col min="3590" max="3590" width="11.19921875" style="48" customWidth="1"/>
    <col min="3591" max="3591" width="13.296875" style="48" customWidth="1"/>
    <col min="3592" max="3593" width="14" style="48" customWidth="1"/>
    <col min="3594" max="3594" width="13.296875" style="48" customWidth="1"/>
    <col min="3595" max="3595" width="12.296875" style="48" customWidth="1"/>
    <col min="3596" max="3596" width="14.296875" style="48" customWidth="1"/>
    <col min="3597" max="3597" width="15.19921875" style="48" customWidth="1"/>
    <col min="3598" max="3840" width="9.296875" style="48"/>
    <col min="3841" max="3841" width="5.796875" style="48" customWidth="1"/>
    <col min="3842" max="3842" width="22.296875" style="48" customWidth="1"/>
    <col min="3843" max="3843" width="13" style="48" customWidth="1"/>
    <col min="3844" max="3844" width="11" style="48" customWidth="1"/>
    <col min="3845" max="3845" width="15.5" style="48" customWidth="1"/>
    <col min="3846" max="3846" width="11.19921875" style="48" customWidth="1"/>
    <col min="3847" max="3847" width="13.296875" style="48" customWidth="1"/>
    <col min="3848" max="3849" width="14" style="48" customWidth="1"/>
    <col min="3850" max="3850" width="13.296875" style="48" customWidth="1"/>
    <col min="3851" max="3851" width="12.296875" style="48" customWidth="1"/>
    <col min="3852" max="3852" width="14.296875" style="48" customWidth="1"/>
    <col min="3853" max="3853" width="15.19921875" style="48" customWidth="1"/>
    <col min="3854" max="4096" width="9.296875" style="48"/>
    <col min="4097" max="4097" width="5.796875" style="48" customWidth="1"/>
    <col min="4098" max="4098" width="22.296875" style="48" customWidth="1"/>
    <col min="4099" max="4099" width="13" style="48" customWidth="1"/>
    <col min="4100" max="4100" width="11" style="48" customWidth="1"/>
    <col min="4101" max="4101" width="15.5" style="48" customWidth="1"/>
    <col min="4102" max="4102" width="11.19921875" style="48" customWidth="1"/>
    <col min="4103" max="4103" width="13.296875" style="48" customWidth="1"/>
    <col min="4104" max="4105" width="14" style="48" customWidth="1"/>
    <col min="4106" max="4106" width="13.296875" style="48" customWidth="1"/>
    <col min="4107" max="4107" width="12.296875" style="48" customWidth="1"/>
    <col min="4108" max="4108" width="14.296875" style="48" customWidth="1"/>
    <col min="4109" max="4109" width="15.19921875" style="48" customWidth="1"/>
    <col min="4110" max="4352" width="9.296875" style="48"/>
    <col min="4353" max="4353" width="5.796875" style="48" customWidth="1"/>
    <col min="4354" max="4354" width="22.296875" style="48" customWidth="1"/>
    <col min="4355" max="4355" width="13" style="48" customWidth="1"/>
    <col min="4356" max="4356" width="11" style="48" customWidth="1"/>
    <col min="4357" max="4357" width="15.5" style="48" customWidth="1"/>
    <col min="4358" max="4358" width="11.19921875" style="48" customWidth="1"/>
    <col min="4359" max="4359" width="13.296875" style="48" customWidth="1"/>
    <col min="4360" max="4361" width="14" style="48" customWidth="1"/>
    <col min="4362" max="4362" width="13.296875" style="48" customWidth="1"/>
    <col min="4363" max="4363" width="12.296875" style="48" customWidth="1"/>
    <col min="4364" max="4364" width="14.296875" style="48" customWidth="1"/>
    <col min="4365" max="4365" width="15.19921875" style="48" customWidth="1"/>
    <col min="4366" max="4608" width="9.296875" style="48"/>
    <col min="4609" max="4609" width="5.796875" style="48" customWidth="1"/>
    <col min="4610" max="4610" width="22.296875" style="48" customWidth="1"/>
    <col min="4611" max="4611" width="13" style="48" customWidth="1"/>
    <col min="4612" max="4612" width="11" style="48" customWidth="1"/>
    <col min="4613" max="4613" width="15.5" style="48" customWidth="1"/>
    <col min="4614" max="4614" width="11.19921875" style="48" customWidth="1"/>
    <col min="4615" max="4615" width="13.296875" style="48" customWidth="1"/>
    <col min="4616" max="4617" width="14" style="48" customWidth="1"/>
    <col min="4618" max="4618" width="13.296875" style="48" customWidth="1"/>
    <col min="4619" max="4619" width="12.296875" style="48" customWidth="1"/>
    <col min="4620" max="4620" width="14.296875" style="48" customWidth="1"/>
    <col min="4621" max="4621" width="15.19921875" style="48" customWidth="1"/>
    <col min="4622" max="4864" width="9.296875" style="48"/>
    <col min="4865" max="4865" width="5.796875" style="48" customWidth="1"/>
    <col min="4866" max="4866" width="22.296875" style="48" customWidth="1"/>
    <col min="4867" max="4867" width="13" style="48" customWidth="1"/>
    <col min="4868" max="4868" width="11" style="48" customWidth="1"/>
    <col min="4869" max="4869" width="15.5" style="48" customWidth="1"/>
    <col min="4870" max="4870" width="11.19921875" style="48" customWidth="1"/>
    <col min="4871" max="4871" width="13.296875" style="48" customWidth="1"/>
    <col min="4872" max="4873" width="14" style="48" customWidth="1"/>
    <col min="4874" max="4874" width="13.296875" style="48" customWidth="1"/>
    <col min="4875" max="4875" width="12.296875" style="48" customWidth="1"/>
    <col min="4876" max="4876" width="14.296875" style="48" customWidth="1"/>
    <col min="4877" max="4877" width="15.19921875" style="48" customWidth="1"/>
    <col min="4878" max="5120" width="9.296875" style="48"/>
    <col min="5121" max="5121" width="5.796875" style="48" customWidth="1"/>
    <col min="5122" max="5122" width="22.296875" style="48" customWidth="1"/>
    <col min="5123" max="5123" width="13" style="48" customWidth="1"/>
    <col min="5124" max="5124" width="11" style="48" customWidth="1"/>
    <col min="5125" max="5125" width="15.5" style="48" customWidth="1"/>
    <col min="5126" max="5126" width="11.19921875" style="48" customWidth="1"/>
    <col min="5127" max="5127" width="13.296875" style="48" customWidth="1"/>
    <col min="5128" max="5129" width="14" style="48" customWidth="1"/>
    <col min="5130" max="5130" width="13.296875" style="48" customWidth="1"/>
    <col min="5131" max="5131" width="12.296875" style="48" customWidth="1"/>
    <col min="5132" max="5132" width="14.296875" style="48" customWidth="1"/>
    <col min="5133" max="5133" width="15.19921875" style="48" customWidth="1"/>
    <col min="5134" max="5376" width="9.296875" style="48"/>
    <col min="5377" max="5377" width="5.796875" style="48" customWidth="1"/>
    <col min="5378" max="5378" width="22.296875" style="48" customWidth="1"/>
    <col min="5379" max="5379" width="13" style="48" customWidth="1"/>
    <col min="5380" max="5380" width="11" style="48" customWidth="1"/>
    <col min="5381" max="5381" width="15.5" style="48" customWidth="1"/>
    <col min="5382" max="5382" width="11.19921875" style="48" customWidth="1"/>
    <col min="5383" max="5383" width="13.296875" style="48" customWidth="1"/>
    <col min="5384" max="5385" width="14" style="48" customWidth="1"/>
    <col min="5386" max="5386" width="13.296875" style="48" customWidth="1"/>
    <col min="5387" max="5387" width="12.296875" style="48" customWidth="1"/>
    <col min="5388" max="5388" width="14.296875" style="48" customWidth="1"/>
    <col min="5389" max="5389" width="15.19921875" style="48" customWidth="1"/>
    <col min="5390" max="5632" width="9.296875" style="48"/>
    <col min="5633" max="5633" width="5.796875" style="48" customWidth="1"/>
    <col min="5634" max="5634" width="22.296875" style="48" customWidth="1"/>
    <col min="5635" max="5635" width="13" style="48" customWidth="1"/>
    <col min="5636" max="5636" width="11" style="48" customWidth="1"/>
    <col min="5637" max="5637" width="15.5" style="48" customWidth="1"/>
    <col min="5638" max="5638" width="11.19921875" style="48" customWidth="1"/>
    <col min="5639" max="5639" width="13.296875" style="48" customWidth="1"/>
    <col min="5640" max="5641" width="14" style="48" customWidth="1"/>
    <col min="5642" max="5642" width="13.296875" style="48" customWidth="1"/>
    <col min="5643" max="5643" width="12.296875" style="48" customWidth="1"/>
    <col min="5644" max="5644" width="14.296875" style="48" customWidth="1"/>
    <col min="5645" max="5645" width="15.19921875" style="48" customWidth="1"/>
    <col min="5646" max="5888" width="9.296875" style="48"/>
    <col min="5889" max="5889" width="5.796875" style="48" customWidth="1"/>
    <col min="5890" max="5890" width="22.296875" style="48" customWidth="1"/>
    <col min="5891" max="5891" width="13" style="48" customWidth="1"/>
    <col min="5892" max="5892" width="11" style="48" customWidth="1"/>
    <col min="5893" max="5893" width="15.5" style="48" customWidth="1"/>
    <col min="5894" max="5894" width="11.19921875" style="48" customWidth="1"/>
    <col min="5895" max="5895" width="13.296875" style="48" customWidth="1"/>
    <col min="5896" max="5897" width="14" style="48" customWidth="1"/>
    <col min="5898" max="5898" width="13.296875" style="48" customWidth="1"/>
    <col min="5899" max="5899" width="12.296875" style="48" customWidth="1"/>
    <col min="5900" max="5900" width="14.296875" style="48" customWidth="1"/>
    <col min="5901" max="5901" width="15.19921875" style="48" customWidth="1"/>
    <col min="5902" max="6144" width="9.296875" style="48"/>
    <col min="6145" max="6145" width="5.796875" style="48" customWidth="1"/>
    <col min="6146" max="6146" width="22.296875" style="48" customWidth="1"/>
    <col min="6147" max="6147" width="13" style="48" customWidth="1"/>
    <col min="6148" max="6148" width="11" style="48" customWidth="1"/>
    <col min="6149" max="6149" width="15.5" style="48" customWidth="1"/>
    <col min="6150" max="6150" width="11.19921875" style="48" customWidth="1"/>
    <col min="6151" max="6151" width="13.296875" style="48" customWidth="1"/>
    <col min="6152" max="6153" width="14" style="48" customWidth="1"/>
    <col min="6154" max="6154" width="13.296875" style="48" customWidth="1"/>
    <col min="6155" max="6155" width="12.296875" style="48" customWidth="1"/>
    <col min="6156" max="6156" width="14.296875" style="48" customWidth="1"/>
    <col min="6157" max="6157" width="15.19921875" style="48" customWidth="1"/>
    <col min="6158" max="6400" width="9.296875" style="48"/>
    <col min="6401" max="6401" width="5.796875" style="48" customWidth="1"/>
    <col min="6402" max="6402" width="22.296875" style="48" customWidth="1"/>
    <col min="6403" max="6403" width="13" style="48" customWidth="1"/>
    <col min="6404" max="6404" width="11" style="48" customWidth="1"/>
    <col min="6405" max="6405" width="15.5" style="48" customWidth="1"/>
    <col min="6406" max="6406" width="11.19921875" style="48" customWidth="1"/>
    <col min="6407" max="6407" width="13.296875" style="48" customWidth="1"/>
    <col min="6408" max="6409" width="14" style="48" customWidth="1"/>
    <col min="6410" max="6410" width="13.296875" style="48" customWidth="1"/>
    <col min="6411" max="6411" width="12.296875" style="48" customWidth="1"/>
    <col min="6412" max="6412" width="14.296875" style="48" customWidth="1"/>
    <col min="6413" max="6413" width="15.19921875" style="48" customWidth="1"/>
    <col min="6414" max="6656" width="9.296875" style="48"/>
    <col min="6657" max="6657" width="5.796875" style="48" customWidth="1"/>
    <col min="6658" max="6658" width="22.296875" style="48" customWidth="1"/>
    <col min="6659" max="6659" width="13" style="48" customWidth="1"/>
    <col min="6660" max="6660" width="11" style="48" customWidth="1"/>
    <col min="6661" max="6661" width="15.5" style="48" customWidth="1"/>
    <col min="6662" max="6662" width="11.19921875" style="48" customWidth="1"/>
    <col min="6663" max="6663" width="13.296875" style="48" customWidth="1"/>
    <col min="6664" max="6665" width="14" style="48" customWidth="1"/>
    <col min="6666" max="6666" width="13.296875" style="48" customWidth="1"/>
    <col min="6667" max="6667" width="12.296875" style="48" customWidth="1"/>
    <col min="6668" max="6668" width="14.296875" style="48" customWidth="1"/>
    <col min="6669" max="6669" width="15.19921875" style="48" customWidth="1"/>
    <col min="6670" max="6912" width="9.296875" style="48"/>
    <col min="6913" max="6913" width="5.796875" style="48" customWidth="1"/>
    <col min="6914" max="6914" width="22.296875" style="48" customWidth="1"/>
    <col min="6915" max="6915" width="13" style="48" customWidth="1"/>
    <col min="6916" max="6916" width="11" style="48" customWidth="1"/>
    <col min="6917" max="6917" width="15.5" style="48" customWidth="1"/>
    <col min="6918" max="6918" width="11.19921875" style="48" customWidth="1"/>
    <col min="6919" max="6919" width="13.296875" style="48" customWidth="1"/>
    <col min="6920" max="6921" width="14" style="48" customWidth="1"/>
    <col min="6922" max="6922" width="13.296875" style="48" customWidth="1"/>
    <col min="6923" max="6923" width="12.296875" style="48" customWidth="1"/>
    <col min="6924" max="6924" width="14.296875" style="48" customWidth="1"/>
    <col min="6925" max="6925" width="15.19921875" style="48" customWidth="1"/>
    <col min="6926" max="7168" width="9.296875" style="48"/>
    <col min="7169" max="7169" width="5.796875" style="48" customWidth="1"/>
    <col min="7170" max="7170" width="22.296875" style="48" customWidth="1"/>
    <col min="7171" max="7171" width="13" style="48" customWidth="1"/>
    <col min="7172" max="7172" width="11" style="48" customWidth="1"/>
    <col min="7173" max="7173" width="15.5" style="48" customWidth="1"/>
    <col min="7174" max="7174" width="11.19921875" style="48" customWidth="1"/>
    <col min="7175" max="7175" width="13.296875" style="48" customWidth="1"/>
    <col min="7176" max="7177" width="14" style="48" customWidth="1"/>
    <col min="7178" max="7178" width="13.296875" style="48" customWidth="1"/>
    <col min="7179" max="7179" width="12.296875" style="48" customWidth="1"/>
    <col min="7180" max="7180" width="14.296875" style="48" customWidth="1"/>
    <col min="7181" max="7181" width="15.19921875" style="48" customWidth="1"/>
    <col min="7182" max="7424" width="9.296875" style="48"/>
    <col min="7425" max="7425" width="5.796875" style="48" customWidth="1"/>
    <col min="7426" max="7426" width="22.296875" style="48" customWidth="1"/>
    <col min="7427" max="7427" width="13" style="48" customWidth="1"/>
    <col min="7428" max="7428" width="11" style="48" customWidth="1"/>
    <col min="7429" max="7429" width="15.5" style="48" customWidth="1"/>
    <col min="7430" max="7430" width="11.19921875" style="48" customWidth="1"/>
    <col min="7431" max="7431" width="13.296875" style="48" customWidth="1"/>
    <col min="7432" max="7433" width="14" style="48" customWidth="1"/>
    <col min="7434" max="7434" width="13.296875" style="48" customWidth="1"/>
    <col min="7435" max="7435" width="12.296875" style="48" customWidth="1"/>
    <col min="7436" max="7436" width="14.296875" style="48" customWidth="1"/>
    <col min="7437" max="7437" width="15.19921875" style="48" customWidth="1"/>
    <col min="7438" max="7680" width="9.296875" style="48"/>
    <col min="7681" max="7681" width="5.796875" style="48" customWidth="1"/>
    <col min="7682" max="7682" width="22.296875" style="48" customWidth="1"/>
    <col min="7683" max="7683" width="13" style="48" customWidth="1"/>
    <col min="7684" max="7684" width="11" style="48" customWidth="1"/>
    <col min="7685" max="7685" width="15.5" style="48" customWidth="1"/>
    <col min="7686" max="7686" width="11.19921875" style="48" customWidth="1"/>
    <col min="7687" max="7687" width="13.296875" style="48" customWidth="1"/>
    <col min="7688" max="7689" width="14" style="48" customWidth="1"/>
    <col min="7690" max="7690" width="13.296875" style="48" customWidth="1"/>
    <col min="7691" max="7691" width="12.296875" style="48" customWidth="1"/>
    <col min="7692" max="7692" width="14.296875" style="48" customWidth="1"/>
    <col min="7693" max="7693" width="15.19921875" style="48" customWidth="1"/>
    <col min="7694" max="7936" width="9.296875" style="48"/>
    <col min="7937" max="7937" width="5.796875" style="48" customWidth="1"/>
    <col min="7938" max="7938" width="22.296875" style="48" customWidth="1"/>
    <col min="7939" max="7939" width="13" style="48" customWidth="1"/>
    <col min="7940" max="7940" width="11" style="48" customWidth="1"/>
    <col min="7941" max="7941" width="15.5" style="48" customWidth="1"/>
    <col min="7942" max="7942" width="11.19921875" style="48" customWidth="1"/>
    <col min="7943" max="7943" width="13.296875" style="48" customWidth="1"/>
    <col min="7944" max="7945" width="14" style="48" customWidth="1"/>
    <col min="7946" max="7946" width="13.296875" style="48" customWidth="1"/>
    <col min="7947" max="7947" width="12.296875" style="48" customWidth="1"/>
    <col min="7948" max="7948" width="14.296875" style="48" customWidth="1"/>
    <col min="7949" max="7949" width="15.19921875" style="48" customWidth="1"/>
    <col min="7950" max="8192" width="9.296875" style="48"/>
    <col min="8193" max="8193" width="5.796875" style="48" customWidth="1"/>
    <col min="8194" max="8194" width="22.296875" style="48" customWidth="1"/>
    <col min="8195" max="8195" width="13" style="48" customWidth="1"/>
    <col min="8196" max="8196" width="11" style="48" customWidth="1"/>
    <col min="8197" max="8197" width="15.5" style="48" customWidth="1"/>
    <col min="8198" max="8198" width="11.19921875" style="48" customWidth="1"/>
    <col min="8199" max="8199" width="13.296875" style="48" customWidth="1"/>
    <col min="8200" max="8201" width="14" style="48" customWidth="1"/>
    <col min="8202" max="8202" width="13.296875" style="48" customWidth="1"/>
    <col min="8203" max="8203" width="12.296875" style="48" customWidth="1"/>
    <col min="8204" max="8204" width="14.296875" style="48" customWidth="1"/>
    <col min="8205" max="8205" width="15.19921875" style="48" customWidth="1"/>
    <col min="8206" max="8448" width="9.296875" style="48"/>
    <col min="8449" max="8449" width="5.796875" style="48" customWidth="1"/>
    <col min="8450" max="8450" width="22.296875" style="48" customWidth="1"/>
    <col min="8451" max="8451" width="13" style="48" customWidth="1"/>
    <col min="8452" max="8452" width="11" style="48" customWidth="1"/>
    <col min="8453" max="8453" width="15.5" style="48" customWidth="1"/>
    <col min="8454" max="8454" width="11.19921875" style="48" customWidth="1"/>
    <col min="8455" max="8455" width="13.296875" style="48" customWidth="1"/>
    <col min="8456" max="8457" width="14" style="48" customWidth="1"/>
    <col min="8458" max="8458" width="13.296875" style="48" customWidth="1"/>
    <col min="8459" max="8459" width="12.296875" style="48" customWidth="1"/>
    <col min="8460" max="8460" width="14.296875" style="48" customWidth="1"/>
    <col min="8461" max="8461" width="15.19921875" style="48" customWidth="1"/>
    <col min="8462" max="8704" width="9.296875" style="48"/>
    <col min="8705" max="8705" width="5.796875" style="48" customWidth="1"/>
    <col min="8706" max="8706" width="22.296875" style="48" customWidth="1"/>
    <col min="8707" max="8707" width="13" style="48" customWidth="1"/>
    <col min="8708" max="8708" width="11" style="48" customWidth="1"/>
    <col min="8709" max="8709" width="15.5" style="48" customWidth="1"/>
    <col min="8710" max="8710" width="11.19921875" style="48" customWidth="1"/>
    <col min="8711" max="8711" width="13.296875" style="48" customWidth="1"/>
    <col min="8712" max="8713" width="14" style="48" customWidth="1"/>
    <col min="8714" max="8714" width="13.296875" style="48" customWidth="1"/>
    <col min="8715" max="8715" width="12.296875" style="48" customWidth="1"/>
    <col min="8716" max="8716" width="14.296875" style="48" customWidth="1"/>
    <col min="8717" max="8717" width="15.19921875" style="48" customWidth="1"/>
    <col min="8718" max="8960" width="9.296875" style="48"/>
    <col min="8961" max="8961" width="5.796875" style="48" customWidth="1"/>
    <col min="8962" max="8962" width="22.296875" style="48" customWidth="1"/>
    <col min="8963" max="8963" width="13" style="48" customWidth="1"/>
    <col min="8964" max="8964" width="11" style="48" customWidth="1"/>
    <col min="8965" max="8965" width="15.5" style="48" customWidth="1"/>
    <col min="8966" max="8966" width="11.19921875" style="48" customWidth="1"/>
    <col min="8967" max="8967" width="13.296875" style="48" customWidth="1"/>
    <col min="8968" max="8969" width="14" style="48" customWidth="1"/>
    <col min="8970" max="8970" width="13.296875" style="48" customWidth="1"/>
    <col min="8971" max="8971" width="12.296875" style="48" customWidth="1"/>
    <col min="8972" max="8972" width="14.296875" style="48" customWidth="1"/>
    <col min="8973" max="8973" width="15.19921875" style="48" customWidth="1"/>
    <col min="8974" max="9216" width="9.296875" style="48"/>
    <col min="9217" max="9217" width="5.796875" style="48" customWidth="1"/>
    <col min="9218" max="9218" width="22.296875" style="48" customWidth="1"/>
    <col min="9219" max="9219" width="13" style="48" customWidth="1"/>
    <col min="9220" max="9220" width="11" style="48" customWidth="1"/>
    <col min="9221" max="9221" width="15.5" style="48" customWidth="1"/>
    <col min="9222" max="9222" width="11.19921875" style="48" customWidth="1"/>
    <col min="9223" max="9223" width="13.296875" style="48" customWidth="1"/>
    <col min="9224" max="9225" width="14" style="48" customWidth="1"/>
    <col min="9226" max="9226" width="13.296875" style="48" customWidth="1"/>
    <col min="9227" max="9227" width="12.296875" style="48" customWidth="1"/>
    <col min="9228" max="9228" width="14.296875" style="48" customWidth="1"/>
    <col min="9229" max="9229" width="15.19921875" style="48" customWidth="1"/>
    <col min="9230" max="9472" width="9.296875" style="48"/>
    <col min="9473" max="9473" width="5.796875" style="48" customWidth="1"/>
    <col min="9474" max="9474" width="22.296875" style="48" customWidth="1"/>
    <col min="9475" max="9475" width="13" style="48" customWidth="1"/>
    <col min="9476" max="9476" width="11" style="48" customWidth="1"/>
    <col min="9477" max="9477" width="15.5" style="48" customWidth="1"/>
    <col min="9478" max="9478" width="11.19921875" style="48" customWidth="1"/>
    <col min="9479" max="9479" width="13.296875" style="48" customWidth="1"/>
    <col min="9480" max="9481" width="14" style="48" customWidth="1"/>
    <col min="9482" max="9482" width="13.296875" style="48" customWidth="1"/>
    <col min="9483" max="9483" width="12.296875" style="48" customWidth="1"/>
    <col min="9484" max="9484" width="14.296875" style="48" customWidth="1"/>
    <col min="9485" max="9485" width="15.19921875" style="48" customWidth="1"/>
    <col min="9486" max="9728" width="9.296875" style="48"/>
    <col min="9729" max="9729" width="5.796875" style="48" customWidth="1"/>
    <col min="9730" max="9730" width="22.296875" style="48" customWidth="1"/>
    <col min="9731" max="9731" width="13" style="48" customWidth="1"/>
    <col min="9732" max="9732" width="11" style="48" customWidth="1"/>
    <col min="9733" max="9733" width="15.5" style="48" customWidth="1"/>
    <col min="9734" max="9734" width="11.19921875" style="48" customWidth="1"/>
    <col min="9735" max="9735" width="13.296875" style="48" customWidth="1"/>
    <col min="9736" max="9737" width="14" style="48" customWidth="1"/>
    <col min="9738" max="9738" width="13.296875" style="48" customWidth="1"/>
    <col min="9739" max="9739" width="12.296875" style="48" customWidth="1"/>
    <col min="9740" max="9740" width="14.296875" style="48" customWidth="1"/>
    <col min="9741" max="9741" width="15.19921875" style="48" customWidth="1"/>
    <col min="9742" max="9984" width="9.296875" style="48"/>
    <col min="9985" max="9985" width="5.796875" style="48" customWidth="1"/>
    <col min="9986" max="9986" width="22.296875" style="48" customWidth="1"/>
    <col min="9987" max="9987" width="13" style="48" customWidth="1"/>
    <col min="9988" max="9988" width="11" style="48" customWidth="1"/>
    <col min="9989" max="9989" width="15.5" style="48" customWidth="1"/>
    <col min="9990" max="9990" width="11.19921875" style="48" customWidth="1"/>
    <col min="9991" max="9991" width="13.296875" style="48" customWidth="1"/>
    <col min="9992" max="9993" width="14" style="48" customWidth="1"/>
    <col min="9994" max="9994" width="13.296875" style="48" customWidth="1"/>
    <col min="9995" max="9995" width="12.296875" style="48" customWidth="1"/>
    <col min="9996" max="9996" width="14.296875" style="48" customWidth="1"/>
    <col min="9997" max="9997" width="15.19921875" style="48" customWidth="1"/>
    <col min="9998" max="10240" width="9.296875" style="48"/>
    <col min="10241" max="10241" width="5.796875" style="48" customWidth="1"/>
    <col min="10242" max="10242" width="22.296875" style="48" customWidth="1"/>
    <col min="10243" max="10243" width="13" style="48" customWidth="1"/>
    <col min="10244" max="10244" width="11" style="48" customWidth="1"/>
    <col min="10245" max="10245" width="15.5" style="48" customWidth="1"/>
    <col min="10246" max="10246" width="11.19921875" style="48" customWidth="1"/>
    <col min="10247" max="10247" width="13.296875" style="48" customWidth="1"/>
    <col min="10248" max="10249" width="14" style="48" customWidth="1"/>
    <col min="10250" max="10250" width="13.296875" style="48" customWidth="1"/>
    <col min="10251" max="10251" width="12.296875" style="48" customWidth="1"/>
    <col min="10252" max="10252" width="14.296875" style="48" customWidth="1"/>
    <col min="10253" max="10253" width="15.19921875" style="48" customWidth="1"/>
    <col min="10254" max="10496" width="9.296875" style="48"/>
    <col min="10497" max="10497" width="5.796875" style="48" customWidth="1"/>
    <col min="10498" max="10498" width="22.296875" style="48" customWidth="1"/>
    <col min="10499" max="10499" width="13" style="48" customWidth="1"/>
    <col min="10500" max="10500" width="11" style="48" customWidth="1"/>
    <col min="10501" max="10501" width="15.5" style="48" customWidth="1"/>
    <col min="10502" max="10502" width="11.19921875" style="48" customWidth="1"/>
    <col min="10503" max="10503" width="13.296875" style="48" customWidth="1"/>
    <col min="10504" max="10505" width="14" style="48" customWidth="1"/>
    <col min="10506" max="10506" width="13.296875" style="48" customWidth="1"/>
    <col min="10507" max="10507" width="12.296875" style="48" customWidth="1"/>
    <col min="10508" max="10508" width="14.296875" style="48" customWidth="1"/>
    <col min="10509" max="10509" width="15.19921875" style="48" customWidth="1"/>
    <col min="10510" max="10752" width="9.296875" style="48"/>
    <col min="10753" max="10753" width="5.796875" style="48" customWidth="1"/>
    <col min="10754" max="10754" width="22.296875" style="48" customWidth="1"/>
    <col min="10755" max="10755" width="13" style="48" customWidth="1"/>
    <col min="10756" max="10756" width="11" style="48" customWidth="1"/>
    <col min="10757" max="10757" width="15.5" style="48" customWidth="1"/>
    <col min="10758" max="10758" width="11.19921875" style="48" customWidth="1"/>
    <col min="10759" max="10759" width="13.296875" style="48" customWidth="1"/>
    <col min="10760" max="10761" width="14" style="48" customWidth="1"/>
    <col min="10762" max="10762" width="13.296875" style="48" customWidth="1"/>
    <col min="10763" max="10763" width="12.296875" style="48" customWidth="1"/>
    <col min="10764" max="10764" width="14.296875" style="48" customWidth="1"/>
    <col min="10765" max="10765" width="15.19921875" style="48" customWidth="1"/>
    <col min="10766" max="11008" width="9.296875" style="48"/>
    <col min="11009" max="11009" width="5.796875" style="48" customWidth="1"/>
    <col min="11010" max="11010" width="22.296875" style="48" customWidth="1"/>
    <col min="11011" max="11011" width="13" style="48" customWidth="1"/>
    <col min="11012" max="11012" width="11" style="48" customWidth="1"/>
    <col min="11013" max="11013" width="15.5" style="48" customWidth="1"/>
    <col min="11014" max="11014" width="11.19921875" style="48" customWidth="1"/>
    <col min="11015" max="11015" width="13.296875" style="48" customWidth="1"/>
    <col min="11016" max="11017" width="14" style="48" customWidth="1"/>
    <col min="11018" max="11018" width="13.296875" style="48" customWidth="1"/>
    <col min="11019" max="11019" width="12.296875" style="48" customWidth="1"/>
    <col min="11020" max="11020" width="14.296875" style="48" customWidth="1"/>
    <col min="11021" max="11021" width="15.19921875" style="48" customWidth="1"/>
    <col min="11022" max="11264" width="9.296875" style="48"/>
    <col min="11265" max="11265" width="5.796875" style="48" customWidth="1"/>
    <col min="11266" max="11266" width="22.296875" style="48" customWidth="1"/>
    <col min="11267" max="11267" width="13" style="48" customWidth="1"/>
    <col min="11268" max="11268" width="11" style="48" customWidth="1"/>
    <col min="11269" max="11269" width="15.5" style="48" customWidth="1"/>
    <col min="11270" max="11270" width="11.19921875" style="48" customWidth="1"/>
    <col min="11271" max="11271" width="13.296875" style="48" customWidth="1"/>
    <col min="11272" max="11273" width="14" style="48" customWidth="1"/>
    <col min="11274" max="11274" width="13.296875" style="48" customWidth="1"/>
    <col min="11275" max="11275" width="12.296875" style="48" customWidth="1"/>
    <col min="11276" max="11276" width="14.296875" style="48" customWidth="1"/>
    <col min="11277" max="11277" width="15.19921875" style="48" customWidth="1"/>
    <col min="11278" max="11520" width="9.296875" style="48"/>
    <col min="11521" max="11521" width="5.796875" style="48" customWidth="1"/>
    <col min="11522" max="11522" width="22.296875" style="48" customWidth="1"/>
    <col min="11523" max="11523" width="13" style="48" customWidth="1"/>
    <col min="11524" max="11524" width="11" style="48" customWidth="1"/>
    <col min="11525" max="11525" width="15.5" style="48" customWidth="1"/>
    <col min="11526" max="11526" width="11.19921875" style="48" customWidth="1"/>
    <col min="11527" max="11527" width="13.296875" style="48" customWidth="1"/>
    <col min="11528" max="11529" width="14" style="48" customWidth="1"/>
    <col min="11530" max="11530" width="13.296875" style="48" customWidth="1"/>
    <col min="11531" max="11531" width="12.296875" style="48" customWidth="1"/>
    <col min="11532" max="11532" width="14.296875" style="48" customWidth="1"/>
    <col min="11533" max="11533" width="15.19921875" style="48" customWidth="1"/>
    <col min="11534" max="11776" width="9.296875" style="48"/>
    <col min="11777" max="11777" width="5.796875" style="48" customWidth="1"/>
    <col min="11778" max="11778" width="22.296875" style="48" customWidth="1"/>
    <col min="11779" max="11779" width="13" style="48" customWidth="1"/>
    <col min="11780" max="11780" width="11" style="48" customWidth="1"/>
    <col min="11781" max="11781" width="15.5" style="48" customWidth="1"/>
    <col min="11782" max="11782" width="11.19921875" style="48" customWidth="1"/>
    <col min="11783" max="11783" width="13.296875" style="48" customWidth="1"/>
    <col min="11784" max="11785" width="14" style="48" customWidth="1"/>
    <col min="11786" max="11786" width="13.296875" style="48" customWidth="1"/>
    <col min="11787" max="11787" width="12.296875" style="48" customWidth="1"/>
    <col min="11788" max="11788" width="14.296875" style="48" customWidth="1"/>
    <col min="11789" max="11789" width="15.19921875" style="48" customWidth="1"/>
    <col min="11790" max="12032" width="9.296875" style="48"/>
    <col min="12033" max="12033" width="5.796875" style="48" customWidth="1"/>
    <col min="12034" max="12034" width="22.296875" style="48" customWidth="1"/>
    <col min="12035" max="12035" width="13" style="48" customWidth="1"/>
    <col min="12036" max="12036" width="11" style="48" customWidth="1"/>
    <col min="12037" max="12037" width="15.5" style="48" customWidth="1"/>
    <col min="12038" max="12038" width="11.19921875" style="48" customWidth="1"/>
    <col min="12039" max="12039" width="13.296875" style="48" customWidth="1"/>
    <col min="12040" max="12041" width="14" style="48" customWidth="1"/>
    <col min="12042" max="12042" width="13.296875" style="48" customWidth="1"/>
    <col min="12043" max="12043" width="12.296875" style="48" customWidth="1"/>
    <col min="12044" max="12044" width="14.296875" style="48" customWidth="1"/>
    <col min="12045" max="12045" width="15.19921875" style="48" customWidth="1"/>
    <col min="12046" max="12288" width="9.296875" style="48"/>
    <col min="12289" max="12289" width="5.796875" style="48" customWidth="1"/>
    <col min="12290" max="12290" width="22.296875" style="48" customWidth="1"/>
    <col min="12291" max="12291" width="13" style="48" customWidth="1"/>
    <col min="12292" max="12292" width="11" style="48" customWidth="1"/>
    <col min="12293" max="12293" width="15.5" style="48" customWidth="1"/>
    <col min="12294" max="12294" width="11.19921875" style="48" customWidth="1"/>
    <col min="12295" max="12295" width="13.296875" style="48" customWidth="1"/>
    <col min="12296" max="12297" width="14" style="48" customWidth="1"/>
    <col min="12298" max="12298" width="13.296875" style="48" customWidth="1"/>
    <col min="12299" max="12299" width="12.296875" style="48" customWidth="1"/>
    <col min="12300" max="12300" width="14.296875" style="48" customWidth="1"/>
    <col min="12301" max="12301" width="15.19921875" style="48" customWidth="1"/>
    <col min="12302" max="12544" width="9.296875" style="48"/>
    <col min="12545" max="12545" width="5.796875" style="48" customWidth="1"/>
    <col min="12546" max="12546" width="22.296875" style="48" customWidth="1"/>
    <col min="12547" max="12547" width="13" style="48" customWidth="1"/>
    <col min="12548" max="12548" width="11" style="48" customWidth="1"/>
    <col min="12549" max="12549" width="15.5" style="48" customWidth="1"/>
    <col min="12550" max="12550" width="11.19921875" style="48" customWidth="1"/>
    <col min="12551" max="12551" width="13.296875" style="48" customWidth="1"/>
    <col min="12552" max="12553" width="14" style="48" customWidth="1"/>
    <col min="12554" max="12554" width="13.296875" style="48" customWidth="1"/>
    <col min="12555" max="12555" width="12.296875" style="48" customWidth="1"/>
    <col min="12556" max="12556" width="14.296875" style="48" customWidth="1"/>
    <col min="12557" max="12557" width="15.19921875" style="48" customWidth="1"/>
    <col min="12558" max="12800" width="9.296875" style="48"/>
    <col min="12801" max="12801" width="5.796875" style="48" customWidth="1"/>
    <col min="12802" max="12802" width="22.296875" style="48" customWidth="1"/>
    <col min="12803" max="12803" width="13" style="48" customWidth="1"/>
    <col min="12804" max="12804" width="11" style="48" customWidth="1"/>
    <col min="12805" max="12805" width="15.5" style="48" customWidth="1"/>
    <col min="12806" max="12806" width="11.19921875" style="48" customWidth="1"/>
    <col min="12807" max="12807" width="13.296875" style="48" customWidth="1"/>
    <col min="12808" max="12809" width="14" style="48" customWidth="1"/>
    <col min="12810" max="12810" width="13.296875" style="48" customWidth="1"/>
    <col min="12811" max="12811" width="12.296875" style="48" customWidth="1"/>
    <col min="12812" max="12812" width="14.296875" style="48" customWidth="1"/>
    <col min="12813" max="12813" width="15.19921875" style="48" customWidth="1"/>
    <col min="12814" max="13056" width="9.296875" style="48"/>
    <col min="13057" max="13057" width="5.796875" style="48" customWidth="1"/>
    <col min="13058" max="13058" width="22.296875" style="48" customWidth="1"/>
    <col min="13059" max="13059" width="13" style="48" customWidth="1"/>
    <col min="13060" max="13060" width="11" style="48" customWidth="1"/>
    <col min="13061" max="13061" width="15.5" style="48" customWidth="1"/>
    <col min="13062" max="13062" width="11.19921875" style="48" customWidth="1"/>
    <col min="13063" max="13063" width="13.296875" style="48" customWidth="1"/>
    <col min="13064" max="13065" width="14" style="48" customWidth="1"/>
    <col min="13066" max="13066" width="13.296875" style="48" customWidth="1"/>
    <col min="13067" max="13067" width="12.296875" style="48" customWidth="1"/>
    <col min="13068" max="13068" width="14.296875" style="48" customWidth="1"/>
    <col min="13069" max="13069" width="15.19921875" style="48" customWidth="1"/>
    <col min="13070" max="13312" width="9.296875" style="48"/>
    <col min="13313" max="13313" width="5.796875" style="48" customWidth="1"/>
    <col min="13314" max="13314" width="22.296875" style="48" customWidth="1"/>
    <col min="13315" max="13315" width="13" style="48" customWidth="1"/>
    <col min="13316" max="13316" width="11" style="48" customWidth="1"/>
    <col min="13317" max="13317" width="15.5" style="48" customWidth="1"/>
    <col min="13318" max="13318" width="11.19921875" style="48" customWidth="1"/>
    <col min="13319" max="13319" width="13.296875" style="48" customWidth="1"/>
    <col min="13320" max="13321" width="14" style="48" customWidth="1"/>
    <col min="13322" max="13322" width="13.296875" style="48" customWidth="1"/>
    <col min="13323" max="13323" width="12.296875" style="48" customWidth="1"/>
    <col min="13324" max="13324" width="14.296875" style="48" customWidth="1"/>
    <col min="13325" max="13325" width="15.19921875" style="48" customWidth="1"/>
    <col min="13326" max="13568" width="9.296875" style="48"/>
    <col min="13569" max="13569" width="5.796875" style="48" customWidth="1"/>
    <col min="13570" max="13570" width="22.296875" style="48" customWidth="1"/>
    <col min="13571" max="13571" width="13" style="48" customWidth="1"/>
    <col min="13572" max="13572" width="11" style="48" customWidth="1"/>
    <col min="13573" max="13573" width="15.5" style="48" customWidth="1"/>
    <col min="13574" max="13574" width="11.19921875" style="48" customWidth="1"/>
    <col min="13575" max="13575" width="13.296875" style="48" customWidth="1"/>
    <col min="13576" max="13577" width="14" style="48" customWidth="1"/>
    <col min="13578" max="13578" width="13.296875" style="48" customWidth="1"/>
    <col min="13579" max="13579" width="12.296875" style="48" customWidth="1"/>
    <col min="13580" max="13580" width="14.296875" style="48" customWidth="1"/>
    <col min="13581" max="13581" width="15.19921875" style="48" customWidth="1"/>
    <col min="13582" max="13824" width="9.296875" style="48"/>
    <col min="13825" max="13825" width="5.796875" style="48" customWidth="1"/>
    <col min="13826" max="13826" width="22.296875" style="48" customWidth="1"/>
    <col min="13827" max="13827" width="13" style="48" customWidth="1"/>
    <col min="13828" max="13828" width="11" style="48" customWidth="1"/>
    <col min="13829" max="13829" width="15.5" style="48" customWidth="1"/>
    <col min="13830" max="13830" width="11.19921875" style="48" customWidth="1"/>
    <col min="13831" max="13831" width="13.296875" style="48" customWidth="1"/>
    <col min="13832" max="13833" width="14" style="48" customWidth="1"/>
    <col min="13834" max="13834" width="13.296875" style="48" customWidth="1"/>
    <col min="13835" max="13835" width="12.296875" style="48" customWidth="1"/>
    <col min="13836" max="13836" width="14.296875" style="48" customWidth="1"/>
    <col min="13837" max="13837" width="15.19921875" style="48" customWidth="1"/>
    <col min="13838" max="14080" width="9.296875" style="48"/>
    <col min="14081" max="14081" width="5.796875" style="48" customWidth="1"/>
    <col min="14082" max="14082" width="22.296875" style="48" customWidth="1"/>
    <col min="14083" max="14083" width="13" style="48" customWidth="1"/>
    <col min="14084" max="14084" width="11" style="48" customWidth="1"/>
    <col min="14085" max="14085" width="15.5" style="48" customWidth="1"/>
    <col min="14086" max="14086" width="11.19921875" style="48" customWidth="1"/>
    <col min="14087" max="14087" width="13.296875" style="48" customWidth="1"/>
    <col min="14088" max="14089" width="14" style="48" customWidth="1"/>
    <col min="14090" max="14090" width="13.296875" style="48" customWidth="1"/>
    <col min="14091" max="14091" width="12.296875" style="48" customWidth="1"/>
    <col min="14092" max="14092" width="14.296875" style="48" customWidth="1"/>
    <col min="14093" max="14093" width="15.19921875" style="48" customWidth="1"/>
    <col min="14094" max="14336" width="9.296875" style="48"/>
    <col min="14337" max="14337" width="5.796875" style="48" customWidth="1"/>
    <col min="14338" max="14338" width="22.296875" style="48" customWidth="1"/>
    <col min="14339" max="14339" width="13" style="48" customWidth="1"/>
    <col min="14340" max="14340" width="11" style="48" customWidth="1"/>
    <col min="14341" max="14341" width="15.5" style="48" customWidth="1"/>
    <col min="14342" max="14342" width="11.19921875" style="48" customWidth="1"/>
    <col min="14343" max="14343" width="13.296875" style="48" customWidth="1"/>
    <col min="14344" max="14345" width="14" style="48" customWidth="1"/>
    <col min="14346" max="14346" width="13.296875" style="48" customWidth="1"/>
    <col min="14347" max="14347" width="12.296875" style="48" customWidth="1"/>
    <col min="14348" max="14348" width="14.296875" style="48" customWidth="1"/>
    <col min="14349" max="14349" width="15.19921875" style="48" customWidth="1"/>
    <col min="14350" max="14592" width="9.296875" style="48"/>
    <col min="14593" max="14593" width="5.796875" style="48" customWidth="1"/>
    <col min="14594" max="14594" width="22.296875" style="48" customWidth="1"/>
    <col min="14595" max="14595" width="13" style="48" customWidth="1"/>
    <col min="14596" max="14596" width="11" style="48" customWidth="1"/>
    <col min="14597" max="14597" width="15.5" style="48" customWidth="1"/>
    <col min="14598" max="14598" width="11.19921875" style="48" customWidth="1"/>
    <col min="14599" max="14599" width="13.296875" style="48" customWidth="1"/>
    <col min="14600" max="14601" width="14" style="48" customWidth="1"/>
    <col min="14602" max="14602" width="13.296875" style="48" customWidth="1"/>
    <col min="14603" max="14603" width="12.296875" style="48" customWidth="1"/>
    <col min="14604" max="14604" width="14.296875" style="48" customWidth="1"/>
    <col min="14605" max="14605" width="15.19921875" style="48" customWidth="1"/>
    <col min="14606" max="14848" width="9.296875" style="48"/>
    <col min="14849" max="14849" width="5.796875" style="48" customWidth="1"/>
    <col min="14850" max="14850" width="22.296875" style="48" customWidth="1"/>
    <col min="14851" max="14851" width="13" style="48" customWidth="1"/>
    <col min="14852" max="14852" width="11" style="48" customWidth="1"/>
    <col min="14853" max="14853" width="15.5" style="48" customWidth="1"/>
    <col min="14854" max="14854" width="11.19921875" style="48" customWidth="1"/>
    <col min="14855" max="14855" width="13.296875" style="48" customWidth="1"/>
    <col min="14856" max="14857" width="14" style="48" customWidth="1"/>
    <col min="14858" max="14858" width="13.296875" style="48" customWidth="1"/>
    <col min="14859" max="14859" width="12.296875" style="48" customWidth="1"/>
    <col min="14860" max="14860" width="14.296875" style="48" customWidth="1"/>
    <col min="14861" max="14861" width="15.19921875" style="48" customWidth="1"/>
    <col min="14862" max="15104" width="9.296875" style="48"/>
    <col min="15105" max="15105" width="5.796875" style="48" customWidth="1"/>
    <col min="15106" max="15106" width="22.296875" style="48" customWidth="1"/>
    <col min="15107" max="15107" width="13" style="48" customWidth="1"/>
    <col min="15108" max="15108" width="11" style="48" customWidth="1"/>
    <col min="15109" max="15109" width="15.5" style="48" customWidth="1"/>
    <col min="15110" max="15110" width="11.19921875" style="48" customWidth="1"/>
    <col min="15111" max="15111" width="13.296875" style="48" customWidth="1"/>
    <col min="15112" max="15113" width="14" style="48" customWidth="1"/>
    <col min="15114" max="15114" width="13.296875" style="48" customWidth="1"/>
    <col min="15115" max="15115" width="12.296875" style="48" customWidth="1"/>
    <col min="15116" max="15116" width="14.296875" style="48" customWidth="1"/>
    <col min="15117" max="15117" width="15.19921875" style="48" customWidth="1"/>
    <col min="15118" max="15360" width="9.296875" style="48"/>
    <col min="15361" max="15361" width="5.796875" style="48" customWidth="1"/>
    <col min="15362" max="15362" width="22.296875" style="48" customWidth="1"/>
    <col min="15363" max="15363" width="13" style="48" customWidth="1"/>
    <col min="15364" max="15364" width="11" style="48" customWidth="1"/>
    <col min="15365" max="15365" width="15.5" style="48" customWidth="1"/>
    <col min="15366" max="15366" width="11.19921875" style="48" customWidth="1"/>
    <col min="15367" max="15367" width="13.296875" style="48" customWidth="1"/>
    <col min="15368" max="15369" width="14" style="48" customWidth="1"/>
    <col min="15370" max="15370" width="13.296875" style="48" customWidth="1"/>
    <col min="15371" max="15371" width="12.296875" style="48" customWidth="1"/>
    <col min="15372" max="15372" width="14.296875" style="48" customWidth="1"/>
    <col min="15373" max="15373" width="15.19921875" style="48" customWidth="1"/>
    <col min="15374" max="15616" width="9.296875" style="48"/>
    <col min="15617" max="15617" width="5.796875" style="48" customWidth="1"/>
    <col min="15618" max="15618" width="22.296875" style="48" customWidth="1"/>
    <col min="15619" max="15619" width="13" style="48" customWidth="1"/>
    <col min="15620" max="15620" width="11" style="48" customWidth="1"/>
    <col min="15621" max="15621" width="15.5" style="48" customWidth="1"/>
    <col min="15622" max="15622" width="11.19921875" style="48" customWidth="1"/>
    <col min="15623" max="15623" width="13.296875" style="48" customWidth="1"/>
    <col min="15624" max="15625" width="14" style="48" customWidth="1"/>
    <col min="15626" max="15626" width="13.296875" style="48" customWidth="1"/>
    <col min="15627" max="15627" width="12.296875" style="48" customWidth="1"/>
    <col min="15628" max="15628" width="14.296875" style="48" customWidth="1"/>
    <col min="15629" max="15629" width="15.19921875" style="48" customWidth="1"/>
    <col min="15630" max="15872" width="9.296875" style="48"/>
    <col min="15873" max="15873" width="5.796875" style="48" customWidth="1"/>
    <col min="15874" max="15874" width="22.296875" style="48" customWidth="1"/>
    <col min="15875" max="15875" width="13" style="48" customWidth="1"/>
    <col min="15876" max="15876" width="11" style="48" customWidth="1"/>
    <col min="15877" max="15877" width="15.5" style="48" customWidth="1"/>
    <col min="15878" max="15878" width="11.19921875" style="48" customWidth="1"/>
    <col min="15879" max="15879" width="13.296875" style="48" customWidth="1"/>
    <col min="15880" max="15881" width="14" style="48" customWidth="1"/>
    <col min="15882" max="15882" width="13.296875" style="48" customWidth="1"/>
    <col min="15883" max="15883" width="12.296875" style="48" customWidth="1"/>
    <col min="15884" max="15884" width="14.296875" style="48" customWidth="1"/>
    <col min="15885" max="15885" width="15.19921875" style="48" customWidth="1"/>
    <col min="15886" max="16128" width="9.296875" style="48"/>
    <col min="16129" max="16129" width="5.796875" style="48" customWidth="1"/>
    <col min="16130" max="16130" width="22.296875" style="48" customWidth="1"/>
    <col min="16131" max="16131" width="13" style="48" customWidth="1"/>
    <col min="16132" max="16132" width="11" style="48" customWidth="1"/>
    <col min="16133" max="16133" width="15.5" style="48" customWidth="1"/>
    <col min="16134" max="16134" width="11.19921875" style="48" customWidth="1"/>
    <col min="16135" max="16135" width="13.296875" style="48" customWidth="1"/>
    <col min="16136" max="16137" width="14" style="48" customWidth="1"/>
    <col min="16138" max="16138" width="13.296875" style="48" customWidth="1"/>
    <col min="16139" max="16139" width="12.296875" style="48" customWidth="1"/>
    <col min="16140" max="16140" width="14.296875" style="48" customWidth="1"/>
    <col min="16141" max="16141" width="15.19921875" style="48" customWidth="1"/>
    <col min="16142" max="16384" width="9.296875" style="48"/>
  </cols>
  <sheetData>
    <row r="1" spans="1:13" ht="33" customHeight="1" x14ac:dyDescent="0.3">
      <c r="A1" s="1072" t="s">
        <v>519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  <c r="M1" s="1073"/>
    </row>
    <row r="2" spans="1:13" ht="14" x14ac:dyDescent="0.3">
      <c r="A2" s="49"/>
      <c r="B2" s="50"/>
      <c r="C2" s="50"/>
      <c r="D2" s="51"/>
      <c r="E2" s="52"/>
      <c r="F2" s="52"/>
      <c r="G2" s="53"/>
      <c r="H2" s="53"/>
      <c r="I2" s="52"/>
    </row>
    <row r="3" spans="1:13" ht="14" x14ac:dyDescent="0.3">
      <c r="A3" s="49"/>
      <c r="B3" s="54"/>
      <c r="C3" s="54"/>
      <c r="D3" s="55"/>
      <c r="E3" s="51"/>
      <c r="F3" s="51"/>
      <c r="G3" s="51"/>
      <c r="H3" s="51"/>
      <c r="I3" s="51"/>
      <c r="K3" s="1074" t="s">
        <v>420</v>
      </c>
      <c r="L3" s="1074"/>
      <c r="M3" s="1074"/>
    </row>
    <row r="4" spans="1:13" s="56" customFormat="1" ht="75.75" customHeight="1" x14ac:dyDescent="0.3">
      <c r="A4" s="390" t="s">
        <v>404</v>
      </c>
      <c r="B4" s="390" t="s">
        <v>449</v>
      </c>
      <c r="C4" s="390" t="s">
        <v>450</v>
      </c>
      <c r="D4" s="390" t="s">
        <v>460</v>
      </c>
      <c r="E4" s="390" t="s">
        <v>206</v>
      </c>
      <c r="F4" s="390" t="s">
        <v>461</v>
      </c>
      <c r="G4" s="391" t="s">
        <v>210</v>
      </c>
      <c r="H4" s="391" t="s">
        <v>462</v>
      </c>
      <c r="I4" s="391" t="s">
        <v>231</v>
      </c>
      <c r="J4" s="392" t="s">
        <v>233</v>
      </c>
      <c r="K4" s="206" t="s">
        <v>235</v>
      </c>
      <c r="L4" s="392" t="s">
        <v>463</v>
      </c>
      <c r="M4" s="206" t="s">
        <v>464</v>
      </c>
    </row>
    <row r="5" spans="1:13" ht="65.25" customHeight="1" x14ac:dyDescent="0.3">
      <c r="A5" s="393" t="s">
        <v>10</v>
      </c>
      <c r="B5" s="394" t="s">
        <v>456</v>
      </c>
      <c r="C5" s="395" t="s">
        <v>457</v>
      </c>
      <c r="D5" s="409">
        <v>165241715</v>
      </c>
      <c r="E5" s="410">
        <v>38887585</v>
      </c>
      <c r="F5" s="410">
        <v>49162000</v>
      </c>
      <c r="G5" s="411"/>
      <c r="H5" s="411"/>
      <c r="I5" s="410">
        <v>3429000</v>
      </c>
      <c r="J5" s="435"/>
      <c r="K5" s="435"/>
      <c r="L5" s="435"/>
      <c r="M5" s="436">
        <f>SUM(D5:L5)</f>
        <v>256720300</v>
      </c>
    </row>
    <row r="6" spans="1:13" s="57" customFormat="1" ht="65.25" customHeight="1" x14ac:dyDescent="0.35">
      <c r="A6" s="390" t="s">
        <v>13</v>
      </c>
      <c r="B6" s="400" t="s">
        <v>796</v>
      </c>
      <c r="C6" s="401"/>
      <c r="D6" s="412">
        <v>172420749</v>
      </c>
      <c r="E6" s="412">
        <v>39255525</v>
      </c>
      <c r="F6" s="412">
        <v>47728310</v>
      </c>
      <c r="G6" s="412">
        <v>0</v>
      </c>
      <c r="H6" s="412">
        <f t="shared" ref="H6:L6" si="0">H7-H5</f>
        <v>0</v>
      </c>
      <c r="I6" s="412">
        <v>3395181</v>
      </c>
      <c r="J6" s="412">
        <f t="shared" si="0"/>
        <v>0</v>
      </c>
      <c r="K6" s="412">
        <f t="shared" si="0"/>
        <v>0</v>
      </c>
      <c r="L6" s="412">
        <f t="shared" si="0"/>
        <v>0</v>
      </c>
      <c r="M6" s="438">
        <f t="shared" ref="M6:M7" si="1">SUM(D6:L6)</f>
        <v>262799765</v>
      </c>
    </row>
    <row r="7" spans="1:13" s="57" customFormat="1" ht="65.25" customHeight="1" x14ac:dyDescent="0.35">
      <c r="A7" s="390" t="s">
        <v>16</v>
      </c>
      <c r="B7" s="400" t="s">
        <v>823</v>
      </c>
      <c r="C7" s="401"/>
      <c r="D7" s="412">
        <v>171433911</v>
      </c>
      <c r="E7" s="413">
        <v>38344848</v>
      </c>
      <c r="F7" s="413">
        <v>40894697</v>
      </c>
      <c r="G7" s="414">
        <v>0</v>
      </c>
      <c r="H7" s="414"/>
      <c r="I7" s="413">
        <v>2113328</v>
      </c>
      <c r="J7" s="437"/>
      <c r="K7" s="437"/>
      <c r="L7" s="437"/>
      <c r="M7" s="438">
        <f t="shared" si="1"/>
        <v>252786784</v>
      </c>
    </row>
    <row r="8" spans="1:13" ht="33.75" customHeight="1" x14ac:dyDescent="0.3">
      <c r="A8" s="393" t="s">
        <v>19</v>
      </c>
      <c r="B8" s="394" t="s">
        <v>750</v>
      </c>
      <c r="C8" s="395" t="s">
        <v>749</v>
      </c>
      <c r="D8" s="409">
        <v>8909833</v>
      </c>
      <c r="E8" s="410">
        <v>2335439</v>
      </c>
      <c r="F8" s="410">
        <v>2280000</v>
      </c>
      <c r="G8" s="411"/>
      <c r="H8" s="411"/>
      <c r="I8" s="410"/>
      <c r="J8" s="435"/>
      <c r="K8" s="435"/>
      <c r="L8" s="435"/>
      <c r="M8" s="436">
        <f t="shared" ref="M8:M16" si="2">SUM(D8:L8)</f>
        <v>13525272</v>
      </c>
    </row>
    <row r="9" spans="1:13" s="57" customFormat="1" ht="65.25" customHeight="1" x14ac:dyDescent="0.35">
      <c r="A9" s="390" t="s">
        <v>22</v>
      </c>
      <c r="B9" s="400" t="s">
        <v>796</v>
      </c>
      <c r="C9" s="401"/>
      <c r="D9" s="412">
        <v>8907702</v>
      </c>
      <c r="E9" s="412">
        <v>2397105</v>
      </c>
      <c r="F9" s="412">
        <v>1365987</v>
      </c>
      <c r="G9" s="412">
        <v>0</v>
      </c>
      <c r="H9" s="412">
        <f t="shared" ref="H9:L9" si="3">H10-H8</f>
        <v>0</v>
      </c>
      <c r="I9" s="412">
        <f t="shared" si="3"/>
        <v>0</v>
      </c>
      <c r="J9" s="412">
        <f t="shared" si="3"/>
        <v>0</v>
      </c>
      <c r="K9" s="412">
        <f t="shared" si="3"/>
        <v>0</v>
      </c>
      <c r="L9" s="412">
        <f t="shared" si="3"/>
        <v>0</v>
      </c>
      <c r="M9" s="438">
        <f t="shared" si="2"/>
        <v>12670794</v>
      </c>
    </row>
    <row r="10" spans="1:13" s="57" customFormat="1" ht="65.25" customHeight="1" x14ac:dyDescent="0.35">
      <c r="A10" s="390" t="s">
        <v>25</v>
      </c>
      <c r="B10" s="400" t="s">
        <v>823</v>
      </c>
      <c r="C10" s="401"/>
      <c r="D10" s="412">
        <v>8883664</v>
      </c>
      <c r="E10" s="413">
        <v>2003448</v>
      </c>
      <c r="F10" s="413">
        <v>1016829</v>
      </c>
      <c r="G10" s="414">
        <v>0</v>
      </c>
      <c r="H10" s="414"/>
      <c r="I10" s="413"/>
      <c r="J10" s="437"/>
      <c r="K10" s="437"/>
      <c r="L10" s="437"/>
      <c r="M10" s="438">
        <f t="shared" si="2"/>
        <v>11903941</v>
      </c>
    </row>
    <row r="11" spans="1:13" ht="31.5" customHeight="1" x14ac:dyDescent="0.3">
      <c r="A11" s="393" t="s">
        <v>37</v>
      </c>
      <c r="B11" s="394" t="s">
        <v>753</v>
      </c>
      <c r="C11" s="395" t="s">
        <v>751</v>
      </c>
      <c r="D11" s="409">
        <v>5883261</v>
      </c>
      <c r="E11" s="410">
        <v>1510522</v>
      </c>
      <c r="F11" s="410">
        <v>1020000</v>
      </c>
      <c r="G11" s="411"/>
      <c r="H11" s="411"/>
      <c r="I11" s="410">
        <v>635000</v>
      </c>
      <c r="J11" s="435"/>
      <c r="K11" s="435"/>
      <c r="L11" s="435"/>
      <c r="M11" s="436">
        <f t="shared" si="2"/>
        <v>9048783</v>
      </c>
    </row>
    <row r="12" spans="1:13" s="57" customFormat="1" ht="65.25" customHeight="1" x14ac:dyDescent="0.35">
      <c r="A12" s="390" t="s">
        <v>39</v>
      </c>
      <c r="B12" s="400" t="s">
        <v>796</v>
      </c>
      <c r="C12" s="401"/>
      <c r="D12" s="412">
        <v>6079952</v>
      </c>
      <c r="E12" s="412">
        <v>1548802</v>
      </c>
      <c r="F12" s="412">
        <v>1096064</v>
      </c>
      <c r="G12" s="412">
        <v>0</v>
      </c>
      <c r="H12" s="412">
        <f t="shared" ref="H12:L12" si="4">H13-H11</f>
        <v>0</v>
      </c>
      <c r="I12" s="412">
        <v>561633</v>
      </c>
      <c r="J12" s="412">
        <f t="shared" si="4"/>
        <v>0</v>
      </c>
      <c r="K12" s="412">
        <f t="shared" si="4"/>
        <v>0</v>
      </c>
      <c r="L12" s="412">
        <f t="shared" si="4"/>
        <v>0</v>
      </c>
      <c r="M12" s="438">
        <f t="shared" si="2"/>
        <v>9286451</v>
      </c>
    </row>
    <row r="13" spans="1:13" s="57" customFormat="1" ht="65.25" customHeight="1" x14ac:dyDescent="0.35">
      <c r="A13" s="390" t="s">
        <v>41</v>
      </c>
      <c r="B13" s="400" t="s">
        <v>823</v>
      </c>
      <c r="C13" s="401"/>
      <c r="D13" s="412">
        <v>5965360</v>
      </c>
      <c r="E13" s="413">
        <v>1501625</v>
      </c>
      <c r="F13" s="413">
        <v>858159</v>
      </c>
      <c r="G13" s="414">
        <v>0</v>
      </c>
      <c r="H13" s="414"/>
      <c r="I13" s="413">
        <v>300000</v>
      </c>
      <c r="J13" s="437"/>
      <c r="K13" s="437"/>
      <c r="L13" s="437"/>
      <c r="M13" s="438">
        <f t="shared" si="2"/>
        <v>8625144</v>
      </c>
    </row>
    <row r="14" spans="1:13" ht="43.5" customHeight="1" x14ac:dyDescent="0.3">
      <c r="A14" s="393" t="s">
        <v>43</v>
      </c>
      <c r="B14" s="394" t="s">
        <v>754</v>
      </c>
      <c r="C14" s="395" t="s">
        <v>752</v>
      </c>
      <c r="D14" s="409"/>
      <c r="E14" s="410"/>
      <c r="F14" s="410"/>
      <c r="G14" s="411">
        <v>677160</v>
      </c>
      <c r="H14" s="411"/>
      <c r="I14" s="410"/>
      <c r="J14" s="435"/>
      <c r="K14" s="435"/>
      <c r="L14" s="399"/>
      <c r="M14" s="436">
        <f t="shared" si="2"/>
        <v>677160</v>
      </c>
    </row>
    <row r="15" spans="1:13" s="57" customFormat="1" ht="65.25" customHeight="1" x14ac:dyDescent="0.35">
      <c r="A15" s="390" t="s">
        <v>45</v>
      </c>
      <c r="B15" s="400" t="s">
        <v>796</v>
      </c>
      <c r="C15" s="401"/>
      <c r="D15" s="412"/>
      <c r="E15" s="413"/>
      <c r="F15" s="413"/>
      <c r="G15" s="414">
        <v>13118860</v>
      </c>
      <c r="H15" s="414"/>
      <c r="I15" s="413"/>
      <c r="J15" s="437"/>
      <c r="K15" s="437"/>
      <c r="L15" s="437"/>
      <c r="M15" s="438">
        <f t="shared" si="2"/>
        <v>13118860</v>
      </c>
    </row>
    <row r="16" spans="1:13" s="57" customFormat="1" ht="65.25" customHeight="1" x14ac:dyDescent="0.35">
      <c r="A16" s="390" t="s">
        <v>47</v>
      </c>
      <c r="B16" s="400" t="s">
        <v>823</v>
      </c>
      <c r="C16" s="401"/>
      <c r="D16" s="412"/>
      <c r="E16" s="413"/>
      <c r="F16" s="413"/>
      <c r="G16" s="414">
        <v>13118860</v>
      </c>
      <c r="H16" s="414"/>
      <c r="I16" s="413"/>
      <c r="J16" s="437"/>
      <c r="K16" s="437"/>
      <c r="L16" s="437"/>
      <c r="M16" s="438">
        <f t="shared" si="2"/>
        <v>13118860</v>
      </c>
    </row>
    <row r="17" spans="1:13" s="57" customFormat="1" ht="33" customHeight="1" x14ac:dyDescent="0.35">
      <c r="A17" s="393" t="s">
        <v>49</v>
      </c>
      <c r="B17" s="406" t="s">
        <v>830</v>
      </c>
      <c r="C17" s="407"/>
      <c r="D17" s="412">
        <f>D16+D13+D10+D7</f>
        <v>186282935</v>
      </c>
      <c r="E17" s="412">
        <f t="shared" ref="E17:M17" si="5">E16+E13+E10+E7</f>
        <v>41849921</v>
      </c>
      <c r="F17" s="412">
        <f t="shared" si="5"/>
        <v>42769685</v>
      </c>
      <c r="G17" s="412">
        <f t="shared" si="5"/>
        <v>13118860</v>
      </c>
      <c r="H17" s="412">
        <f t="shared" si="5"/>
        <v>0</v>
      </c>
      <c r="I17" s="412">
        <f t="shared" si="5"/>
        <v>2413328</v>
      </c>
      <c r="J17" s="412">
        <f t="shared" si="5"/>
        <v>0</v>
      </c>
      <c r="K17" s="412">
        <f t="shared" si="5"/>
        <v>0</v>
      </c>
      <c r="L17" s="412">
        <f t="shared" si="5"/>
        <v>0</v>
      </c>
      <c r="M17" s="412">
        <f t="shared" si="5"/>
        <v>286434729</v>
      </c>
    </row>
    <row r="18" spans="1:13" s="555" customFormat="1" ht="21" customHeight="1" x14ac:dyDescent="0.3">
      <c r="A18" s="390" t="s">
        <v>51</v>
      </c>
      <c r="B18" s="556" t="s">
        <v>831</v>
      </c>
      <c r="C18" s="556"/>
      <c r="D18" s="557">
        <f>D6+D9+D12+D15</f>
        <v>187408403</v>
      </c>
      <c r="E18" s="557">
        <f t="shared" ref="E18:M18" si="6">E6+E9+E12+E15</f>
        <v>43201432</v>
      </c>
      <c r="F18" s="557">
        <f t="shared" si="6"/>
        <v>50190361</v>
      </c>
      <c r="G18" s="557">
        <f t="shared" si="6"/>
        <v>13118860</v>
      </c>
      <c r="H18" s="557">
        <f t="shared" si="6"/>
        <v>0</v>
      </c>
      <c r="I18" s="414">
        <f t="shared" si="6"/>
        <v>3956814</v>
      </c>
      <c r="J18" s="414">
        <f t="shared" si="6"/>
        <v>0</v>
      </c>
      <c r="K18" s="414">
        <f t="shared" si="6"/>
        <v>0</v>
      </c>
      <c r="L18" s="414">
        <f t="shared" si="6"/>
        <v>0</v>
      </c>
      <c r="M18" s="414">
        <f t="shared" si="6"/>
        <v>297875870</v>
      </c>
    </row>
    <row r="19" spans="1:13" ht="42" customHeight="1" x14ac:dyDescent="0.3">
      <c r="A19" s="58"/>
      <c r="B19" s="61"/>
      <c r="C19" s="62"/>
      <c r="D19" s="63"/>
      <c r="E19" s="60"/>
      <c r="F19" s="60"/>
      <c r="G19" s="59"/>
      <c r="H19" s="59"/>
      <c r="I19" s="59"/>
    </row>
    <row r="20" spans="1:13" ht="42" customHeight="1" x14ac:dyDescent="0.3">
      <c r="A20" s="64"/>
      <c r="B20" s="65"/>
      <c r="C20" s="66"/>
      <c r="D20" s="67"/>
      <c r="E20" s="52"/>
      <c r="F20" s="52"/>
      <c r="G20" s="53"/>
      <c r="H20" s="53"/>
      <c r="I20" s="53"/>
    </row>
    <row r="21" spans="1:13" ht="14" x14ac:dyDescent="0.3">
      <c r="A21" s="49"/>
      <c r="B21" s="50"/>
      <c r="C21" s="50"/>
      <c r="D21" s="51"/>
      <c r="E21" s="51"/>
      <c r="F21" s="51"/>
      <c r="G21" s="51"/>
      <c r="H21" s="51"/>
      <c r="I21" s="51"/>
    </row>
    <row r="22" spans="1:13" s="69" customFormat="1" ht="14" x14ac:dyDescent="0.3">
      <c r="A22" s="49"/>
      <c r="B22" s="50"/>
      <c r="C22" s="50"/>
      <c r="D22" s="51"/>
      <c r="E22" s="52"/>
      <c r="F22" s="68"/>
      <c r="G22" s="68"/>
      <c r="H22" s="68"/>
      <c r="I22" s="68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4" orientation="landscape" r:id="rId1"/>
  <headerFooter>
    <oddHeader>&amp;R &amp;"Times New Roman CE,Félkövér dőlt"&amp;11 10.2.  melléklet a 7/2018. (V.31.)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Layout" zoomScaleNormal="100" workbookViewId="0">
      <selection sqref="A1:J1"/>
    </sheetView>
  </sheetViews>
  <sheetFormatPr defaultRowHeight="13" x14ac:dyDescent="0.3"/>
  <cols>
    <col min="1" max="1" width="6.796875" style="101" customWidth="1"/>
    <col min="2" max="2" width="66.796875" style="102" customWidth="1"/>
    <col min="3" max="3" width="8.19921875" style="102" customWidth="1"/>
    <col min="4" max="6" width="13.796875" style="79" customWidth="1"/>
    <col min="7" max="9" width="13.796875" style="257" customWidth="1"/>
    <col min="10" max="10" width="13.796875" style="580" customWidth="1"/>
    <col min="11" max="11" width="9.296875" style="79"/>
    <col min="12" max="12" width="10.5" style="79" bestFit="1" customWidth="1"/>
    <col min="13" max="256" width="9.296875" style="79"/>
    <col min="257" max="257" width="6.796875" style="79" customWidth="1"/>
    <col min="258" max="258" width="60.19921875" style="79" customWidth="1"/>
    <col min="259" max="259" width="8.19921875" style="79" customWidth="1"/>
    <col min="260" max="262" width="14.5" style="79" customWidth="1"/>
    <col min="263" max="512" width="9.296875" style="79"/>
    <col min="513" max="513" width="6.796875" style="79" customWidth="1"/>
    <col min="514" max="514" width="60.19921875" style="79" customWidth="1"/>
    <col min="515" max="515" width="8.19921875" style="79" customWidth="1"/>
    <col min="516" max="518" width="14.5" style="79" customWidth="1"/>
    <col min="519" max="768" width="9.296875" style="79"/>
    <col min="769" max="769" width="6.796875" style="79" customWidth="1"/>
    <col min="770" max="770" width="60.19921875" style="79" customWidth="1"/>
    <col min="771" max="771" width="8.19921875" style="79" customWidth="1"/>
    <col min="772" max="774" width="14.5" style="79" customWidth="1"/>
    <col min="775" max="1024" width="9.296875" style="79"/>
    <col min="1025" max="1025" width="6.796875" style="79" customWidth="1"/>
    <col min="1026" max="1026" width="60.19921875" style="79" customWidth="1"/>
    <col min="1027" max="1027" width="8.19921875" style="79" customWidth="1"/>
    <col min="1028" max="1030" width="14.5" style="79" customWidth="1"/>
    <col min="1031" max="1280" width="9.296875" style="79"/>
    <col min="1281" max="1281" width="6.796875" style="79" customWidth="1"/>
    <col min="1282" max="1282" width="60.19921875" style="79" customWidth="1"/>
    <col min="1283" max="1283" width="8.19921875" style="79" customWidth="1"/>
    <col min="1284" max="1286" width="14.5" style="79" customWidth="1"/>
    <col min="1287" max="1536" width="9.296875" style="79"/>
    <col min="1537" max="1537" width="6.796875" style="79" customWidth="1"/>
    <col min="1538" max="1538" width="60.19921875" style="79" customWidth="1"/>
    <col min="1539" max="1539" width="8.19921875" style="79" customWidth="1"/>
    <col min="1540" max="1542" width="14.5" style="79" customWidth="1"/>
    <col min="1543" max="1792" width="9.296875" style="79"/>
    <col min="1793" max="1793" width="6.796875" style="79" customWidth="1"/>
    <col min="1794" max="1794" width="60.19921875" style="79" customWidth="1"/>
    <col min="1795" max="1795" width="8.19921875" style="79" customWidth="1"/>
    <col min="1796" max="1798" width="14.5" style="79" customWidth="1"/>
    <col min="1799" max="2048" width="9.296875" style="79"/>
    <col min="2049" max="2049" width="6.796875" style="79" customWidth="1"/>
    <col min="2050" max="2050" width="60.19921875" style="79" customWidth="1"/>
    <col min="2051" max="2051" width="8.19921875" style="79" customWidth="1"/>
    <col min="2052" max="2054" width="14.5" style="79" customWidth="1"/>
    <col min="2055" max="2304" width="9.296875" style="79"/>
    <col min="2305" max="2305" width="6.796875" style="79" customWidth="1"/>
    <col min="2306" max="2306" width="60.19921875" style="79" customWidth="1"/>
    <col min="2307" max="2307" width="8.19921875" style="79" customWidth="1"/>
    <col min="2308" max="2310" width="14.5" style="79" customWidth="1"/>
    <col min="2311" max="2560" width="9.296875" style="79"/>
    <col min="2561" max="2561" width="6.796875" style="79" customWidth="1"/>
    <col min="2562" max="2562" width="60.19921875" style="79" customWidth="1"/>
    <col min="2563" max="2563" width="8.19921875" style="79" customWidth="1"/>
    <col min="2564" max="2566" width="14.5" style="79" customWidth="1"/>
    <col min="2567" max="2816" width="9.296875" style="79"/>
    <col min="2817" max="2817" width="6.796875" style="79" customWidth="1"/>
    <col min="2818" max="2818" width="60.19921875" style="79" customWidth="1"/>
    <col min="2819" max="2819" width="8.19921875" style="79" customWidth="1"/>
    <col min="2820" max="2822" width="14.5" style="79" customWidth="1"/>
    <col min="2823" max="3072" width="9.296875" style="79"/>
    <col min="3073" max="3073" width="6.796875" style="79" customWidth="1"/>
    <col min="3074" max="3074" width="60.19921875" style="79" customWidth="1"/>
    <col min="3075" max="3075" width="8.19921875" style="79" customWidth="1"/>
    <col min="3076" max="3078" width="14.5" style="79" customWidth="1"/>
    <col min="3079" max="3328" width="9.296875" style="79"/>
    <col min="3329" max="3329" width="6.796875" style="79" customWidth="1"/>
    <col min="3330" max="3330" width="60.19921875" style="79" customWidth="1"/>
    <col min="3331" max="3331" width="8.19921875" style="79" customWidth="1"/>
    <col min="3332" max="3334" width="14.5" style="79" customWidth="1"/>
    <col min="3335" max="3584" width="9.296875" style="79"/>
    <col min="3585" max="3585" width="6.796875" style="79" customWidth="1"/>
    <col min="3586" max="3586" width="60.19921875" style="79" customWidth="1"/>
    <col min="3587" max="3587" width="8.19921875" style="79" customWidth="1"/>
    <col min="3588" max="3590" width="14.5" style="79" customWidth="1"/>
    <col min="3591" max="3840" width="9.296875" style="79"/>
    <col min="3841" max="3841" width="6.796875" style="79" customWidth="1"/>
    <col min="3842" max="3842" width="60.19921875" style="79" customWidth="1"/>
    <col min="3843" max="3843" width="8.19921875" style="79" customWidth="1"/>
    <col min="3844" max="3846" width="14.5" style="79" customWidth="1"/>
    <col min="3847" max="4096" width="9.296875" style="79"/>
    <col min="4097" max="4097" width="6.796875" style="79" customWidth="1"/>
    <col min="4098" max="4098" width="60.19921875" style="79" customWidth="1"/>
    <col min="4099" max="4099" width="8.19921875" style="79" customWidth="1"/>
    <col min="4100" max="4102" width="14.5" style="79" customWidth="1"/>
    <col min="4103" max="4352" width="9.296875" style="79"/>
    <col min="4353" max="4353" width="6.796875" style="79" customWidth="1"/>
    <col min="4354" max="4354" width="60.19921875" style="79" customWidth="1"/>
    <col min="4355" max="4355" width="8.19921875" style="79" customWidth="1"/>
    <col min="4356" max="4358" width="14.5" style="79" customWidth="1"/>
    <col min="4359" max="4608" width="9.296875" style="79"/>
    <col min="4609" max="4609" width="6.796875" style="79" customWidth="1"/>
    <col min="4610" max="4610" width="60.19921875" style="79" customWidth="1"/>
    <col min="4611" max="4611" width="8.19921875" style="79" customWidth="1"/>
    <col min="4612" max="4614" width="14.5" style="79" customWidth="1"/>
    <col min="4615" max="4864" width="9.296875" style="79"/>
    <col min="4865" max="4865" width="6.796875" style="79" customWidth="1"/>
    <col min="4866" max="4866" width="60.19921875" style="79" customWidth="1"/>
    <col min="4867" max="4867" width="8.19921875" style="79" customWidth="1"/>
    <col min="4868" max="4870" width="14.5" style="79" customWidth="1"/>
    <col min="4871" max="5120" width="9.296875" style="79"/>
    <col min="5121" max="5121" width="6.796875" style="79" customWidth="1"/>
    <col min="5122" max="5122" width="60.19921875" style="79" customWidth="1"/>
    <col min="5123" max="5123" width="8.19921875" style="79" customWidth="1"/>
    <col min="5124" max="5126" width="14.5" style="79" customWidth="1"/>
    <col min="5127" max="5376" width="9.296875" style="79"/>
    <col min="5377" max="5377" width="6.796875" style="79" customWidth="1"/>
    <col min="5378" max="5378" width="60.19921875" style="79" customWidth="1"/>
    <col min="5379" max="5379" width="8.19921875" style="79" customWidth="1"/>
    <col min="5380" max="5382" width="14.5" style="79" customWidth="1"/>
    <col min="5383" max="5632" width="9.296875" style="79"/>
    <col min="5633" max="5633" width="6.796875" style="79" customWidth="1"/>
    <col min="5634" max="5634" width="60.19921875" style="79" customWidth="1"/>
    <col min="5635" max="5635" width="8.19921875" style="79" customWidth="1"/>
    <col min="5636" max="5638" width="14.5" style="79" customWidth="1"/>
    <col min="5639" max="5888" width="9.296875" style="79"/>
    <col min="5889" max="5889" width="6.796875" style="79" customWidth="1"/>
    <col min="5890" max="5890" width="60.19921875" style="79" customWidth="1"/>
    <col min="5891" max="5891" width="8.19921875" style="79" customWidth="1"/>
    <col min="5892" max="5894" width="14.5" style="79" customWidth="1"/>
    <col min="5895" max="6144" width="9.296875" style="79"/>
    <col min="6145" max="6145" width="6.796875" style="79" customWidth="1"/>
    <col min="6146" max="6146" width="60.19921875" style="79" customWidth="1"/>
    <col min="6147" max="6147" width="8.19921875" style="79" customWidth="1"/>
    <col min="6148" max="6150" width="14.5" style="79" customWidth="1"/>
    <col min="6151" max="6400" width="9.296875" style="79"/>
    <col min="6401" max="6401" width="6.796875" style="79" customWidth="1"/>
    <col min="6402" max="6402" width="60.19921875" style="79" customWidth="1"/>
    <col min="6403" max="6403" width="8.19921875" style="79" customWidth="1"/>
    <col min="6404" max="6406" width="14.5" style="79" customWidth="1"/>
    <col min="6407" max="6656" width="9.296875" style="79"/>
    <col min="6657" max="6657" width="6.796875" style="79" customWidth="1"/>
    <col min="6658" max="6658" width="60.19921875" style="79" customWidth="1"/>
    <col min="6659" max="6659" width="8.19921875" style="79" customWidth="1"/>
    <col min="6660" max="6662" width="14.5" style="79" customWidth="1"/>
    <col min="6663" max="6912" width="9.296875" style="79"/>
    <col min="6913" max="6913" width="6.796875" style="79" customWidth="1"/>
    <col min="6914" max="6914" width="60.19921875" style="79" customWidth="1"/>
    <col min="6915" max="6915" width="8.19921875" style="79" customWidth="1"/>
    <col min="6916" max="6918" width="14.5" style="79" customWidth="1"/>
    <col min="6919" max="7168" width="9.296875" style="79"/>
    <col min="7169" max="7169" width="6.796875" style="79" customWidth="1"/>
    <col min="7170" max="7170" width="60.19921875" style="79" customWidth="1"/>
    <col min="7171" max="7171" width="8.19921875" style="79" customWidth="1"/>
    <col min="7172" max="7174" width="14.5" style="79" customWidth="1"/>
    <col min="7175" max="7424" width="9.296875" style="79"/>
    <col min="7425" max="7425" width="6.796875" style="79" customWidth="1"/>
    <col min="7426" max="7426" width="60.19921875" style="79" customWidth="1"/>
    <col min="7427" max="7427" width="8.19921875" style="79" customWidth="1"/>
    <col min="7428" max="7430" width="14.5" style="79" customWidth="1"/>
    <col min="7431" max="7680" width="9.296875" style="79"/>
    <col min="7681" max="7681" width="6.796875" style="79" customWidth="1"/>
    <col min="7682" max="7682" width="60.19921875" style="79" customWidth="1"/>
    <col min="7683" max="7683" width="8.19921875" style="79" customWidth="1"/>
    <col min="7684" max="7686" width="14.5" style="79" customWidth="1"/>
    <col min="7687" max="7936" width="9.296875" style="79"/>
    <col min="7937" max="7937" width="6.796875" style="79" customWidth="1"/>
    <col min="7938" max="7938" width="60.19921875" style="79" customWidth="1"/>
    <col min="7939" max="7939" width="8.19921875" style="79" customWidth="1"/>
    <col min="7940" max="7942" width="14.5" style="79" customWidth="1"/>
    <col min="7943" max="8192" width="9.296875" style="79"/>
    <col min="8193" max="8193" width="6.796875" style="79" customWidth="1"/>
    <col min="8194" max="8194" width="60.19921875" style="79" customWidth="1"/>
    <col min="8195" max="8195" width="8.19921875" style="79" customWidth="1"/>
    <col min="8196" max="8198" width="14.5" style="79" customWidth="1"/>
    <col min="8199" max="8448" width="9.296875" style="79"/>
    <col min="8449" max="8449" width="6.796875" style="79" customWidth="1"/>
    <col min="8450" max="8450" width="60.19921875" style="79" customWidth="1"/>
    <col min="8451" max="8451" width="8.19921875" style="79" customWidth="1"/>
    <col min="8452" max="8454" width="14.5" style="79" customWidth="1"/>
    <col min="8455" max="8704" width="9.296875" style="79"/>
    <col min="8705" max="8705" width="6.796875" style="79" customWidth="1"/>
    <col min="8706" max="8706" width="60.19921875" style="79" customWidth="1"/>
    <col min="8707" max="8707" width="8.19921875" style="79" customWidth="1"/>
    <col min="8708" max="8710" width="14.5" style="79" customWidth="1"/>
    <col min="8711" max="8960" width="9.296875" style="79"/>
    <col min="8961" max="8961" width="6.796875" style="79" customWidth="1"/>
    <col min="8962" max="8962" width="60.19921875" style="79" customWidth="1"/>
    <col min="8963" max="8963" width="8.19921875" style="79" customWidth="1"/>
    <col min="8964" max="8966" width="14.5" style="79" customWidth="1"/>
    <col min="8967" max="9216" width="9.296875" style="79"/>
    <col min="9217" max="9217" width="6.796875" style="79" customWidth="1"/>
    <col min="9218" max="9218" width="60.19921875" style="79" customWidth="1"/>
    <col min="9219" max="9219" width="8.19921875" style="79" customWidth="1"/>
    <col min="9220" max="9222" width="14.5" style="79" customWidth="1"/>
    <col min="9223" max="9472" width="9.296875" style="79"/>
    <col min="9473" max="9473" width="6.796875" style="79" customWidth="1"/>
    <col min="9474" max="9474" width="60.19921875" style="79" customWidth="1"/>
    <col min="9475" max="9475" width="8.19921875" style="79" customWidth="1"/>
    <col min="9476" max="9478" width="14.5" style="79" customWidth="1"/>
    <col min="9479" max="9728" width="9.296875" style="79"/>
    <col min="9729" max="9729" width="6.796875" style="79" customWidth="1"/>
    <col min="9730" max="9730" width="60.19921875" style="79" customWidth="1"/>
    <col min="9731" max="9731" width="8.19921875" style="79" customWidth="1"/>
    <col min="9732" max="9734" width="14.5" style="79" customWidth="1"/>
    <col min="9735" max="9984" width="9.296875" style="79"/>
    <col min="9985" max="9985" width="6.796875" style="79" customWidth="1"/>
    <col min="9986" max="9986" width="60.19921875" style="79" customWidth="1"/>
    <col min="9987" max="9987" width="8.19921875" style="79" customWidth="1"/>
    <col min="9988" max="9990" width="14.5" style="79" customWidth="1"/>
    <col min="9991" max="10240" width="9.296875" style="79"/>
    <col min="10241" max="10241" width="6.796875" style="79" customWidth="1"/>
    <col min="10242" max="10242" width="60.19921875" style="79" customWidth="1"/>
    <col min="10243" max="10243" width="8.19921875" style="79" customWidth="1"/>
    <col min="10244" max="10246" width="14.5" style="79" customWidth="1"/>
    <col min="10247" max="10496" width="9.296875" style="79"/>
    <col min="10497" max="10497" width="6.796875" style="79" customWidth="1"/>
    <col min="10498" max="10498" width="60.19921875" style="79" customWidth="1"/>
    <col min="10499" max="10499" width="8.19921875" style="79" customWidth="1"/>
    <col min="10500" max="10502" width="14.5" style="79" customWidth="1"/>
    <col min="10503" max="10752" width="9.296875" style="79"/>
    <col min="10753" max="10753" width="6.796875" style="79" customWidth="1"/>
    <col min="10754" max="10754" width="60.19921875" style="79" customWidth="1"/>
    <col min="10755" max="10755" width="8.19921875" style="79" customWidth="1"/>
    <col min="10756" max="10758" width="14.5" style="79" customWidth="1"/>
    <col min="10759" max="11008" width="9.296875" style="79"/>
    <col min="11009" max="11009" width="6.796875" style="79" customWidth="1"/>
    <col min="11010" max="11010" width="60.19921875" style="79" customWidth="1"/>
    <col min="11011" max="11011" width="8.19921875" style="79" customWidth="1"/>
    <col min="11012" max="11014" width="14.5" style="79" customWidth="1"/>
    <col min="11015" max="11264" width="9.296875" style="79"/>
    <col min="11265" max="11265" width="6.796875" style="79" customWidth="1"/>
    <col min="11266" max="11266" width="60.19921875" style="79" customWidth="1"/>
    <col min="11267" max="11267" width="8.19921875" style="79" customWidth="1"/>
    <col min="11268" max="11270" width="14.5" style="79" customWidth="1"/>
    <col min="11271" max="11520" width="9.296875" style="79"/>
    <col min="11521" max="11521" width="6.796875" style="79" customWidth="1"/>
    <col min="11522" max="11522" width="60.19921875" style="79" customWidth="1"/>
    <col min="11523" max="11523" width="8.19921875" style="79" customWidth="1"/>
    <col min="11524" max="11526" width="14.5" style="79" customWidth="1"/>
    <col min="11527" max="11776" width="9.296875" style="79"/>
    <col min="11777" max="11777" width="6.796875" style="79" customWidth="1"/>
    <col min="11778" max="11778" width="60.19921875" style="79" customWidth="1"/>
    <col min="11779" max="11779" width="8.19921875" style="79" customWidth="1"/>
    <col min="11780" max="11782" width="14.5" style="79" customWidth="1"/>
    <col min="11783" max="12032" width="9.296875" style="79"/>
    <col min="12033" max="12033" width="6.796875" style="79" customWidth="1"/>
    <col min="12034" max="12034" width="60.19921875" style="79" customWidth="1"/>
    <col min="12035" max="12035" width="8.19921875" style="79" customWidth="1"/>
    <col min="12036" max="12038" width="14.5" style="79" customWidth="1"/>
    <col min="12039" max="12288" width="9.296875" style="79"/>
    <col min="12289" max="12289" width="6.796875" style="79" customWidth="1"/>
    <col min="12290" max="12290" width="60.19921875" style="79" customWidth="1"/>
    <col min="12291" max="12291" width="8.19921875" style="79" customWidth="1"/>
    <col min="12292" max="12294" width="14.5" style="79" customWidth="1"/>
    <col min="12295" max="12544" width="9.296875" style="79"/>
    <col min="12545" max="12545" width="6.796875" style="79" customWidth="1"/>
    <col min="12546" max="12546" width="60.19921875" style="79" customWidth="1"/>
    <col min="12547" max="12547" width="8.19921875" style="79" customWidth="1"/>
    <col min="12548" max="12550" width="14.5" style="79" customWidth="1"/>
    <col min="12551" max="12800" width="9.296875" style="79"/>
    <col min="12801" max="12801" width="6.796875" style="79" customWidth="1"/>
    <col min="12802" max="12802" width="60.19921875" style="79" customWidth="1"/>
    <col min="12803" max="12803" width="8.19921875" style="79" customWidth="1"/>
    <col min="12804" max="12806" width="14.5" style="79" customWidth="1"/>
    <col min="12807" max="13056" width="9.296875" style="79"/>
    <col min="13057" max="13057" width="6.796875" style="79" customWidth="1"/>
    <col min="13058" max="13058" width="60.19921875" style="79" customWidth="1"/>
    <col min="13059" max="13059" width="8.19921875" style="79" customWidth="1"/>
    <col min="13060" max="13062" width="14.5" style="79" customWidth="1"/>
    <col min="13063" max="13312" width="9.296875" style="79"/>
    <col min="13313" max="13313" width="6.796875" style="79" customWidth="1"/>
    <col min="13314" max="13314" width="60.19921875" style="79" customWidth="1"/>
    <col min="13315" max="13315" width="8.19921875" style="79" customWidth="1"/>
    <col min="13316" max="13318" width="14.5" style="79" customWidth="1"/>
    <col min="13319" max="13568" width="9.296875" style="79"/>
    <col min="13569" max="13569" width="6.796875" style="79" customWidth="1"/>
    <col min="13570" max="13570" width="60.19921875" style="79" customWidth="1"/>
    <col min="13571" max="13571" width="8.19921875" style="79" customWidth="1"/>
    <col min="13572" max="13574" width="14.5" style="79" customWidth="1"/>
    <col min="13575" max="13824" width="9.296875" style="79"/>
    <col min="13825" max="13825" width="6.796875" style="79" customWidth="1"/>
    <col min="13826" max="13826" width="60.19921875" style="79" customWidth="1"/>
    <col min="13827" max="13827" width="8.19921875" style="79" customWidth="1"/>
    <col min="13828" max="13830" width="14.5" style="79" customWidth="1"/>
    <col min="13831" max="14080" width="9.296875" style="79"/>
    <col min="14081" max="14081" width="6.796875" style="79" customWidth="1"/>
    <col min="14082" max="14082" width="60.19921875" style="79" customWidth="1"/>
    <col min="14083" max="14083" width="8.19921875" style="79" customWidth="1"/>
    <col min="14084" max="14086" width="14.5" style="79" customWidth="1"/>
    <col min="14087" max="14336" width="9.296875" style="79"/>
    <col min="14337" max="14337" width="6.796875" style="79" customWidth="1"/>
    <col min="14338" max="14338" width="60.19921875" style="79" customWidth="1"/>
    <col min="14339" max="14339" width="8.19921875" style="79" customWidth="1"/>
    <col min="14340" max="14342" width="14.5" style="79" customWidth="1"/>
    <col min="14343" max="14592" width="9.296875" style="79"/>
    <col min="14593" max="14593" width="6.796875" style="79" customWidth="1"/>
    <col min="14594" max="14594" width="60.19921875" style="79" customWidth="1"/>
    <col min="14595" max="14595" width="8.19921875" style="79" customWidth="1"/>
    <col min="14596" max="14598" width="14.5" style="79" customWidth="1"/>
    <col min="14599" max="14848" width="9.296875" style="79"/>
    <col min="14849" max="14849" width="6.796875" style="79" customWidth="1"/>
    <col min="14850" max="14850" width="60.19921875" style="79" customWidth="1"/>
    <col min="14851" max="14851" width="8.19921875" style="79" customWidth="1"/>
    <col min="14852" max="14854" width="14.5" style="79" customWidth="1"/>
    <col min="14855" max="15104" width="9.296875" style="79"/>
    <col min="15105" max="15105" width="6.796875" style="79" customWidth="1"/>
    <col min="15106" max="15106" width="60.19921875" style="79" customWidth="1"/>
    <col min="15107" max="15107" width="8.19921875" style="79" customWidth="1"/>
    <col min="15108" max="15110" width="14.5" style="79" customWidth="1"/>
    <col min="15111" max="15360" width="9.296875" style="79"/>
    <col min="15361" max="15361" width="6.796875" style="79" customWidth="1"/>
    <col min="15362" max="15362" width="60.19921875" style="79" customWidth="1"/>
    <col min="15363" max="15363" width="8.19921875" style="79" customWidth="1"/>
    <col min="15364" max="15366" width="14.5" style="79" customWidth="1"/>
    <col min="15367" max="15616" width="9.296875" style="79"/>
    <col min="15617" max="15617" width="6.796875" style="79" customWidth="1"/>
    <col min="15618" max="15618" width="60.19921875" style="79" customWidth="1"/>
    <col min="15619" max="15619" width="8.19921875" style="79" customWidth="1"/>
    <col min="15620" max="15622" width="14.5" style="79" customWidth="1"/>
    <col min="15623" max="15872" width="9.296875" style="79"/>
    <col min="15873" max="15873" width="6.796875" style="79" customWidth="1"/>
    <col min="15874" max="15874" width="60.19921875" style="79" customWidth="1"/>
    <col min="15875" max="15875" width="8.19921875" style="79" customWidth="1"/>
    <col min="15876" max="15878" width="14.5" style="79" customWidth="1"/>
    <col min="15879" max="16128" width="9.296875" style="79"/>
    <col min="16129" max="16129" width="6.796875" style="79" customWidth="1"/>
    <col min="16130" max="16130" width="60.19921875" style="79" customWidth="1"/>
    <col min="16131" max="16131" width="8.19921875" style="79" customWidth="1"/>
    <col min="16132" max="16134" width="14.5" style="79" customWidth="1"/>
    <col min="16135" max="16384" width="9.296875" style="79"/>
  </cols>
  <sheetData>
    <row r="1" spans="1:10" s="73" customFormat="1" ht="40.5" customHeight="1" x14ac:dyDescent="0.3">
      <c r="A1" s="1075" t="s">
        <v>637</v>
      </c>
      <c r="B1" s="1075"/>
      <c r="C1" s="1075"/>
      <c r="D1" s="1075"/>
      <c r="E1" s="1075"/>
      <c r="F1" s="1075"/>
      <c r="G1" s="1075"/>
      <c r="H1" s="1075"/>
      <c r="I1" s="1075"/>
      <c r="J1" s="1075"/>
    </row>
    <row r="2" spans="1:10" s="76" customFormat="1" ht="16" customHeight="1" x14ac:dyDescent="0.25">
      <c r="A2" s="74"/>
      <c r="B2" s="74"/>
      <c r="C2" s="75"/>
      <c r="D2" s="75"/>
      <c r="E2" s="75"/>
      <c r="G2" s="252"/>
      <c r="H2" s="75" t="s">
        <v>799</v>
      </c>
      <c r="I2" s="252"/>
      <c r="J2" s="583" t="s">
        <v>1</v>
      </c>
    </row>
    <row r="3" spans="1:10" ht="38.25" customHeight="1" x14ac:dyDescent="0.3">
      <c r="A3" s="77" t="s">
        <v>404</v>
      </c>
      <c r="B3" s="77" t="s">
        <v>468</v>
      </c>
      <c r="C3" s="720" t="s">
        <v>469</v>
      </c>
      <c r="D3" s="720" t="s">
        <v>470</v>
      </c>
      <c r="E3" s="720" t="s">
        <v>471</v>
      </c>
      <c r="F3" s="720" t="s">
        <v>268</v>
      </c>
      <c r="G3" s="576" t="s">
        <v>959</v>
      </c>
      <c r="H3" s="576" t="s">
        <v>796</v>
      </c>
      <c r="I3" s="576" t="s">
        <v>823</v>
      </c>
      <c r="J3" s="577" t="s">
        <v>824</v>
      </c>
    </row>
    <row r="4" spans="1:10" s="553" customFormat="1" ht="13" customHeight="1" x14ac:dyDescent="0.3">
      <c r="A4" s="77" t="s">
        <v>6</v>
      </c>
      <c r="B4" s="77" t="s">
        <v>7</v>
      </c>
      <c r="C4" s="77" t="s">
        <v>8</v>
      </c>
      <c r="D4" s="77" t="s">
        <v>9</v>
      </c>
      <c r="E4" s="77" t="s">
        <v>269</v>
      </c>
      <c r="F4" s="77" t="s">
        <v>472</v>
      </c>
      <c r="G4" s="636" t="s">
        <v>794</v>
      </c>
      <c r="H4" s="636" t="s">
        <v>825</v>
      </c>
      <c r="I4" s="582" t="s">
        <v>826</v>
      </c>
      <c r="J4" s="724" t="s">
        <v>827</v>
      </c>
    </row>
    <row r="5" spans="1:10" s="80" customFormat="1" ht="16" customHeight="1" x14ac:dyDescent="0.3">
      <c r="A5" s="1069" t="s">
        <v>265</v>
      </c>
      <c r="B5" s="1070"/>
      <c r="C5" s="1070"/>
      <c r="D5" s="1070"/>
      <c r="E5" s="1070"/>
      <c r="F5" s="1070"/>
      <c r="G5" s="1070"/>
      <c r="H5" s="1070"/>
      <c r="I5" s="1070"/>
      <c r="J5" s="1071"/>
    </row>
    <row r="6" spans="1:10" s="80" customFormat="1" ht="25.5" customHeight="1" x14ac:dyDescent="0.3">
      <c r="A6" s="415" t="s">
        <v>10</v>
      </c>
      <c r="B6" s="419" t="s">
        <v>473</v>
      </c>
      <c r="C6" s="415" t="s">
        <v>474</v>
      </c>
      <c r="D6" s="725"/>
      <c r="E6" s="725"/>
      <c r="F6" s="725">
        <f>SUM(D6:E6)</f>
        <v>0</v>
      </c>
      <c r="G6" s="582"/>
      <c r="H6" s="582"/>
      <c r="I6" s="582"/>
      <c r="J6" s="724"/>
    </row>
    <row r="7" spans="1:10" s="80" customFormat="1" ht="30" customHeight="1" x14ac:dyDescent="0.3">
      <c r="A7" s="415" t="s">
        <v>13</v>
      </c>
      <c r="B7" s="419" t="s">
        <v>475</v>
      </c>
      <c r="C7" s="415" t="s">
        <v>476</v>
      </c>
      <c r="D7" s="725"/>
      <c r="E7" s="725"/>
      <c r="F7" s="725">
        <f>SUM(D7:E7)</f>
        <v>0</v>
      </c>
      <c r="G7" s="582"/>
      <c r="H7" s="582"/>
      <c r="I7" s="582"/>
      <c r="J7" s="724"/>
    </row>
    <row r="8" spans="1:10" s="80" customFormat="1" ht="25.5" customHeight="1" x14ac:dyDescent="0.3">
      <c r="A8" s="415" t="s">
        <v>16</v>
      </c>
      <c r="B8" s="419" t="s">
        <v>477</v>
      </c>
      <c r="C8" s="415" t="s">
        <v>478</v>
      </c>
      <c r="D8" s="725">
        <v>640402</v>
      </c>
      <c r="E8" s="725"/>
      <c r="F8" s="725">
        <f>SUM(D8:E8)</f>
        <v>640402</v>
      </c>
      <c r="G8" s="582">
        <f>H8-F8</f>
        <v>6740711</v>
      </c>
      <c r="H8" s="582">
        <v>7381113</v>
      </c>
      <c r="I8" s="582">
        <v>3855861</v>
      </c>
      <c r="J8" s="724">
        <f>I8/H8</f>
        <v>0.52239560619109882</v>
      </c>
    </row>
    <row r="9" spans="1:10" s="80" customFormat="1" ht="25.5" customHeight="1" x14ac:dyDescent="0.3">
      <c r="A9" s="415" t="s">
        <v>19</v>
      </c>
      <c r="B9" s="419" t="s">
        <v>479</v>
      </c>
      <c r="C9" s="415" t="s">
        <v>480</v>
      </c>
      <c r="D9" s="317"/>
      <c r="E9" s="317"/>
      <c r="F9" s="317">
        <f>SUM(D9:E9)</f>
        <v>0</v>
      </c>
      <c r="G9" s="576"/>
      <c r="H9" s="576"/>
      <c r="I9" s="576"/>
      <c r="J9" s="577" t="s">
        <v>799</v>
      </c>
    </row>
    <row r="10" spans="1:10" s="80" customFormat="1" ht="27.75" customHeight="1" x14ac:dyDescent="0.3">
      <c r="A10" s="417" t="s">
        <v>22</v>
      </c>
      <c r="B10" s="207" t="s">
        <v>481</v>
      </c>
      <c r="C10" s="417" t="s">
        <v>36</v>
      </c>
      <c r="D10" s="317">
        <f>SUM(D6:D9)</f>
        <v>640402</v>
      </c>
      <c r="E10" s="317">
        <f>SUM(E6:E9)</f>
        <v>0</v>
      </c>
      <c r="F10" s="317">
        <f t="shared" ref="F10:F14" si="0">SUM(D10:E10)</f>
        <v>640402</v>
      </c>
      <c r="G10" s="317">
        <f>SUM(G8:G9)</f>
        <v>6740711</v>
      </c>
      <c r="H10" s="317">
        <f>SUM(H8:H9)</f>
        <v>7381113</v>
      </c>
      <c r="I10" s="317">
        <f t="shared" ref="I10" si="1">SUM(I8:I9)</f>
        <v>3855861</v>
      </c>
      <c r="J10" s="577">
        <f t="shared" ref="J10:J42" si="2">I10/H10</f>
        <v>0.52239560619109882</v>
      </c>
    </row>
    <row r="11" spans="1:10" s="80" customFormat="1" ht="24.75" customHeight="1" x14ac:dyDescent="0.3">
      <c r="A11" s="415" t="s">
        <v>25</v>
      </c>
      <c r="B11" s="419" t="s">
        <v>482</v>
      </c>
      <c r="C11" s="415" t="s">
        <v>483</v>
      </c>
      <c r="D11" s="725"/>
      <c r="E11" s="725"/>
      <c r="F11" s="725">
        <f t="shared" si="0"/>
        <v>0</v>
      </c>
      <c r="G11" s="582"/>
      <c r="H11" s="582"/>
      <c r="I11" s="582"/>
      <c r="J11" s="724"/>
    </row>
    <row r="12" spans="1:10" s="80" customFormat="1" ht="30" customHeight="1" x14ac:dyDescent="0.3">
      <c r="A12" s="415" t="s">
        <v>28</v>
      </c>
      <c r="B12" s="419" t="s">
        <v>484</v>
      </c>
      <c r="C12" s="415" t="s">
        <v>485</v>
      </c>
      <c r="D12" s="725"/>
      <c r="E12" s="725"/>
      <c r="F12" s="725">
        <f t="shared" si="0"/>
        <v>0</v>
      </c>
      <c r="G12" s="582"/>
      <c r="H12" s="582"/>
      <c r="I12" s="582"/>
      <c r="J12" s="724"/>
    </row>
    <row r="13" spans="1:10" s="80" customFormat="1" ht="30" customHeight="1" x14ac:dyDescent="0.3">
      <c r="A13" s="415" t="s">
        <v>31</v>
      </c>
      <c r="B13" s="419" t="s">
        <v>486</v>
      </c>
      <c r="C13" s="415" t="s">
        <v>487</v>
      </c>
      <c r="D13" s="725"/>
      <c r="E13" s="725"/>
      <c r="F13" s="725">
        <f t="shared" si="0"/>
        <v>0</v>
      </c>
      <c r="G13" s="582"/>
      <c r="H13" s="582"/>
      <c r="I13" s="582"/>
      <c r="J13" s="724"/>
    </row>
    <row r="14" spans="1:10" s="80" customFormat="1" ht="30" customHeight="1" x14ac:dyDescent="0.3">
      <c r="A14" s="415" t="s">
        <v>34</v>
      </c>
      <c r="B14" s="419" t="s">
        <v>488</v>
      </c>
      <c r="C14" s="415" t="s">
        <v>489</v>
      </c>
      <c r="D14" s="725"/>
      <c r="E14" s="725"/>
      <c r="F14" s="725">
        <f t="shared" si="0"/>
        <v>0</v>
      </c>
      <c r="G14" s="582"/>
      <c r="H14" s="582"/>
      <c r="I14" s="582"/>
      <c r="J14" s="724"/>
    </row>
    <row r="15" spans="1:10" s="80" customFormat="1" ht="21.75" customHeight="1" x14ac:dyDescent="0.3">
      <c r="A15" s="417" t="s">
        <v>37</v>
      </c>
      <c r="B15" s="208" t="s">
        <v>451</v>
      </c>
      <c r="C15" s="77" t="s">
        <v>59</v>
      </c>
      <c r="D15" s="726">
        <f>SUM(D11:D14)</f>
        <v>0</v>
      </c>
      <c r="E15" s="726">
        <f>SUM(E11:E14)</f>
        <v>0</v>
      </c>
      <c r="F15" s="726">
        <f>SUM(F11:F14)</f>
        <v>0</v>
      </c>
      <c r="G15" s="726">
        <f t="shared" ref="G15:J15" si="3">SUM(G11:G14)</f>
        <v>0</v>
      </c>
      <c r="H15" s="726">
        <f t="shared" si="3"/>
        <v>0</v>
      </c>
      <c r="I15" s="726">
        <f t="shared" si="3"/>
        <v>0</v>
      </c>
      <c r="J15" s="726">
        <f t="shared" si="3"/>
        <v>0</v>
      </c>
    </row>
    <row r="16" spans="1:10" s="81" customFormat="1" ht="16.5" customHeight="1" x14ac:dyDescent="0.3">
      <c r="A16" s="415" t="s">
        <v>39</v>
      </c>
      <c r="B16" s="420" t="s">
        <v>111</v>
      </c>
      <c r="C16" s="421" t="s">
        <v>112</v>
      </c>
      <c r="D16" s="422"/>
      <c r="E16" s="422"/>
      <c r="F16" s="422">
        <f>SUM(D16:E16)</f>
        <v>0</v>
      </c>
      <c r="G16" s="253"/>
      <c r="H16" s="253"/>
      <c r="I16" s="253"/>
      <c r="J16" s="724"/>
    </row>
    <row r="17" spans="1:10" s="81" customFormat="1" ht="16.5" customHeight="1" x14ac:dyDescent="0.3">
      <c r="A17" s="415" t="s">
        <v>41</v>
      </c>
      <c r="B17" s="420" t="s">
        <v>114</v>
      </c>
      <c r="C17" s="421" t="s">
        <v>115</v>
      </c>
      <c r="D17" s="422">
        <v>700000</v>
      </c>
      <c r="E17" s="422"/>
      <c r="F17" s="422">
        <f>SUM(D17:E17)</f>
        <v>700000</v>
      </c>
      <c r="G17" s="253">
        <f>H17-F17</f>
        <v>363390</v>
      </c>
      <c r="H17" s="253">
        <v>1063390</v>
      </c>
      <c r="I17" s="253">
        <v>1063390</v>
      </c>
      <c r="J17" s="724">
        <f t="shared" si="2"/>
        <v>1</v>
      </c>
    </row>
    <row r="18" spans="1:10" s="81" customFormat="1" ht="16.5" customHeight="1" x14ac:dyDescent="0.3">
      <c r="A18" s="415" t="s">
        <v>43</v>
      </c>
      <c r="B18" s="420" t="s">
        <v>490</v>
      </c>
      <c r="C18" s="421" t="s">
        <v>118</v>
      </c>
      <c r="D18" s="422">
        <f>SUM(D19:D20)</f>
        <v>0</v>
      </c>
      <c r="E18" s="422">
        <f>SUM(E19:E20)</f>
        <v>0</v>
      </c>
      <c r="F18" s="422">
        <f>SUM(F19:F20)</f>
        <v>0</v>
      </c>
      <c r="G18" s="253"/>
      <c r="H18" s="253"/>
      <c r="I18" s="253"/>
      <c r="J18" s="724"/>
    </row>
    <row r="19" spans="1:10" s="81" customFormat="1" ht="16.5" customHeight="1" x14ac:dyDescent="0.3">
      <c r="A19" s="415" t="s">
        <v>45</v>
      </c>
      <c r="B19" s="423" t="s">
        <v>491</v>
      </c>
      <c r="C19" s="424" t="s">
        <v>492</v>
      </c>
      <c r="D19" s="425"/>
      <c r="E19" s="425"/>
      <c r="F19" s="425">
        <f>SUM(D19:E19)</f>
        <v>0</v>
      </c>
      <c r="G19" s="253"/>
      <c r="H19" s="253"/>
      <c r="I19" s="253"/>
      <c r="J19" s="724"/>
    </row>
    <row r="20" spans="1:10" s="82" customFormat="1" ht="16.5" customHeight="1" x14ac:dyDescent="0.3">
      <c r="A20" s="415" t="s">
        <v>47</v>
      </c>
      <c r="B20" s="423" t="s">
        <v>493</v>
      </c>
      <c r="C20" s="424" t="s">
        <v>494</v>
      </c>
      <c r="D20" s="425"/>
      <c r="E20" s="425"/>
      <c r="F20" s="425">
        <f>SUM(D20:E20)</f>
        <v>0</v>
      </c>
      <c r="G20" s="255"/>
      <c r="H20" s="255"/>
      <c r="I20" s="255"/>
      <c r="J20" s="724"/>
    </row>
    <row r="21" spans="1:10" s="82" customFormat="1" ht="16.5" customHeight="1" x14ac:dyDescent="0.3">
      <c r="A21" s="415" t="s">
        <v>49</v>
      </c>
      <c r="B21" s="426" t="s">
        <v>120</v>
      </c>
      <c r="C21" s="421" t="s">
        <v>121</v>
      </c>
      <c r="D21" s="425"/>
      <c r="E21" s="425"/>
      <c r="F21" s="425">
        <f>SUM(D21:E21)</f>
        <v>0</v>
      </c>
      <c r="G21" s="255"/>
      <c r="H21" s="255"/>
      <c r="I21" s="255"/>
      <c r="J21" s="724"/>
    </row>
    <row r="22" spans="1:10" s="81" customFormat="1" ht="16.5" customHeight="1" x14ac:dyDescent="0.3">
      <c r="A22" s="415" t="s">
        <v>51</v>
      </c>
      <c r="B22" s="420" t="s">
        <v>123</v>
      </c>
      <c r="C22" s="421" t="s">
        <v>124</v>
      </c>
      <c r="D22" s="422"/>
      <c r="E22" s="422"/>
      <c r="F22" s="425">
        <f t="shared" ref="F22:F28" si="4">SUM(D22:E22)</f>
        <v>0</v>
      </c>
      <c r="G22" s="253"/>
      <c r="H22" s="253"/>
      <c r="I22" s="253"/>
      <c r="J22" s="724"/>
    </row>
    <row r="23" spans="1:10" s="81" customFormat="1" ht="16.5" customHeight="1" x14ac:dyDescent="0.3">
      <c r="A23" s="415" t="s">
        <v>54</v>
      </c>
      <c r="B23" s="420" t="s">
        <v>495</v>
      </c>
      <c r="C23" s="421" t="s">
        <v>127</v>
      </c>
      <c r="D23" s="422"/>
      <c r="E23" s="422"/>
      <c r="F23" s="425">
        <f t="shared" si="4"/>
        <v>0</v>
      </c>
      <c r="G23" s="253"/>
      <c r="H23" s="253"/>
      <c r="I23" s="253"/>
      <c r="J23" s="724"/>
    </row>
    <row r="24" spans="1:10" s="82" customFormat="1" ht="16.5" customHeight="1" x14ac:dyDescent="0.3">
      <c r="A24" s="415" t="s">
        <v>57</v>
      </c>
      <c r="B24" s="420" t="s">
        <v>496</v>
      </c>
      <c r="C24" s="421" t="s">
        <v>130</v>
      </c>
      <c r="D24" s="422"/>
      <c r="E24" s="422"/>
      <c r="F24" s="425">
        <f t="shared" si="4"/>
        <v>0</v>
      </c>
      <c r="G24" s="255"/>
      <c r="H24" s="255"/>
      <c r="I24" s="255"/>
      <c r="J24" s="724"/>
    </row>
    <row r="25" spans="1:10" s="82" customFormat="1" ht="16.5" customHeight="1" x14ac:dyDescent="0.3">
      <c r="A25" s="415" t="s">
        <v>60</v>
      </c>
      <c r="B25" s="427" t="s">
        <v>132</v>
      </c>
      <c r="C25" s="421" t="s">
        <v>133</v>
      </c>
      <c r="D25" s="422"/>
      <c r="E25" s="422"/>
      <c r="F25" s="425">
        <f t="shared" si="4"/>
        <v>0</v>
      </c>
      <c r="G25" s="255">
        <f>H25-F25</f>
        <v>1680</v>
      </c>
      <c r="H25" s="255">
        <v>1680</v>
      </c>
      <c r="I25" s="255">
        <v>1680</v>
      </c>
      <c r="J25" s="724">
        <f t="shared" si="2"/>
        <v>1</v>
      </c>
    </row>
    <row r="26" spans="1:10" s="82" customFormat="1" ht="16.5" customHeight="1" x14ac:dyDescent="0.3">
      <c r="A26" s="415" t="s">
        <v>62</v>
      </c>
      <c r="B26" s="420" t="s">
        <v>497</v>
      </c>
      <c r="C26" s="421" t="s">
        <v>136</v>
      </c>
      <c r="D26" s="422"/>
      <c r="E26" s="422"/>
      <c r="F26" s="425">
        <f t="shared" si="4"/>
        <v>0</v>
      </c>
      <c r="G26" s="255"/>
      <c r="H26" s="255"/>
      <c r="I26" s="255"/>
      <c r="J26" s="724" t="s">
        <v>799</v>
      </c>
    </row>
    <row r="27" spans="1:10" s="82" customFormat="1" ht="16.5" customHeight="1" x14ac:dyDescent="0.3">
      <c r="A27" s="415" t="s">
        <v>64</v>
      </c>
      <c r="B27" s="420" t="s">
        <v>498</v>
      </c>
      <c r="C27" s="421" t="s">
        <v>139</v>
      </c>
      <c r="D27" s="422"/>
      <c r="E27" s="422"/>
      <c r="F27" s="425">
        <f t="shared" si="4"/>
        <v>0</v>
      </c>
      <c r="G27" s="255"/>
      <c r="H27" s="255"/>
      <c r="I27" s="255"/>
      <c r="J27" s="724" t="s">
        <v>799</v>
      </c>
    </row>
    <row r="28" spans="1:10" s="82" customFormat="1" ht="16.5" customHeight="1" x14ac:dyDescent="0.3">
      <c r="A28" s="415" t="s">
        <v>66</v>
      </c>
      <c r="B28" s="420" t="s">
        <v>141</v>
      </c>
      <c r="C28" s="421" t="s">
        <v>142</v>
      </c>
      <c r="D28" s="317"/>
      <c r="E28" s="317"/>
      <c r="F28" s="425">
        <f t="shared" si="4"/>
        <v>0</v>
      </c>
      <c r="G28" s="255">
        <f t="shared" ref="G28" si="5">H28-F28</f>
        <v>1</v>
      </c>
      <c r="H28" s="253">
        <v>1</v>
      </c>
      <c r="I28" s="253">
        <v>1</v>
      </c>
      <c r="J28" s="724">
        <f t="shared" si="2"/>
        <v>1</v>
      </c>
    </row>
    <row r="29" spans="1:10" s="82" customFormat="1" ht="21.75" customHeight="1" x14ac:dyDescent="0.3">
      <c r="A29" s="417" t="s">
        <v>68</v>
      </c>
      <c r="B29" s="84" t="s">
        <v>499</v>
      </c>
      <c r="C29" s="209" t="s">
        <v>145</v>
      </c>
      <c r="D29" s="85">
        <f>SUM(D16+D17+D18+D21+D22+D23+D24+D25+D26+D27+D28)</f>
        <v>700000</v>
      </c>
      <c r="E29" s="85">
        <f>SUM(E16+E17+E18+E21+E22+E23+E24+E25+E26+E27+E28)</f>
        <v>0</v>
      </c>
      <c r="F29" s="85">
        <f>SUM(F16+F17+F18+F21+F22+F23+F24+F25+F26+F27+F28)</f>
        <v>700000</v>
      </c>
      <c r="G29" s="85">
        <f t="shared" ref="G29:I29" si="6">SUM(G16+G17+G18+G21+G22+G23+G24+G25+G26+G27+G28)</f>
        <v>365071</v>
      </c>
      <c r="H29" s="85">
        <f t="shared" si="6"/>
        <v>1065071</v>
      </c>
      <c r="I29" s="85">
        <f t="shared" si="6"/>
        <v>1065071</v>
      </c>
      <c r="J29" s="577">
        <f t="shared" si="2"/>
        <v>1</v>
      </c>
    </row>
    <row r="30" spans="1:10" s="83" customFormat="1" ht="21.75" customHeight="1" x14ac:dyDescent="0.3">
      <c r="A30" s="417" t="s">
        <v>70</v>
      </c>
      <c r="B30" s="84" t="s">
        <v>453</v>
      </c>
      <c r="C30" s="209" t="s">
        <v>163</v>
      </c>
      <c r="D30" s="85"/>
      <c r="E30" s="85"/>
      <c r="F30" s="85">
        <f>SUM(D30:E30)</f>
        <v>0</v>
      </c>
      <c r="G30" s="255"/>
      <c r="H30" s="255"/>
      <c r="I30" s="255"/>
      <c r="J30" s="724"/>
    </row>
    <row r="31" spans="1:10" s="82" customFormat="1" ht="21.75" customHeight="1" x14ac:dyDescent="0.3">
      <c r="A31" s="417" t="s">
        <v>72</v>
      </c>
      <c r="B31" s="84" t="s">
        <v>424</v>
      </c>
      <c r="C31" s="209" t="s">
        <v>172</v>
      </c>
      <c r="D31" s="210"/>
      <c r="E31" s="210"/>
      <c r="F31" s="210">
        <f>SUM(D31:E31)</f>
        <v>0</v>
      </c>
      <c r="G31" s="255">
        <v>45000</v>
      </c>
      <c r="H31" s="255">
        <v>45000</v>
      </c>
      <c r="I31" s="255">
        <v>45000</v>
      </c>
      <c r="J31" s="724">
        <f t="shared" si="2"/>
        <v>1</v>
      </c>
    </row>
    <row r="32" spans="1:10" s="82" customFormat="1" ht="21.75" customHeight="1" x14ac:dyDescent="0.3">
      <c r="A32" s="417" t="s">
        <v>75</v>
      </c>
      <c r="B32" s="84" t="s">
        <v>454</v>
      </c>
      <c r="C32" s="209" t="s">
        <v>181</v>
      </c>
      <c r="D32" s="210"/>
      <c r="E32" s="210"/>
      <c r="F32" s="210">
        <f>SUM(D32:E32)</f>
        <v>0</v>
      </c>
      <c r="G32" s="255"/>
      <c r="H32" s="255"/>
      <c r="I32" s="255"/>
      <c r="J32" s="724"/>
    </row>
    <row r="33" spans="1:10" s="82" customFormat="1" ht="21.75" customHeight="1" x14ac:dyDescent="0.3">
      <c r="A33" s="417" t="s">
        <v>78</v>
      </c>
      <c r="B33" s="84" t="s">
        <v>500</v>
      </c>
      <c r="C33" s="727"/>
      <c r="D33" s="85">
        <f>D10+D15+D29+D30+D31+D32</f>
        <v>1340402</v>
      </c>
      <c r="E33" s="85">
        <f>E10+E15+E29+E30+E31+E32</f>
        <v>0</v>
      </c>
      <c r="F33" s="85">
        <f>F10+F15+F29+F30+F31+F32</f>
        <v>1340402</v>
      </c>
      <c r="G33" s="85">
        <f t="shared" ref="G33:I33" si="7">G10+G15+G29+G30+G31+G32</f>
        <v>7150782</v>
      </c>
      <c r="H33" s="85">
        <f t="shared" si="7"/>
        <v>8491184</v>
      </c>
      <c r="I33" s="85">
        <f t="shared" si="7"/>
        <v>4965932</v>
      </c>
      <c r="J33" s="724">
        <f t="shared" si="2"/>
        <v>0.58483387004686271</v>
      </c>
    </row>
    <row r="34" spans="1:10" s="81" customFormat="1" ht="21.75" customHeight="1" x14ac:dyDescent="0.3">
      <c r="A34" s="415" t="s">
        <v>81</v>
      </c>
      <c r="B34" s="228" t="s">
        <v>501</v>
      </c>
      <c r="C34" s="307" t="s">
        <v>190</v>
      </c>
      <c r="D34" s="728">
        <f>SUM(D35:D36)</f>
        <v>0</v>
      </c>
      <c r="E34" s="728">
        <f>SUM(E35:E36)</f>
        <v>0</v>
      </c>
      <c r="F34" s="728">
        <f>SUM(F35:F36)</f>
        <v>0</v>
      </c>
      <c r="G34" s="253">
        <v>788326</v>
      </c>
      <c r="H34" s="253">
        <v>788326</v>
      </c>
      <c r="I34" s="253">
        <v>788326</v>
      </c>
      <c r="J34" s="724">
        <f t="shared" si="2"/>
        <v>1</v>
      </c>
    </row>
    <row r="35" spans="1:10" s="81" customFormat="1" ht="21.75" customHeight="1" x14ac:dyDescent="0.3">
      <c r="A35" s="415" t="s">
        <v>83</v>
      </c>
      <c r="B35" s="225" t="s">
        <v>192</v>
      </c>
      <c r="C35" s="307" t="s">
        <v>193</v>
      </c>
      <c r="D35" s="728"/>
      <c r="E35" s="728"/>
      <c r="F35" s="728">
        <f>SUM(D35:E35)</f>
        <v>0</v>
      </c>
      <c r="G35" s="253">
        <v>788326</v>
      </c>
      <c r="H35" s="253">
        <v>788326</v>
      </c>
      <c r="I35" s="253">
        <v>788326</v>
      </c>
      <c r="J35" s="724">
        <f t="shared" si="2"/>
        <v>1</v>
      </c>
    </row>
    <row r="36" spans="1:10" s="81" customFormat="1" ht="21.75" customHeight="1" x14ac:dyDescent="0.3">
      <c r="A36" s="415" t="s">
        <v>85</v>
      </c>
      <c r="B36" s="225" t="s">
        <v>195</v>
      </c>
      <c r="C36" s="307" t="s">
        <v>196</v>
      </c>
      <c r="D36" s="728"/>
      <c r="E36" s="728"/>
      <c r="F36" s="728">
        <f>SUM(D36:E36)</f>
        <v>0</v>
      </c>
      <c r="G36" s="253"/>
      <c r="H36" s="253"/>
      <c r="I36" s="253"/>
      <c r="J36" s="724"/>
    </row>
    <row r="37" spans="1:10" s="81" customFormat="1" ht="21.75" customHeight="1" x14ac:dyDescent="0.3">
      <c r="A37" s="415" t="s">
        <v>87</v>
      </c>
      <c r="B37" s="228" t="s">
        <v>502</v>
      </c>
      <c r="C37" s="307" t="s">
        <v>503</v>
      </c>
      <c r="D37" s="728">
        <f>SUM(D38:D39)</f>
        <v>27195291</v>
      </c>
      <c r="E37" s="728">
        <f t="shared" ref="E37:F37" si="8">SUM(E38:E39)</f>
        <v>0</v>
      </c>
      <c r="F37" s="728">
        <f t="shared" si="8"/>
        <v>27195291</v>
      </c>
      <c r="G37" s="253">
        <f>H37-F37</f>
        <v>3163956</v>
      </c>
      <c r="H37" s="253">
        <v>30359247</v>
      </c>
      <c r="I37" s="253">
        <v>27808686</v>
      </c>
      <c r="J37" s="724">
        <f t="shared" si="2"/>
        <v>0.91598734316434138</v>
      </c>
    </row>
    <row r="38" spans="1:10" s="81" customFormat="1" ht="21.75" customHeight="1" x14ac:dyDescent="0.3">
      <c r="A38" s="415"/>
      <c r="B38" s="428" t="s">
        <v>589</v>
      </c>
      <c r="C38" s="298" t="s">
        <v>503</v>
      </c>
      <c r="D38" s="439">
        <f>19867920+53594</f>
        <v>19921514</v>
      </c>
      <c r="E38" s="439"/>
      <c r="F38" s="439">
        <f>SUM(D38:E38)</f>
        <v>19921514</v>
      </c>
      <c r="G38" s="253">
        <f>H38-F38</f>
        <v>8063360</v>
      </c>
      <c r="H38" s="729">
        <v>27984874</v>
      </c>
      <c r="I38" s="253">
        <f>I37-I39</f>
        <v>25434313</v>
      </c>
      <c r="J38" s="724">
        <f t="shared" si="2"/>
        <v>0.90885930020624717</v>
      </c>
    </row>
    <row r="39" spans="1:10" s="81" customFormat="1" ht="21.75" customHeight="1" x14ac:dyDescent="0.3">
      <c r="A39" s="415"/>
      <c r="B39" s="429" t="s">
        <v>590</v>
      </c>
      <c r="C39" s="298" t="s">
        <v>503</v>
      </c>
      <c r="D39" s="439">
        <f>7273777</f>
        <v>7273777</v>
      </c>
      <c r="E39" s="439"/>
      <c r="F39" s="439">
        <f>SUM(D39:E39)</f>
        <v>7273777</v>
      </c>
      <c r="G39" s="729"/>
      <c r="H39" s="729">
        <v>2374373</v>
      </c>
      <c r="I39" s="253">
        <v>2374373</v>
      </c>
      <c r="J39" s="724">
        <f t="shared" si="2"/>
        <v>1</v>
      </c>
    </row>
    <row r="40" spans="1:10" s="81" customFormat="1" ht="21.75" customHeight="1" x14ac:dyDescent="0.3">
      <c r="A40" s="415" t="s">
        <v>90</v>
      </c>
      <c r="B40" s="84" t="s">
        <v>504</v>
      </c>
      <c r="C40" s="87" t="s">
        <v>505</v>
      </c>
      <c r="D40" s="86">
        <f>SUM(D34+D37)</f>
        <v>27195291</v>
      </c>
      <c r="E40" s="86">
        <f>SUM(E34+E37)</f>
        <v>0</v>
      </c>
      <c r="F40" s="86">
        <f>SUM(F34+F37)</f>
        <v>27195291</v>
      </c>
      <c r="G40" s="86">
        <f t="shared" ref="G40:I40" si="9">SUM(G34+G37)</f>
        <v>3952282</v>
      </c>
      <c r="H40" s="86">
        <f t="shared" si="9"/>
        <v>31147573</v>
      </c>
      <c r="I40" s="86">
        <f t="shared" si="9"/>
        <v>28597012</v>
      </c>
      <c r="J40" s="577">
        <f t="shared" si="2"/>
        <v>0.91811365206528295</v>
      </c>
    </row>
    <row r="41" spans="1:10" s="81" customFormat="1" ht="21.75" customHeight="1" x14ac:dyDescent="0.3">
      <c r="A41" s="417" t="s">
        <v>94</v>
      </c>
      <c r="B41" s="84" t="s">
        <v>592</v>
      </c>
      <c r="C41" s="87" t="s">
        <v>199</v>
      </c>
      <c r="D41" s="86">
        <f>D40</f>
        <v>27195291</v>
      </c>
      <c r="E41" s="86">
        <f t="shared" ref="E41:I41" si="10">E40</f>
        <v>0</v>
      </c>
      <c r="F41" s="86">
        <f t="shared" si="10"/>
        <v>27195291</v>
      </c>
      <c r="G41" s="86">
        <f t="shared" si="10"/>
        <v>3952282</v>
      </c>
      <c r="H41" s="86">
        <f t="shared" si="10"/>
        <v>31147573</v>
      </c>
      <c r="I41" s="86">
        <f t="shared" si="10"/>
        <v>28597012</v>
      </c>
      <c r="J41" s="577">
        <f t="shared" si="2"/>
        <v>0.91811365206528295</v>
      </c>
    </row>
    <row r="42" spans="1:10" s="81" customFormat="1" ht="21.75" customHeight="1" x14ac:dyDescent="0.3">
      <c r="A42" s="417" t="s">
        <v>97</v>
      </c>
      <c r="B42" s="84" t="s">
        <v>507</v>
      </c>
      <c r="C42" s="87"/>
      <c r="D42" s="86">
        <f>D33+D41</f>
        <v>28535693</v>
      </c>
      <c r="E42" s="86">
        <f>E33+E41</f>
        <v>0</v>
      </c>
      <c r="F42" s="86">
        <f>F33+F41</f>
        <v>28535693</v>
      </c>
      <c r="G42" s="86">
        <f t="shared" ref="G42:I42" si="11">G33+G41</f>
        <v>11103064</v>
      </c>
      <c r="H42" s="86">
        <f t="shared" si="11"/>
        <v>39638757</v>
      </c>
      <c r="I42" s="86">
        <f t="shared" si="11"/>
        <v>33562944</v>
      </c>
      <c r="J42" s="577">
        <f t="shared" si="2"/>
        <v>0.84672039539484045</v>
      </c>
    </row>
    <row r="43" spans="1:10" s="81" customFormat="1" ht="15" customHeight="1" x14ac:dyDescent="0.3">
      <c r="A43" s="88"/>
      <c r="B43" s="89"/>
      <c r="C43" s="90"/>
      <c r="D43" s="91"/>
      <c r="E43" s="91"/>
      <c r="F43" s="91"/>
      <c r="G43" s="254"/>
      <c r="H43" s="254"/>
      <c r="I43" s="257"/>
      <c r="J43" s="584"/>
    </row>
    <row r="44" spans="1:10" s="81" customFormat="1" ht="15" customHeight="1" x14ac:dyDescent="0.3">
      <c r="A44" s="1067" t="s">
        <v>508</v>
      </c>
      <c r="B44" s="1067"/>
      <c r="C44" s="1067"/>
      <c r="D44" s="1067"/>
      <c r="E44" s="1067"/>
      <c r="F44" s="1067"/>
      <c r="G44" s="1067"/>
      <c r="H44" s="1067"/>
      <c r="I44" s="257"/>
      <c r="J44" s="584"/>
    </row>
    <row r="45" spans="1:10" s="430" customFormat="1" ht="38.25" customHeight="1" x14ac:dyDescent="0.3">
      <c r="A45" s="87" t="s">
        <v>404</v>
      </c>
      <c r="B45" s="87" t="s">
        <v>267</v>
      </c>
      <c r="C45" s="558" t="s">
        <v>469</v>
      </c>
      <c r="D45" s="558" t="s">
        <v>470</v>
      </c>
      <c r="E45" s="558" t="s">
        <v>471</v>
      </c>
      <c r="F45" s="558" t="s">
        <v>509</v>
      </c>
      <c r="G45" s="576" t="s">
        <v>959</v>
      </c>
      <c r="H45" s="576" t="s">
        <v>796</v>
      </c>
      <c r="I45" s="576" t="s">
        <v>823</v>
      </c>
      <c r="J45" s="577" t="s">
        <v>824</v>
      </c>
    </row>
    <row r="46" spans="1:10" s="554" customFormat="1" ht="15" customHeight="1" x14ac:dyDescent="0.3">
      <c r="A46" s="87" t="s">
        <v>6</v>
      </c>
      <c r="B46" s="87" t="s">
        <v>7</v>
      </c>
      <c r="C46" s="87"/>
      <c r="D46" s="87" t="s">
        <v>9</v>
      </c>
      <c r="E46" s="87" t="s">
        <v>269</v>
      </c>
      <c r="F46" s="87" t="s">
        <v>472</v>
      </c>
      <c r="G46" s="576" t="s">
        <v>794</v>
      </c>
      <c r="H46" s="576" t="s">
        <v>825</v>
      </c>
      <c r="I46" s="730" t="s">
        <v>826</v>
      </c>
      <c r="J46" s="731" t="s">
        <v>827</v>
      </c>
    </row>
    <row r="47" spans="1:10" s="81" customFormat="1" ht="24.75" customHeight="1" x14ac:dyDescent="0.3">
      <c r="A47" s="732" t="s">
        <v>10</v>
      </c>
      <c r="B47" s="434" t="s">
        <v>204</v>
      </c>
      <c r="C47" s="416" t="s">
        <v>205</v>
      </c>
      <c r="D47" s="292">
        <v>17964620</v>
      </c>
      <c r="E47" s="292"/>
      <c r="F47" s="292">
        <f>SUM(D47:E47)</f>
        <v>17964620</v>
      </c>
      <c r="G47" s="733">
        <f>H47-F47</f>
        <v>7673592</v>
      </c>
      <c r="H47" s="733">
        <v>25638212</v>
      </c>
      <c r="I47" s="733">
        <v>21127379</v>
      </c>
      <c r="J47" s="734">
        <f>I47/H47</f>
        <v>0.82405820655512174</v>
      </c>
    </row>
    <row r="48" spans="1:10" s="81" customFormat="1" ht="24.75" customHeight="1" x14ac:dyDescent="0.3">
      <c r="A48" s="732" t="s">
        <v>13</v>
      </c>
      <c r="B48" s="434" t="s">
        <v>206</v>
      </c>
      <c r="C48" s="416" t="s">
        <v>207</v>
      </c>
      <c r="D48" s="292">
        <v>3905423</v>
      </c>
      <c r="E48" s="292"/>
      <c r="F48" s="292">
        <f>SUM(D48:E48)</f>
        <v>3905423</v>
      </c>
      <c r="G48" s="733">
        <f t="shared" ref="G48:G49" si="12">H48-F48</f>
        <v>1031521</v>
      </c>
      <c r="H48" s="733">
        <v>4936944</v>
      </c>
      <c r="I48" s="733">
        <v>4455307</v>
      </c>
      <c r="J48" s="734">
        <f t="shared" ref="J48:J60" si="13">I48/H48</f>
        <v>0.90244228008257743</v>
      </c>
    </row>
    <row r="49" spans="1:10" s="81" customFormat="1" ht="24.75" customHeight="1" x14ac:dyDescent="0.3">
      <c r="A49" s="732" t="s">
        <v>16</v>
      </c>
      <c r="B49" s="434" t="s">
        <v>208</v>
      </c>
      <c r="C49" s="416" t="s">
        <v>209</v>
      </c>
      <c r="D49" s="292">
        <v>6665650</v>
      </c>
      <c r="E49" s="292"/>
      <c r="F49" s="292">
        <f>SUM(D49:E49)</f>
        <v>6665650</v>
      </c>
      <c r="G49" s="733">
        <f t="shared" si="12"/>
        <v>1749850</v>
      </c>
      <c r="H49" s="733">
        <v>8415500</v>
      </c>
      <c r="I49" s="733">
        <v>6971329</v>
      </c>
      <c r="J49" s="734">
        <f t="shared" si="13"/>
        <v>0.82839153942130594</v>
      </c>
    </row>
    <row r="50" spans="1:10" s="81" customFormat="1" ht="24.75" customHeight="1" x14ac:dyDescent="0.3">
      <c r="A50" s="732" t="s">
        <v>19</v>
      </c>
      <c r="B50" s="434" t="s">
        <v>210</v>
      </c>
      <c r="C50" s="416" t="s">
        <v>211</v>
      </c>
      <c r="D50" s="292"/>
      <c r="E50" s="292"/>
      <c r="F50" s="292">
        <f>SUM(D50:E50)</f>
        <v>0</v>
      </c>
      <c r="G50" s="733"/>
      <c r="H50" s="733"/>
      <c r="I50" s="733">
        <v>0</v>
      </c>
      <c r="J50" s="734"/>
    </row>
    <row r="51" spans="1:10" s="81" customFormat="1" ht="24.75" customHeight="1" x14ac:dyDescent="0.3">
      <c r="A51" s="732" t="s">
        <v>22</v>
      </c>
      <c r="B51" s="434" t="s">
        <v>212</v>
      </c>
      <c r="C51" s="416" t="s">
        <v>213</v>
      </c>
      <c r="D51" s="292"/>
      <c r="E51" s="292"/>
      <c r="F51" s="292">
        <f>SUM(D51:E51)</f>
        <v>0</v>
      </c>
      <c r="G51" s="733"/>
      <c r="H51" s="733"/>
      <c r="I51" s="733">
        <v>0</v>
      </c>
      <c r="J51" s="734"/>
    </row>
    <row r="52" spans="1:10" s="80" customFormat="1" ht="24.75" customHeight="1" x14ac:dyDescent="0.3">
      <c r="A52" s="93" t="s">
        <v>25</v>
      </c>
      <c r="B52" s="304" t="s">
        <v>510</v>
      </c>
      <c r="C52" s="87" t="s">
        <v>230</v>
      </c>
      <c r="D52" s="212">
        <f>SUM(D47:D51)</f>
        <v>28535693</v>
      </c>
      <c r="E52" s="212">
        <f>SUM(E47:E51)</f>
        <v>0</v>
      </c>
      <c r="F52" s="212">
        <f>SUM(F47:F51)</f>
        <v>28535693</v>
      </c>
      <c r="G52" s="212">
        <f t="shared" ref="G52:I52" si="14">SUM(G47:G51)</f>
        <v>10454963</v>
      </c>
      <c r="H52" s="212">
        <f t="shared" si="14"/>
        <v>38990656</v>
      </c>
      <c r="I52" s="212">
        <f t="shared" si="14"/>
        <v>32554015</v>
      </c>
      <c r="J52" s="575">
        <f t="shared" si="13"/>
        <v>0.83491837121181034</v>
      </c>
    </row>
    <row r="53" spans="1:10" s="92" customFormat="1" ht="24.75" customHeight="1" x14ac:dyDescent="0.3">
      <c r="A53" s="732" t="s">
        <v>28</v>
      </c>
      <c r="B53" s="434" t="s">
        <v>511</v>
      </c>
      <c r="C53" s="416" t="s">
        <v>232</v>
      </c>
      <c r="D53" s="292"/>
      <c r="E53" s="292"/>
      <c r="F53" s="292">
        <f>SUM(D53:E53)</f>
        <v>0</v>
      </c>
      <c r="G53" s="255">
        <f>H53-F53</f>
        <v>648101</v>
      </c>
      <c r="H53" s="733">
        <v>648101</v>
      </c>
      <c r="I53" s="733">
        <v>648101</v>
      </c>
      <c r="J53" s="734">
        <f t="shared" si="13"/>
        <v>1</v>
      </c>
    </row>
    <row r="54" spans="1:10" ht="24.75" customHeight="1" x14ac:dyDescent="0.3">
      <c r="A54" s="732" t="s">
        <v>31</v>
      </c>
      <c r="B54" s="434" t="s">
        <v>233</v>
      </c>
      <c r="C54" s="416" t="s">
        <v>234</v>
      </c>
      <c r="D54" s="292"/>
      <c r="E54" s="292"/>
      <c r="F54" s="292">
        <f>SUM(D54:E54)</f>
        <v>0</v>
      </c>
      <c r="G54" s="733"/>
      <c r="H54" s="733"/>
      <c r="I54" s="733"/>
      <c r="J54" s="734"/>
    </row>
    <row r="55" spans="1:10" ht="24.75" customHeight="1" x14ac:dyDescent="0.3">
      <c r="A55" s="732" t="s">
        <v>34</v>
      </c>
      <c r="B55" s="434" t="s">
        <v>512</v>
      </c>
      <c r="C55" s="416" t="s">
        <v>236</v>
      </c>
      <c r="D55" s="292"/>
      <c r="E55" s="292"/>
      <c r="F55" s="292">
        <f>SUM(D55:E55)</f>
        <v>0</v>
      </c>
      <c r="G55" s="733"/>
      <c r="H55" s="733"/>
      <c r="I55" s="733"/>
      <c r="J55" s="734"/>
    </row>
    <row r="56" spans="1:10" ht="24.75" customHeight="1" x14ac:dyDescent="0.3">
      <c r="A56" s="93" t="s">
        <v>37</v>
      </c>
      <c r="B56" s="94" t="s">
        <v>513</v>
      </c>
      <c r="C56" s="87" t="s">
        <v>248</v>
      </c>
      <c r="D56" s="212">
        <f>SUM(D53:D55)</f>
        <v>0</v>
      </c>
      <c r="E56" s="212">
        <f t="shared" ref="E56:I56" si="15">SUM(E53:E55)</f>
        <v>0</v>
      </c>
      <c r="F56" s="212">
        <f t="shared" si="15"/>
        <v>0</v>
      </c>
      <c r="G56" s="212">
        <f t="shared" si="15"/>
        <v>648101</v>
      </c>
      <c r="H56" s="212">
        <f t="shared" si="15"/>
        <v>648101</v>
      </c>
      <c r="I56" s="212">
        <f t="shared" si="15"/>
        <v>648101</v>
      </c>
      <c r="J56" s="575">
        <f t="shared" si="13"/>
        <v>1</v>
      </c>
    </row>
    <row r="57" spans="1:10" ht="24.75" customHeight="1" x14ac:dyDescent="0.3">
      <c r="A57" s="93" t="s">
        <v>39</v>
      </c>
      <c r="B57" s="94" t="s">
        <v>514</v>
      </c>
      <c r="C57" s="87" t="s">
        <v>515</v>
      </c>
      <c r="D57" s="95">
        <f>D52+D56</f>
        <v>28535693</v>
      </c>
      <c r="E57" s="95">
        <f>E52+E56</f>
        <v>0</v>
      </c>
      <c r="F57" s="95">
        <f>F52+F56</f>
        <v>28535693</v>
      </c>
      <c r="G57" s="95">
        <f t="shared" ref="G57:I57" si="16">G52+G56</f>
        <v>11103064</v>
      </c>
      <c r="H57" s="95">
        <f t="shared" si="16"/>
        <v>39638757</v>
      </c>
      <c r="I57" s="95">
        <f t="shared" si="16"/>
        <v>33202116</v>
      </c>
      <c r="J57" s="575">
        <f t="shared" si="13"/>
        <v>0.83761748634045208</v>
      </c>
    </row>
    <row r="58" spans="1:10" ht="24.75" customHeight="1" x14ac:dyDescent="0.3">
      <c r="A58" s="416" t="s">
        <v>41</v>
      </c>
      <c r="B58" s="94" t="s">
        <v>516</v>
      </c>
      <c r="C58" s="87" t="s">
        <v>517</v>
      </c>
      <c r="D58" s="95"/>
      <c r="E58" s="95"/>
      <c r="F58" s="95">
        <f>SUM(D58:E58)</f>
        <v>0</v>
      </c>
      <c r="G58" s="733"/>
      <c r="H58" s="733"/>
      <c r="I58" s="733"/>
      <c r="J58" s="575"/>
    </row>
    <row r="59" spans="1:10" ht="24.75" customHeight="1" x14ac:dyDescent="0.3">
      <c r="A59" s="87" t="s">
        <v>45</v>
      </c>
      <c r="B59" s="94" t="s">
        <v>591</v>
      </c>
      <c r="C59" s="87" t="s">
        <v>260</v>
      </c>
      <c r="D59" s="95">
        <f>SUM(D58:D58)</f>
        <v>0</v>
      </c>
      <c r="E59" s="95">
        <f>SUM(E58:E58)</f>
        <v>0</v>
      </c>
      <c r="F59" s="95">
        <f>SUM(F58:F58)</f>
        <v>0</v>
      </c>
      <c r="G59" s="733"/>
      <c r="H59" s="733"/>
      <c r="I59" s="733"/>
      <c r="J59" s="575"/>
    </row>
    <row r="60" spans="1:10" ht="24.75" customHeight="1" x14ac:dyDescent="0.3">
      <c r="A60" s="87" t="s">
        <v>47</v>
      </c>
      <c r="B60" s="94" t="s">
        <v>518</v>
      </c>
      <c r="C60" s="87" t="s">
        <v>262</v>
      </c>
      <c r="D60" s="95">
        <f>SUM(D57+D59)</f>
        <v>28535693</v>
      </c>
      <c r="E60" s="95">
        <f>SUM(E57+E59)</f>
        <v>0</v>
      </c>
      <c r="F60" s="95">
        <f>SUM(F57+F59)</f>
        <v>28535693</v>
      </c>
      <c r="G60" s="95">
        <f t="shared" ref="G60:I60" si="17">SUM(G57+G59)</f>
        <v>11103064</v>
      </c>
      <c r="H60" s="95">
        <f t="shared" si="17"/>
        <v>39638757</v>
      </c>
      <c r="I60" s="95">
        <f t="shared" si="17"/>
        <v>33202116</v>
      </c>
      <c r="J60" s="575">
        <f t="shared" si="13"/>
        <v>0.83761748634045208</v>
      </c>
    </row>
    <row r="61" spans="1:10" ht="12" customHeight="1" x14ac:dyDescent="0.3">
      <c r="A61" s="96"/>
      <c r="B61" s="97"/>
      <c r="C61" s="98"/>
      <c r="D61" s="98"/>
      <c r="E61" s="98"/>
      <c r="F61" s="98"/>
      <c r="G61" s="256"/>
      <c r="H61" s="256"/>
      <c r="I61" s="256"/>
      <c r="J61" s="581"/>
    </row>
    <row r="62" spans="1:10" ht="12" customHeight="1" x14ac:dyDescent="0.3">
      <c r="A62" s="96"/>
      <c r="B62" s="97"/>
      <c r="C62" s="98"/>
      <c r="D62" s="98"/>
      <c r="E62" s="98"/>
      <c r="F62" s="98"/>
      <c r="G62" s="256"/>
      <c r="H62" s="256"/>
      <c r="I62" s="256"/>
      <c r="J62" s="581"/>
    </row>
    <row r="63" spans="1:10" x14ac:dyDescent="0.3">
      <c r="A63" s="99"/>
      <c r="B63" s="100"/>
      <c r="C63" s="100"/>
    </row>
    <row r="64" spans="1:10" x14ac:dyDescent="0.3">
      <c r="A64" s="99"/>
      <c r="B64" s="100"/>
      <c r="C64" s="100"/>
    </row>
    <row r="65" spans="1:3" x14ac:dyDescent="0.3">
      <c r="A65" s="99"/>
      <c r="B65" s="100"/>
      <c r="C65" s="100"/>
    </row>
  </sheetData>
  <sheetProtection formatCells="0"/>
  <mergeCells count="3">
    <mergeCell ref="A44:H44"/>
    <mergeCell ref="A1:J1"/>
    <mergeCell ref="A5:J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verticalDpi="300" r:id="rId1"/>
  <headerFooter alignWithMargins="0">
    <oddHeader>&amp;R&amp;"Times New Roman CE,Félkövér dőlt"&amp;11 11. melléklet a 7/2018. (V.31.)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Layout" zoomScaleNormal="100" workbookViewId="0">
      <selection sqref="A1:L1"/>
    </sheetView>
  </sheetViews>
  <sheetFormatPr defaultRowHeight="13.5" x14ac:dyDescent="0.35"/>
  <cols>
    <col min="1" max="1" width="6.69921875" style="70" customWidth="1"/>
    <col min="2" max="2" width="24.69921875" style="48" customWidth="1"/>
    <col min="3" max="3" width="13" style="48" customWidth="1"/>
    <col min="4" max="5" width="15.5" style="71" customWidth="1"/>
    <col min="6" max="6" width="11.5" style="71" customWidth="1"/>
    <col min="7" max="7" width="13" style="71" customWidth="1"/>
    <col min="8" max="9" width="14" style="71" customWidth="1"/>
    <col min="10" max="10" width="13.296875" style="48" customWidth="1"/>
    <col min="11" max="11" width="16.796875" style="48" customWidth="1"/>
    <col min="12" max="12" width="14.69921875" style="57" customWidth="1"/>
    <col min="13" max="257" width="9.296875" style="48"/>
    <col min="258" max="258" width="6.69921875" style="48" customWidth="1"/>
    <col min="259" max="259" width="24.69921875" style="48" customWidth="1"/>
    <col min="260" max="260" width="13" style="48" customWidth="1"/>
    <col min="261" max="262" width="15.5" style="48" customWidth="1"/>
    <col min="263" max="263" width="11.5" style="48" customWidth="1"/>
    <col min="264" max="264" width="13" style="48" customWidth="1"/>
    <col min="265" max="266" width="14" style="48" customWidth="1"/>
    <col min="267" max="267" width="13.296875" style="48" customWidth="1"/>
    <col min="268" max="268" width="14.69921875" style="48" customWidth="1"/>
    <col min="269" max="513" width="9.296875" style="48"/>
    <col min="514" max="514" width="6.69921875" style="48" customWidth="1"/>
    <col min="515" max="515" width="24.69921875" style="48" customWidth="1"/>
    <col min="516" max="516" width="13" style="48" customWidth="1"/>
    <col min="517" max="518" width="15.5" style="48" customWidth="1"/>
    <col min="519" max="519" width="11.5" style="48" customWidth="1"/>
    <col min="520" max="520" width="13" style="48" customWidth="1"/>
    <col min="521" max="522" width="14" style="48" customWidth="1"/>
    <col min="523" max="523" width="13.296875" style="48" customWidth="1"/>
    <col min="524" max="524" width="14.69921875" style="48" customWidth="1"/>
    <col min="525" max="769" width="9.296875" style="48"/>
    <col min="770" max="770" width="6.69921875" style="48" customWidth="1"/>
    <col min="771" max="771" width="24.69921875" style="48" customWidth="1"/>
    <col min="772" max="772" width="13" style="48" customWidth="1"/>
    <col min="773" max="774" width="15.5" style="48" customWidth="1"/>
    <col min="775" max="775" width="11.5" style="48" customWidth="1"/>
    <col min="776" max="776" width="13" style="48" customWidth="1"/>
    <col min="777" max="778" width="14" style="48" customWidth="1"/>
    <col min="779" max="779" width="13.296875" style="48" customWidth="1"/>
    <col min="780" max="780" width="14.69921875" style="48" customWidth="1"/>
    <col min="781" max="1025" width="9.296875" style="48"/>
    <col min="1026" max="1026" width="6.69921875" style="48" customWidth="1"/>
    <col min="1027" max="1027" width="24.69921875" style="48" customWidth="1"/>
    <col min="1028" max="1028" width="13" style="48" customWidth="1"/>
    <col min="1029" max="1030" width="15.5" style="48" customWidth="1"/>
    <col min="1031" max="1031" width="11.5" style="48" customWidth="1"/>
    <col min="1032" max="1032" width="13" style="48" customWidth="1"/>
    <col min="1033" max="1034" width="14" style="48" customWidth="1"/>
    <col min="1035" max="1035" width="13.296875" style="48" customWidth="1"/>
    <col min="1036" max="1036" width="14.69921875" style="48" customWidth="1"/>
    <col min="1037" max="1281" width="9.296875" style="48"/>
    <col min="1282" max="1282" width="6.69921875" style="48" customWidth="1"/>
    <col min="1283" max="1283" width="24.69921875" style="48" customWidth="1"/>
    <col min="1284" max="1284" width="13" style="48" customWidth="1"/>
    <col min="1285" max="1286" width="15.5" style="48" customWidth="1"/>
    <col min="1287" max="1287" width="11.5" style="48" customWidth="1"/>
    <col min="1288" max="1288" width="13" style="48" customWidth="1"/>
    <col min="1289" max="1290" width="14" style="48" customWidth="1"/>
    <col min="1291" max="1291" width="13.296875" style="48" customWidth="1"/>
    <col min="1292" max="1292" width="14.69921875" style="48" customWidth="1"/>
    <col min="1293" max="1537" width="9.296875" style="48"/>
    <col min="1538" max="1538" width="6.69921875" style="48" customWidth="1"/>
    <col min="1539" max="1539" width="24.69921875" style="48" customWidth="1"/>
    <col min="1540" max="1540" width="13" style="48" customWidth="1"/>
    <col min="1541" max="1542" width="15.5" style="48" customWidth="1"/>
    <col min="1543" max="1543" width="11.5" style="48" customWidth="1"/>
    <col min="1544" max="1544" width="13" style="48" customWidth="1"/>
    <col min="1545" max="1546" width="14" style="48" customWidth="1"/>
    <col min="1547" max="1547" width="13.296875" style="48" customWidth="1"/>
    <col min="1548" max="1548" width="14.69921875" style="48" customWidth="1"/>
    <col min="1549" max="1793" width="9.296875" style="48"/>
    <col min="1794" max="1794" width="6.69921875" style="48" customWidth="1"/>
    <col min="1795" max="1795" width="24.69921875" style="48" customWidth="1"/>
    <col min="1796" max="1796" width="13" style="48" customWidth="1"/>
    <col min="1797" max="1798" width="15.5" style="48" customWidth="1"/>
    <col min="1799" max="1799" width="11.5" style="48" customWidth="1"/>
    <col min="1800" max="1800" width="13" style="48" customWidth="1"/>
    <col min="1801" max="1802" width="14" style="48" customWidth="1"/>
    <col min="1803" max="1803" width="13.296875" style="48" customWidth="1"/>
    <col min="1804" max="1804" width="14.69921875" style="48" customWidth="1"/>
    <col min="1805" max="2049" width="9.296875" style="48"/>
    <col min="2050" max="2050" width="6.69921875" style="48" customWidth="1"/>
    <col min="2051" max="2051" width="24.69921875" style="48" customWidth="1"/>
    <col min="2052" max="2052" width="13" style="48" customWidth="1"/>
    <col min="2053" max="2054" width="15.5" style="48" customWidth="1"/>
    <col min="2055" max="2055" width="11.5" style="48" customWidth="1"/>
    <col min="2056" max="2056" width="13" style="48" customWidth="1"/>
    <col min="2057" max="2058" width="14" style="48" customWidth="1"/>
    <col min="2059" max="2059" width="13.296875" style="48" customWidth="1"/>
    <col min="2060" max="2060" width="14.69921875" style="48" customWidth="1"/>
    <col min="2061" max="2305" width="9.296875" style="48"/>
    <col min="2306" max="2306" width="6.69921875" style="48" customWidth="1"/>
    <col min="2307" max="2307" width="24.69921875" style="48" customWidth="1"/>
    <col min="2308" max="2308" width="13" style="48" customWidth="1"/>
    <col min="2309" max="2310" width="15.5" style="48" customWidth="1"/>
    <col min="2311" max="2311" width="11.5" style="48" customWidth="1"/>
    <col min="2312" max="2312" width="13" style="48" customWidth="1"/>
    <col min="2313" max="2314" width="14" style="48" customWidth="1"/>
    <col min="2315" max="2315" width="13.296875" style="48" customWidth="1"/>
    <col min="2316" max="2316" width="14.69921875" style="48" customWidth="1"/>
    <col min="2317" max="2561" width="9.296875" style="48"/>
    <col min="2562" max="2562" width="6.69921875" style="48" customWidth="1"/>
    <col min="2563" max="2563" width="24.69921875" style="48" customWidth="1"/>
    <col min="2564" max="2564" width="13" style="48" customWidth="1"/>
    <col min="2565" max="2566" width="15.5" style="48" customWidth="1"/>
    <col min="2567" max="2567" width="11.5" style="48" customWidth="1"/>
    <col min="2568" max="2568" width="13" style="48" customWidth="1"/>
    <col min="2569" max="2570" width="14" style="48" customWidth="1"/>
    <col min="2571" max="2571" width="13.296875" style="48" customWidth="1"/>
    <col min="2572" max="2572" width="14.69921875" style="48" customWidth="1"/>
    <col min="2573" max="2817" width="9.296875" style="48"/>
    <col min="2818" max="2818" width="6.69921875" style="48" customWidth="1"/>
    <col min="2819" max="2819" width="24.69921875" style="48" customWidth="1"/>
    <col min="2820" max="2820" width="13" style="48" customWidth="1"/>
    <col min="2821" max="2822" width="15.5" style="48" customWidth="1"/>
    <col min="2823" max="2823" width="11.5" style="48" customWidth="1"/>
    <col min="2824" max="2824" width="13" style="48" customWidth="1"/>
    <col min="2825" max="2826" width="14" style="48" customWidth="1"/>
    <col min="2827" max="2827" width="13.296875" style="48" customWidth="1"/>
    <col min="2828" max="2828" width="14.69921875" style="48" customWidth="1"/>
    <col min="2829" max="3073" width="9.296875" style="48"/>
    <col min="3074" max="3074" width="6.69921875" style="48" customWidth="1"/>
    <col min="3075" max="3075" width="24.69921875" style="48" customWidth="1"/>
    <col min="3076" max="3076" width="13" style="48" customWidth="1"/>
    <col min="3077" max="3078" width="15.5" style="48" customWidth="1"/>
    <col min="3079" max="3079" width="11.5" style="48" customWidth="1"/>
    <col min="3080" max="3080" width="13" style="48" customWidth="1"/>
    <col min="3081" max="3082" width="14" style="48" customWidth="1"/>
    <col min="3083" max="3083" width="13.296875" style="48" customWidth="1"/>
    <col min="3084" max="3084" width="14.69921875" style="48" customWidth="1"/>
    <col min="3085" max="3329" width="9.296875" style="48"/>
    <col min="3330" max="3330" width="6.69921875" style="48" customWidth="1"/>
    <col min="3331" max="3331" width="24.69921875" style="48" customWidth="1"/>
    <col min="3332" max="3332" width="13" style="48" customWidth="1"/>
    <col min="3333" max="3334" width="15.5" style="48" customWidth="1"/>
    <col min="3335" max="3335" width="11.5" style="48" customWidth="1"/>
    <col min="3336" max="3336" width="13" style="48" customWidth="1"/>
    <col min="3337" max="3338" width="14" style="48" customWidth="1"/>
    <col min="3339" max="3339" width="13.296875" style="48" customWidth="1"/>
    <col min="3340" max="3340" width="14.69921875" style="48" customWidth="1"/>
    <col min="3341" max="3585" width="9.296875" style="48"/>
    <col min="3586" max="3586" width="6.69921875" style="48" customWidth="1"/>
    <col min="3587" max="3587" width="24.69921875" style="48" customWidth="1"/>
    <col min="3588" max="3588" width="13" style="48" customWidth="1"/>
    <col min="3589" max="3590" width="15.5" style="48" customWidth="1"/>
    <col min="3591" max="3591" width="11.5" style="48" customWidth="1"/>
    <col min="3592" max="3592" width="13" style="48" customWidth="1"/>
    <col min="3593" max="3594" width="14" style="48" customWidth="1"/>
    <col min="3595" max="3595" width="13.296875" style="48" customWidth="1"/>
    <col min="3596" max="3596" width="14.69921875" style="48" customWidth="1"/>
    <col min="3597" max="3841" width="9.296875" style="48"/>
    <col min="3842" max="3842" width="6.69921875" style="48" customWidth="1"/>
    <col min="3843" max="3843" width="24.69921875" style="48" customWidth="1"/>
    <col min="3844" max="3844" width="13" style="48" customWidth="1"/>
    <col min="3845" max="3846" width="15.5" style="48" customWidth="1"/>
    <col min="3847" max="3847" width="11.5" style="48" customWidth="1"/>
    <col min="3848" max="3848" width="13" style="48" customWidth="1"/>
    <col min="3849" max="3850" width="14" style="48" customWidth="1"/>
    <col min="3851" max="3851" width="13.296875" style="48" customWidth="1"/>
    <col min="3852" max="3852" width="14.69921875" style="48" customWidth="1"/>
    <col min="3853" max="4097" width="9.296875" style="48"/>
    <col min="4098" max="4098" width="6.69921875" style="48" customWidth="1"/>
    <col min="4099" max="4099" width="24.69921875" style="48" customWidth="1"/>
    <col min="4100" max="4100" width="13" style="48" customWidth="1"/>
    <col min="4101" max="4102" width="15.5" style="48" customWidth="1"/>
    <col min="4103" max="4103" width="11.5" style="48" customWidth="1"/>
    <col min="4104" max="4104" width="13" style="48" customWidth="1"/>
    <col min="4105" max="4106" width="14" style="48" customWidth="1"/>
    <col min="4107" max="4107" width="13.296875" style="48" customWidth="1"/>
    <col min="4108" max="4108" width="14.69921875" style="48" customWidth="1"/>
    <col min="4109" max="4353" width="9.296875" style="48"/>
    <col min="4354" max="4354" width="6.69921875" style="48" customWidth="1"/>
    <col min="4355" max="4355" width="24.69921875" style="48" customWidth="1"/>
    <col min="4356" max="4356" width="13" style="48" customWidth="1"/>
    <col min="4357" max="4358" width="15.5" style="48" customWidth="1"/>
    <col min="4359" max="4359" width="11.5" style="48" customWidth="1"/>
    <col min="4360" max="4360" width="13" style="48" customWidth="1"/>
    <col min="4361" max="4362" width="14" style="48" customWidth="1"/>
    <col min="4363" max="4363" width="13.296875" style="48" customWidth="1"/>
    <col min="4364" max="4364" width="14.69921875" style="48" customWidth="1"/>
    <col min="4365" max="4609" width="9.296875" style="48"/>
    <col min="4610" max="4610" width="6.69921875" style="48" customWidth="1"/>
    <col min="4611" max="4611" width="24.69921875" style="48" customWidth="1"/>
    <col min="4612" max="4612" width="13" style="48" customWidth="1"/>
    <col min="4613" max="4614" width="15.5" style="48" customWidth="1"/>
    <col min="4615" max="4615" width="11.5" style="48" customWidth="1"/>
    <col min="4616" max="4616" width="13" style="48" customWidth="1"/>
    <col min="4617" max="4618" width="14" style="48" customWidth="1"/>
    <col min="4619" max="4619" width="13.296875" style="48" customWidth="1"/>
    <col min="4620" max="4620" width="14.69921875" style="48" customWidth="1"/>
    <col min="4621" max="4865" width="9.296875" style="48"/>
    <col min="4866" max="4866" width="6.69921875" style="48" customWidth="1"/>
    <col min="4867" max="4867" width="24.69921875" style="48" customWidth="1"/>
    <col min="4868" max="4868" width="13" style="48" customWidth="1"/>
    <col min="4869" max="4870" width="15.5" style="48" customWidth="1"/>
    <col min="4871" max="4871" width="11.5" style="48" customWidth="1"/>
    <col min="4872" max="4872" width="13" style="48" customWidth="1"/>
    <col min="4873" max="4874" width="14" style="48" customWidth="1"/>
    <col min="4875" max="4875" width="13.296875" style="48" customWidth="1"/>
    <col min="4876" max="4876" width="14.69921875" style="48" customWidth="1"/>
    <col min="4877" max="5121" width="9.296875" style="48"/>
    <col min="5122" max="5122" width="6.69921875" style="48" customWidth="1"/>
    <col min="5123" max="5123" width="24.69921875" style="48" customWidth="1"/>
    <col min="5124" max="5124" width="13" style="48" customWidth="1"/>
    <col min="5125" max="5126" width="15.5" style="48" customWidth="1"/>
    <col min="5127" max="5127" width="11.5" style="48" customWidth="1"/>
    <col min="5128" max="5128" width="13" style="48" customWidth="1"/>
    <col min="5129" max="5130" width="14" style="48" customWidth="1"/>
    <col min="5131" max="5131" width="13.296875" style="48" customWidth="1"/>
    <col min="5132" max="5132" width="14.69921875" style="48" customWidth="1"/>
    <col min="5133" max="5377" width="9.296875" style="48"/>
    <col min="5378" max="5378" width="6.69921875" style="48" customWidth="1"/>
    <col min="5379" max="5379" width="24.69921875" style="48" customWidth="1"/>
    <col min="5380" max="5380" width="13" style="48" customWidth="1"/>
    <col min="5381" max="5382" width="15.5" style="48" customWidth="1"/>
    <col min="5383" max="5383" width="11.5" style="48" customWidth="1"/>
    <col min="5384" max="5384" width="13" style="48" customWidth="1"/>
    <col min="5385" max="5386" width="14" style="48" customWidth="1"/>
    <col min="5387" max="5387" width="13.296875" style="48" customWidth="1"/>
    <col min="5388" max="5388" width="14.69921875" style="48" customWidth="1"/>
    <col min="5389" max="5633" width="9.296875" style="48"/>
    <col min="5634" max="5634" width="6.69921875" style="48" customWidth="1"/>
    <col min="5635" max="5635" width="24.69921875" style="48" customWidth="1"/>
    <col min="5636" max="5636" width="13" style="48" customWidth="1"/>
    <col min="5637" max="5638" width="15.5" style="48" customWidth="1"/>
    <col min="5639" max="5639" width="11.5" style="48" customWidth="1"/>
    <col min="5640" max="5640" width="13" style="48" customWidth="1"/>
    <col min="5641" max="5642" width="14" style="48" customWidth="1"/>
    <col min="5643" max="5643" width="13.296875" style="48" customWidth="1"/>
    <col min="5644" max="5644" width="14.69921875" style="48" customWidth="1"/>
    <col min="5645" max="5889" width="9.296875" style="48"/>
    <col min="5890" max="5890" width="6.69921875" style="48" customWidth="1"/>
    <col min="5891" max="5891" width="24.69921875" style="48" customWidth="1"/>
    <col min="5892" max="5892" width="13" style="48" customWidth="1"/>
    <col min="5893" max="5894" width="15.5" style="48" customWidth="1"/>
    <col min="5895" max="5895" width="11.5" style="48" customWidth="1"/>
    <col min="5896" max="5896" width="13" style="48" customWidth="1"/>
    <col min="5897" max="5898" width="14" style="48" customWidth="1"/>
    <col min="5899" max="5899" width="13.296875" style="48" customWidth="1"/>
    <col min="5900" max="5900" width="14.69921875" style="48" customWidth="1"/>
    <col min="5901" max="6145" width="9.296875" style="48"/>
    <col min="6146" max="6146" width="6.69921875" style="48" customWidth="1"/>
    <col min="6147" max="6147" width="24.69921875" style="48" customWidth="1"/>
    <col min="6148" max="6148" width="13" style="48" customWidth="1"/>
    <col min="6149" max="6150" width="15.5" style="48" customWidth="1"/>
    <col min="6151" max="6151" width="11.5" style="48" customWidth="1"/>
    <col min="6152" max="6152" width="13" style="48" customWidth="1"/>
    <col min="6153" max="6154" width="14" style="48" customWidth="1"/>
    <col min="6155" max="6155" width="13.296875" style="48" customWidth="1"/>
    <col min="6156" max="6156" width="14.69921875" style="48" customWidth="1"/>
    <col min="6157" max="6401" width="9.296875" style="48"/>
    <col min="6402" max="6402" width="6.69921875" style="48" customWidth="1"/>
    <col min="6403" max="6403" width="24.69921875" style="48" customWidth="1"/>
    <col min="6404" max="6404" width="13" style="48" customWidth="1"/>
    <col min="6405" max="6406" width="15.5" style="48" customWidth="1"/>
    <col min="6407" max="6407" width="11.5" style="48" customWidth="1"/>
    <col min="6408" max="6408" width="13" style="48" customWidth="1"/>
    <col min="6409" max="6410" width="14" style="48" customWidth="1"/>
    <col min="6411" max="6411" width="13.296875" style="48" customWidth="1"/>
    <col min="6412" max="6412" width="14.69921875" style="48" customWidth="1"/>
    <col min="6413" max="6657" width="9.296875" style="48"/>
    <col min="6658" max="6658" width="6.69921875" style="48" customWidth="1"/>
    <col min="6659" max="6659" width="24.69921875" style="48" customWidth="1"/>
    <col min="6660" max="6660" width="13" style="48" customWidth="1"/>
    <col min="6661" max="6662" width="15.5" style="48" customWidth="1"/>
    <col min="6663" max="6663" width="11.5" style="48" customWidth="1"/>
    <col min="6664" max="6664" width="13" style="48" customWidth="1"/>
    <col min="6665" max="6666" width="14" style="48" customWidth="1"/>
    <col min="6667" max="6667" width="13.296875" style="48" customWidth="1"/>
    <col min="6668" max="6668" width="14.69921875" style="48" customWidth="1"/>
    <col min="6669" max="6913" width="9.296875" style="48"/>
    <col min="6914" max="6914" width="6.69921875" style="48" customWidth="1"/>
    <col min="6915" max="6915" width="24.69921875" style="48" customWidth="1"/>
    <col min="6916" max="6916" width="13" style="48" customWidth="1"/>
    <col min="6917" max="6918" width="15.5" style="48" customWidth="1"/>
    <col min="6919" max="6919" width="11.5" style="48" customWidth="1"/>
    <col min="6920" max="6920" width="13" style="48" customWidth="1"/>
    <col min="6921" max="6922" width="14" style="48" customWidth="1"/>
    <col min="6923" max="6923" width="13.296875" style="48" customWidth="1"/>
    <col min="6924" max="6924" width="14.69921875" style="48" customWidth="1"/>
    <col min="6925" max="7169" width="9.296875" style="48"/>
    <col min="7170" max="7170" width="6.69921875" style="48" customWidth="1"/>
    <col min="7171" max="7171" width="24.69921875" style="48" customWidth="1"/>
    <col min="7172" max="7172" width="13" style="48" customWidth="1"/>
    <col min="7173" max="7174" width="15.5" style="48" customWidth="1"/>
    <col min="7175" max="7175" width="11.5" style="48" customWidth="1"/>
    <col min="7176" max="7176" width="13" style="48" customWidth="1"/>
    <col min="7177" max="7178" width="14" style="48" customWidth="1"/>
    <col min="7179" max="7179" width="13.296875" style="48" customWidth="1"/>
    <col min="7180" max="7180" width="14.69921875" style="48" customWidth="1"/>
    <col min="7181" max="7425" width="9.296875" style="48"/>
    <col min="7426" max="7426" width="6.69921875" style="48" customWidth="1"/>
    <col min="7427" max="7427" width="24.69921875" style="48" customWidth="1"/>
    <col min="7428" max="7428" width="13" style="48" customWidth="1"/>
    <col min="7429" max="7430" width="15.5" style="48" customWidth="1"/>
    <col min="7431" max="7431" width="11.5" style="48" customWidth="1"/>
    <col min="7432" max="7432" width="13" style="48" customWidth="1"/>
    <col min="7433" max="7434" width="14" style="48" customWidth="1"/>
    <col min="7435" max="7435" width="13.296875" style="48" customWidth="1"/>
    <col min="7436" max="7436" width="14.69921875" style="48" customWidth="1"/>
    <col min="7437" max="7681" width="9.296875" style="48"/>
    <col min="7682" max="7682" width="6.69921875" style="48" customWidth="1"/>
    <col min="7683" max="7683" width="24.69921875" style="48" customWidth="1"/>
    <col min="7684" max="7684" width="13" style="48" customWidth="1"/>
    <col min="7685" max="7686" width="15.5" style="48" customWidth="1"/>
    <col min="7687" max="7687" width="11.5" style="48" customWidth="1"/>
    <col min="7688" max="7688" width="13" style="48" customWidth="1"/>
    <col min="7689" max="7690" width="14" style="48" customWidth="1"/>
    <col min="7691" max="7691" width="13.296875" style="48" customWidth="1"/>
    <col min="7692" max="7692" width="14.69921875" style="48" customWidth="1"/>
    <col min="7693" max="7937" width="9.296875" style="48"/>
    <col min="7938" max="7938" width="6.69921875" style="48" customWidth="1"/>
    <col min="7939" max="7939" width="24.69921875" style="48" customWidth="1"/>
    <col min="7940" max="7940" width="13" style="48" customWidth="1"/>
    <col min="7941" max="7942" width="15.5" style="48" customWidth="1"/>
    <col min="7943" max="7943" width="11.5" style="48" customWidth="1"/>
    <col min="7944" max="7944" width="13" style="48" customWidth="1"/>
    <col min="7945" max="7946" width="14" style="48" customWidth="1"/>
    <col min="7947" max="7947" width="13.296875" style="48" customWidth="1"/>
    <col min="7948" max="7948" width="14.69921875" style="48" customWidth="1"/>
    <col min="7949" max="8193" width="9.296875" style="48"/>
    <col min="8194" max="8194" width="6.69921875" style="48" customWidth="1"/>
    <col min="8195" max="8195" width="24.69921875" style="48" customWidth="1"/>
    <col min="8196" max="8196" width="13" style="48" customWidth="1"/>
    <col min="8197" max="8198" width="15.5" style="48" customWidth="1"/>
    <col min="8199" max="8199" width="11.5" style="48" customWidth="1"/>
    <col min="8200" max="8200" width="13" style="48" customWidth="1"/>
    <col min="8201" max="8202" width="14" style="48" customWidth="1"/>
    <col min="8203" max="8203" width="13.296875" style="48" customWidth="1"/>
    <col min="8204" max="8204" width="14.69921875" style="48" customWidth="1"/>
    <col min="8205" max="8449" width="9.296875" style="48"/>
    <col min="8450" max="8450" width="6.69921875" style="48" customWidth="1"/>
    <col min="8451" max="8451" width="24.69921875" style="48" customWidth="1"/>
    <col min="8452" max="8452" width="13" style="48" customWidth="1"/>
    <col min="8453" max="8454" width="15.5" style="48" customWidth="1"/>
    <col min="8455" max="8455" width="11.5" style="48" customWidth="1"/>
    <col min="8456" max="8456" width="13" style="48" customWidth="1"/>
    <col min="8457" max="8458" width="14" style="48" customWidth="1"/>
    <col min="8459" max="8459" width="13.296875" style="48" customWidth="1"/>
    <col min="8460" max="8460" width="14.69921875" style="48" customWidth="1"/>
    <col min="8461" max="8705" width="9.296875" style="48"/>
    <col min="8706" max="8706" width="6.69921875" style="48" customWidth="1"/>
    <col min="8707" max="8707" width="24.69921875" style="48" customWidth="1"/>
    <col min="8708" max="8708" width="13" style="48" customWidth="1"/>
    <col min="8709" max="8710" width="15.5" style="48" customWidth="1"/>
    <col min="8711" max="8711" width="11.5" style="48" customWidth="1"/>
    <col min="8712" max="8712" width="13" style="48" customWidth="1"/>
    <col min="8713" max="8714" width="14" style="48" customWidth="1"/>
    <col min="8715" max="8715" width="13.296875" style="48" customWidth="1"/>
    <col min="8716" max="8716" width="14.69921875" style="48" customWidth="1"/>
    <col min="8717" max="8961" width="9.296875" style="48"/>
    <col min="8962" max="8962" width="6.69921875" style="48" customWidth="1"/>
    <col min="8963" max="8963" width="24.69921875" style="48" customWidth="1"/>
    <col min="8964" max="8964" width="13" style="48" customWidth="1"/>
    <col min="8965" max="8966" width="15.5" style="48" customWidth="1"/>
    <col min="8967" max="8967" width="11.5" style="48" customWidth="1"/>
    <col min="8968" max="8968" width="13" style="48" customWidth="1"/>
    <col min="8969" max="8970" width="14" style="48" customWidth="1"/>
    <col min="8971" max="8971" width="13.296875" style="48" customWidth="1"/>
    <col min="8972" max="8972" width="14.69921875" style="48" customWidth="1"/>
    <col min="8973" max="9217" width="9.296875" style="48"/>
    <col min="9218" max="9218" width="6.69921875" style="48" customWidth="1"/>
    <col min="9219" max="9219" width="24.69921875" style="48" customWidth="1"/>
    <col min="9220" max="9220" width="13" style="48" customWidth="1"/>
    <col min="9221" max="9222" width="15.5" style="48" customWidth="1"/>
    <col min="9223" max="9223" width="11.5" style="48" customWidth="1"/>
    <col min="9224" max="9224" width="13" style="48" customWidth="1"/>
    <col min="9225" max="9226" width="14" style="48" customWidth="1"/>
    <col min="9227" max="9227" width="13.296875" style="48" customWidth="1"/>
    <col min="9228" max="9228" width="14.69921875" style="48" customWidth="1"/>
    <col min="9229" max="9473" width="9.296875" style="48"/>
    <col min="9474" max="9474" width="6.69921875" style="48" customWidth="1"/>
    <col min="9475" max="9475" width="24.69921875" style="48" customWidth="1"/>
    <col min="9476" max="9476" width="13" style="48" customWidth="1"/>
    <col min="9477" max="9478" width="15.5" style="48" customWidth="1"/>
    <col min="9479" max="9479" width="11.5" style="48" customWidth="1"/>
    <col min="9480" max="9480" width="13" style="48" customWidth="1"/>
    <col min="9481" max="9482" width="14" style="48" customWidth="1"/>
    <col min="9483" max="9483" width="13.296875" style="48" customWidth="1"/>
    <col min="9484" max="9484" width="14.69921875" style="48" customWidth="1"/>
    <col min="9485" max="9729" width="9.296875" style="48"/>
    <col min="9730" max="9730" width="6.69921875" style="48" customWidth="1"/>
    <col min="9731" max="9731" width="24.69921875" style="48" customWidth="1"/>
    <col min="9732" max="9732" width="13" style="48" customWidth="1"/>
    <col min="9733" max="9734" width="15.5" style="48" customWidth="1"/>
    <col min="9735" max="9735" width="11.5" style="48" customWidth="1"/>
    <col min="9736" max="9736" width="13" style="48" customWidth="1"/>
    <col min="9737" max="9738" width="14" style="48" customWidth="1"/>
    <col min="9739" max="9739" width="13.296875" style="48" customWidth="1"/>
    <col min="9740" max="9740" width="14.69921875" style="48" customWidth="1"/>
    <col min="9741" max="9985" width="9.296875" style="48"/>
    <col min="9986" max="9986" width="6.69921875" style="48" customWidth="1"/>
    <col min="9987" max="9987" width="24.69921875" style="48" customWidth="1"/>
    <col min="9988" max="9988" width="13" style="48" customWidth="1"/>
    <col min="9989" max="9990" width="15.5" style="48" customWidth="1"/>
    <col min="9991" max="9991" width="11.5" style="48" customWidth="1"/>
    <col min="9992" max="9992" width="13" style="48" customWidth="1"/>
    <col min="9993" max="9994" width="14" style="48" customWidth="1"/>
    <col min="9995" max="9995" width="13.296875" style="48" customWidth="1"/>
    <col min="9996" max="9996" width="14.69921875" style="48" customWidth="1"/>
    <col min="9997" max="10241" width="9.296875" style="48"/>
    <col min="10242" max="10242" width="6.69921875" style="48" customWidth="1"/>
    <col min="10243" max="10243" width="24.69921875" style="48" customWidth="1"/>
    <col min="10244" max="10244" width="13" style="48" customWidth="1"/>
    <col min="10245" max="10246" width="15.5" style="48" customWidth="1"/>
    <col min="10247" max="10247" width="11.5" style="48" customWidth="1"/>
    <col min="10248" max="10248" width="13" style="48" customWidth="1"/>
    <col min="10249" max="10250" width="14" style="48" customWidth="1"/>
    <col min="10251" max="10251" width="13.296875" style="48" customWidth="1"/>
    <col min="10252" max="10252" width="14.69921875" style="48" customWidth="1"/>
    <col min="10253" max="10497" width="9.296875" style="48"/>
    <col min="10498" max="10498" width="6.69921875" style="48" customWidth="1"/>
    <col min="10499" max="10499" width="24.69921875" style="48" customWidth="1"/>
    <col min="10500" max="10500" width="13" style="48" customWidth="1"/>
    <col min="10501" max="10502" width="15.5" style="48" customWidth="1"/>
    <col min="10503" max="10503" width="11.5" style="48" customWidth="1"/>
    <col min="10504" max="10504" width="13" style="48" customWidth="1"/>
    <col min="10505" max="10506" width="14" style="48" customWidth="1"/>
    <col min="10507" max="10507" width="13.296875" style="48" customWidth="1"/>
    <col min="10508" max="10508" width="14.69921875" style="48" customWidth="1"/>
    <col min="10509" max="10753" width="9.296875" style="48"/>
    <col min="10754" max="10754" width="6.69921875" style="48" customWidth="1"/>
    <col min="10755" max="10755" width="24.69921875" style="48" customWidth="1"/>
    <col min="10756" max="10756" width="13" style="48" customWidth="1"/>
    <col min="10757" max="10758" width="15.5" style="48" customWidth="1"/>
    <col min="10759" max="10759" width="11.5" style="48" customWidth="1"/>
    <col min="10760" max="10760" width="13" style="48" customWidth="1"/>
    <col min="10761" max="10762" width="14" style="48" customWidth="1"/>
    <col min="10763" max="10763" width="13.296875" style="48" customWidth="1"/>
    <col min="10764" max="10764" width="14.69921875" style="48" customWidth="1"/>
    <col min="10765" max="11009" width="9.296875" style="48"/>
    <col min="11010" max="11010" width="6.69921875" style="48" customWidth="1"/>
    <col min="11011" max="11011" width="24.69921875" style="48" customWidth="1"/>
    <col min="11012" max="11012" width="13" style="48" customWidth="1"/>
    <col min="11013" max="11014" width="15.5" style="48" customWidth="1"/>
    <col min="11015" max="11015" width="11.5" style="48" customWidth="1"/>
    <col min="11016" max="11016" width="13" style="48" customWidth="1"/>
    <col min="11017" max="11018" width="14" style="48" customWidth="1"/>
    <col min="11019" max="11019" width="13.296875" style="48" customWidth="1"/>
    <col min="11020" max="11020" width="14.69921875" style="48" customWidth="1"/>
    <col min="11021" max="11265" width="9.296875" style="48"/>
    <col min="11266" max="11266" width="6.69921875" style="48" customWidth="1"/>
    <col min="11267" max="11267" width="24.69921875" style="48" customWidth="1"/>
    <col min="11268" max="11268" width="13" style="48" customWidth="1"/>
    <col min="11269" max="11270" width="15.5" style="48" customWidth="1"/>
    <col min="11271" max="11271" width="11.5" style="48" customWidth="1"/>
    <col min="11272" max="11272" width="13" style="48" customWidth="1"/>
    <col min="11273" max="11274" width="14" style="48" customWidth="1"/>
    <col min="11275" max="11275" width="13.296875" style="48" customWidth="1"/>
    <col min="11276" max="11276" width="14.69921875" style="48" customWidth="1"/>
    <col min="11277" max="11521" width="9.296875" style="48"/>
    <col min="11522" max="11522" width="6.69921875" style="48" customWidth="1"/>
    <col min="11523" max="11523" width="24.69921875" style="48" customWidth="1"/>
    <col min="11524" max="11524" width="13" style="48" customWidth="1"/>
    <col min="11525" max="11526" width="15.5" style="48" customWidth="1"/>
    <col min="11527" max="11527" width="11.5" style="48" customWidth="1"/>
    <col min="11528" max="11528" width="13" style="48" customWidth="1"/>
    <col min="11529" max="11530" width="14" style="48" customWidth="1"/>
    <col min="11531" max="11531" width="13.296875" style="48" customWidth="1"/>
    <col min="11532" max="11532" width="14.69921875" style="48" customWidth="1"/>
    <col min="11533" max="11777" width="9.296875" style="48"/>
    <col min="11778" max="11778" width="6.69921875" style="48" customWidth="1"/>
    <col min="11779" max="11779" width="24.69921875" style="48" customWidth="1"/>
    <col min="11780" max="11780" width="13" style="48" customWidth="1"/>
    <col min="11781" max="11782" width="15.5" style="48" customWidth="1"/>
    <col min="11783" max="11783" width="11.5" style="48" customWidth="1"/>
    <col min="11784" max="11784" width="13" style="48" customWidth="1"/>
    <col min="11785" max="11786" width="14" style="48" customWidth="1"/>
    <col min="11787" max="11787" width="13.296875" style="48" customWidth="1"/>
    <col min="11788" max="11788" width="14.69921875" style="48" customWidth="1"/>
    <col min="11789" max="12033" width="9.296875" style="48"/>
    <col min="12034" max="12034" width="6.69921875" style="48" customWidth="1"/>
    <col min="12035" max="12035" width="24.69921875" style="48" customWidth="1"/>
    <col min="12036" max="12036" width="13" style="48" customWidth="1"/>
    <col min="12037" max="12038" width="15.5" style="48" customWidth="1"/>
    <col min="12039" max="12039" width="11.5" style="48" customWidth="1"/>
    <col min="12040" max="12040" width="13" style="48" customWidth="1"/>
    <col min="12041" max="12042" width="14" style="48" customWidth="1"/>
    <col min="12043" max="12043" width="13.296875" style="48" customWidth="1"/>
    <col min="12044" max="12044" width="14.69921875" style="48" customWidth="1"/>
    <col min="12045" max="12289" width="9.296875" style="48"/>
    <col min="12290" max="12290" width="6.69921875" style="48" customWidth="1"/>
    <col min="12291" max="12291" width="24.69921875" style="48" customWidth="1"/>
    <col min="12292" max="12292" width="13" style="48" customWidth="1"/>
    <col min="12293" max="12294" width="15.5" style="48" customWidth="1"/>
    <col min="12295" max="12295" width="11.5" style="48" customWidth="1"/>
    <col min="12296" max="12296" width="13" style="48" customWidth="1"/>
    <col min="12297" max="12298" width="14" style="48" customWidth="1"/>
    <col min="12299" max="12299" width="13.296875" style="48" customWidth="1"/>
    <col min="12300" max="12300" width="14.69921875" style="48" customWidth="1"/>
    <col min="12301" max="12545" width="9.296875" style="48"/>
    <col min="12546" max="12546" width="6.69921875" style="48" customWidth="1"/>
    <col min="12547" max="12547" width="24.69921875" style="48" customWidth="1"/>
    <col min="12548" max="12548" width="13" style="48" customWidth="1"/>
    <col min="12549" max="12550" width="15.5" style="48" customWidth="1"/>
    <col min="12551" max="12551" width="11.5" style="48" customWidth="1"/>
    <col min="12552" max="12552" width="13" style="48" customWidth="1"/>
    <col min="12553" max="12554" width="14" style="48" customWidth="1"/>
    <col min="12555" max="12555" width="13.296875" style="48" customWidth="1"/>
    <col min="12556" max="12556" width="14.69921875" style="48" customWidth="1"/>
    <col min="12557" max="12801" width="9.296875" style="48"/>
    <col min="12802" max="12802" width="6.69921875" style="48" customWidth="1"/>
    <col min="12803" max="12803" width="24.69921875" style="48" customWidth="1"/>
    <col min="12804" max="12804" width="13" style="48" customWidth="1"/>
    <col min="12805" max="12806" width="15.5" style="48" customWidth="1"/>
    <col min="12807" max="12807" width="11.5" style="48" customWidth="1"/>
    <col min="12808" max="12808" width="13" style="48" customWidth="1"/>
    <col min="12809" max="12810" width="14" style="48" customWidth="1"/>
    <col min="12811" max="12811" width="13.296875" style="48" customWidth="1"/>
    <col min="12812" max="12812" width="14.69921875" style="48" customWidth="1"/>
    <col min="12813" max="13057" width="9.296875" style="48"/>
    <col min="13058" max="13058" width="6.69921875" style="48" customWidth="1"/>
    <col min="13059" max="13059" width="24.69921875" style="48" customWidth="1"/>
    <col min="13060" max="13060" width="13" style="48" customWidth="1"/>
    <col min="13061" max="13062" width="15.5" style="48" customWidth="1"/>
    <col min="13063" max="13063" width="11.5" style="48" customWidth="1"/>
    <col min="13064" max="13064" width="13" style="48" customWidth="1"/>
    <col min="13065" max="13066" width="14" style="48" customWidth="1"/>
    <col min="13067" max="13067" width="13.296875" style="48" customWidth="1"/>
    <col min="13068" max="13068" width="14.69921875" style="48" customWidth="1"/>
    <col min="13069" max="13313" width="9.296875" style="48"/>
    <col min="13314" max="13314" width="6.69921875" style="48" customWidth="1"/>
    <col min="13315" max="13315" width="24.69921875" style="48" customWidth="1"/>
    <col min="13316" max="13316" width="13" style="48" customWidth="1"/>
    <col min="13317" max="13318" width="15.5" style="48" customWidth="1"/>
    <col min="13319" max="13319" width="11.5" style="48" customWidth="1"/>
    <col min="13320" max="13320" width="13" style="48" customWidth="1"/>
    <col min="13321" max="13322" width="14" style="48" customWidth="1"/>
    <col min="13323" max="13323" width="13.296875" style="48" customWidth="1"/>
    <col min="13324" max="13324" width="14.69921875" style="48" customWidth="1"/>
    <col min="13325" max="13569" width="9.296875" style="48"/>
    <col min="13570" max="13570" width="6.69921875" style="48" customWidth="1"/>
    <col min="13571" max="13571" width="24.69921875" style="48" customWidth="1"/>
    <col min="13572" max="13572" width="13" style="48" customWidth="1"/>
    <col min="13573" max="13574" width="15.5" style="48" customWidth="1"/>
    <col min="13575" max="13575" width="11.5" style="48" customWidth="1"/>
    <col min="13576" max="13576" width="13" style="48" customWidth="1"/>
    <col min="13577" max="13578" width="14" style="48" customWidth="1"/>
    <col min="13579" max="13579" width="13.296875" style="48" customWidth="1"/>
    <col min="13580" max="13580" width="14.69921875" style="48" customWidth="1"/>
    <col min="13581" max="13825" width="9.296875" style="48"/>
    <col min="13826" max="13826" width="6.69921875" style="48" customWidth="1"/>
    <col min="13827" max="13827" width="24.69921875" style="48" customWidth="1"/>
    <col min="13828" max="13828" width="13" style="48" customWidth="1"/>
    <col min="13829" max="13830" width="15.5" style="48" customWidth="1"/>
    <col min="13831" max="13831" width="11.5" style="48" customWidth="1"/>
    <col min="13832" max="13832" width="13" style="48" customWidth="1"/>
    <col min="13833" max="13834" width="14" style="48" customWidth="1"/>
    <col min="13835" max="13835" width="13.296875" style="48" customWidth="1"/>
    <col min="13836" max="13836" width="14.69921875" style="48" customWidth="1"/>
    <col min="13837" max="14081" width="9.296875" style="48"/>
    <col min="14082" max="14082" width="6.69921875" style="48" customWidth="1"/>
    <col min="14083" max="14083" width="24.69921875" style="48" customWidth="1"/>
    <col min="14084" max="14084" width="13" style="48" customWidth="1"/>
    <col min="14085" max="14086" width="15.5" style="48" customWidth="1"/>
    <col min="14087" max="14087" width="11.5" style="48" customWidth="1"/>
    <col min="14088" max="14088" width="13" style="48" customWidth="1"/>
    <col min="14089" max="14090" width="14" style="48" customWidth="1"/>
    <col min="14091" max="14091" width="13.296875" style="48" customWidth="1"/>
    <col min="14092" max="14092" width="14.69921875" style="48" customWidth="1"/>
    <col min="14093" max="14337" width="9.296875" style="48"/>
    <col min="14338" max="14338" width="6.69921875" style="48" customWidth="1"/>
    <col min="14339" max="14339" width="24.69921875" style="48" customWidth="1"/>
    <col min="14340" max="14340" width="13" style="48" customWidth="1"/>
    <col min="14341" max="14342" width="15.5" style="48" customWidth="1"/>
    <col min="14343" max="14343" width="11.5" style="48" customWidth="1"/>
    <col min="14344" max="14344" width="13" style="48" customWidth="1"/>
    <col min="14345" max="14346" width="14" style="48" customWidth="1"/>
    <col min="14347" max="14347" width="13.296875" style="48" customWidth="1"/>
    <col min="14348" max="14348" width="14.69921875" style="48" customWidth="1"/>
    <col min="14349" max="14593" width="9.296875" style="48"/>
    <col min="14594" max="14594" width="6.69921875" style="48" customWidth="1"/>
    <col min="14595" max="14595" width="24.69921875" style="48" customWidth="1"/>
    <col min="14596" max="14596" width="13" style="48" customWidth="1"/>
    <col min="14597" max="14598" width="15.5" style="48" customWidth="1"/>
    <col min="14599" max="14599" width="11.5" style="48" customWidth="1"/>
    <col min="14600" max="14600" width="13" style="48" customWidth="1"/>
    <col min="14601" max="14602" width="14" style="48" customWidth="1"/>
    <col min="14603" max="14603" width="13.296875" style="48" customWidth="1"/>
    <col min="14604" max="14604" width="14.69921875" style="48" customWidth="1"/>
    <col min="14605" max="14849" width="9.296875" style="48"/>
    <col min="14850" max="14850" width="6.69921875" style="48" customWidth="1"/>
    <col min="14851" max="14851" width="24.69921875" style="48" customWidth="1"/>
    <col min="14852" max="14852" width="13" style="48" customWidth="1"/>
    <col min="14853" max="14854" width="15.5" style="48" customWidth="1"/>
    <col min="14855" max="14855" width="11.5" style="48" customWidth="1"/>
    <col min="14856" max="14856" width="13" style="48" customWidth="1"/>
    <col min="14857" max="14858" width="14" style="48" customWidth="1"/>
    <col min="14859" max="14859" width="13.296875" style="48" customWidth="1"/>
    <col min="14860" max="14860" width="14.69921875" style="48" customWidth="1"/>
    <col min="14861" max="15105" width="9.296875" style="48"/>
    <col min="15106" max="15106" width="6.69921875" style="48" customWidth="1"/>
    <col min="15107" max="15107" width="24.69921875" style="48" customWidth="1"/>
    <col min="15108" max="15108" width="13" style="48" customWidth="1"/>
    <col min="15109" max="15110" width="15.5" style="48" customWidth="1"/>
    <col min="15111" max="15111" width="11.5" style="48" customWidth="1"/>
    <col min="15112" max="15112" width="13" style="48" customWidth="1"/>
    <col min="15113" max="15114" width="14" style="48" customWidth="1"/>
    <col min="15115" max="15115" width="13.296875" style="48" customWidth="1"/>
    <col min="15116" max="15116" width="14.69921875" style="48" customWidth="1"/>
    <col min="15117" max="15361" width="9.296875" style="48"/>
    <col min="15362" max="15362" width="6.69921875" style="48" customWidth="1"/>
    <col min="15363" max="15363" width="24.69921875" style="48" customWidth="1"/>
    <col min="15364" max="15364" width="13" style="48" customWidth="1"/>
    <col min="15365" max="15366" width="15.5" style="48" customWidth="1"/>
    <col min="15367" max="15367" width="11.5" style="48" customWidth="1"/>
    <col min="15368" max="15368" width="13" style="48" customWidth="1"/>
    <col min="15369" max="15370" width="14" style="48" customWidth="1"/>
    <col min="15371" max="15371" width="13.296875" style="48" customWidth="1"/>
    <col min="15372" max="15372" width="14.69921875" style="48" customWidth="1"/>
    <col min="15373" max="15617" width="9.296875" style="48"/>
    <col min="15618" max="15618" width="6.69921875" style="48" customWidth="1"/>
    <col min="15619" max="15619" width="24.69921875" style="48" customWidth="1"/>
    <col min="15620" max="15620" width="13" style="48" customWidth="1"/>
    <col min="15621" max="15622" width="15.5" style="48" customWidth="1"/>
    <col min="15623" max="15623" width="11.5" style="48" customWidth="1"/>
    <col min="15624" max="15624" width="13" style="48" customWidth="1"/>
    <col min="15625" max="15626" width="14" style="48" customWidth="1"/>
    <col min="15627" max="15627" width="13.296875" style="48" customWidth="1"/>
    <col min="15628" max="15628" width="14.69921875" style="48" customWidth="1"/>
    <col min="15629" max="15873" width="9.296875" style="48"/>
    <col min="15874" max="15874" width="6.69921875" style="48" customWidth="1"/>
    <col min="15875" max="15875" width="24.69921875" style="48" customWidth="1"/>
    <col min="15876" max="15876" width="13" style="48" customWidth="1"/>
    <col min="15877" max="15878" width="15.5" style="48" customWidth="1"/>
    <col min="15879" max="15879" width="11.5" style="48" customWidth="1"/>
    <col min="15880" max="15880" width="13" style="48" customWidth="1"/>
    <col min="15881" max="15882" width="14" style="48" customWidth="1"/>
    <col min="15883" max="15883" width="13.296875" style="48" customWidth="1"/>
    <col min="15884" max="15884" width="14.69921875" style="48" customWidth="1"/>
    <col min="15885" max="16129" width="9.296875" style="48"/>
    <col min="16130" max="16130" width="6.69921875" style="48" customWidth="1"/>
    <col min="16131" max="16131" width="24.69921875" style="48" customWidth="1"/>
    <col min="16132" max="16132" width="13" style="48" customWidth="1"/>
    <col min="16133" max="16134" width="15.5" style="48" customWidth="1"/>
    <col min="16135" max="16135" width="11.5" style="48" customWidth="1"/>
    <col min="16136" max="16136" width="13" style="48" customWidth="1"/>
    <col min="16137" max="16138" width="14" style="48" customWidth="1"/>
    <col min="16139" max="16139" width="13.296875" style="48" customWidth="1"/>
    <col min="16140" max="16140" width="14.69921875" style="48" customWidth="1"/>
    <col min="16141" max="16384" width="9.296875" style="48"/>
  </cols>
  <sheetData>
    <row r="1" spans="1:12" ht="33" customHeight="1" x14ac:dyDescent="0.3">
      <c r="A1" s="1072" t="s">
        <v>522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</row>
    <row r="2" spans="1:12" ht="14" x14ac:dyDescent="0.35">
      <c r="A2" s="49"/>
      <c r="B2" s="50"/>
      <c r="C2" s="50"/>
      <c r="D2" s="51"/>
      <c r="E2" s="52"/>
      <c r="F2" s="52"/>
      <c r="G2" s="53"/>
      <c r="H2" s="53"/>
      <c r="I2" s="52"/>
    </row>
    <row r="3" spans="1:12" ht="14" x14ac:dyDescent="0.35">
      <c r="A3" s="49"/>
      <c r="B3" s="54"/>
      <c r="C3" s="54"/>
      <c r="D3" s="205"/>
      <c r="E3" s="204"/>
      <c r="F3" s="204"/>
      <c r="G3" s="51"/>
      <c r="H3" s="51"/>
      <c r="I3" s="51"/>
      <c r="L3" s="649" t="s">
        <v>1</v>
      </c>
    </row>
    <row r="4" spans="1:12" s="56" customFormat="1" ht="69.75" customHeight="1" x14ac:dyDescent="0.3">
      <c r="A4" s="390" t="s">
        <v>404</v>
      </c>
      <c r="B4" s="390" t="s">
        <v>449</v>
      </c>
      <c r="C4" s="390" t="s">
        <v>450</v>
      </c>
      <c r="D4" s="390" t="s">
        <v>725</v>
      </c>
      <c r="E4" s="390" t="s">
        <v>451</v>
      </c>
      <c r="F4" s="390" t="s">
        <v>452</v>
      </c>
      <c r="G4" s="391" t="s">
        <v>453</v>
      </c>
      <c r="H4" s="391" t="s">
        <v>424</v>
      </c>
      <c r="I4" s="206" t="s">
        <v>454</v>
      </c>
      <c r="J4" s="392" t="s">
        <v>189</v>
      </c>
      <c r="K4" s="392" t="s">
        <v>726</v>
      </c>
      <c r="L4" s="206" t="s">
        <v>455</v>
      </c>
    </row>
    <row r="5" spans="1:12" ht="31.5" customHeight="1" x14ac:dyDescent="0.3">
      <c r="A5" s="393" t="s">
        <v>10</v>
      </c>
      <c r="B5" s="394" t="s">
        <v>458</v>
      </c>
      <c r="C5" s="440" t="s">
        <v>459</v>
      </c>
      <c r="D5" s="396"/>
      <c r="E5" s="397"/>
      <c r="F5" s="397"/>
      <c r="G5" s="398"/>
      <c r="H5" s="398"/>
      <c r="I5" s="397"/>
      <c r="J5" s="399">
        <v>0</v>
      </c>
      <c r="K5" s="399">
        <f>'11.sz.mell'!F37</f>
        <v>27195291</v>
      </c>
      <c r="L5" s="399">
        <f>SUM(D5:K5)</f>
        <v>27195291</v>
      </c>
    </row>
    <row r="6" spans="1:12" s="57" customFormat="1" ht="31.5" customHeight="1" x14ac:dyDescent="0.35">
      <c r="A6" s="390" t="s">
        <v>13</v>
      </c>
      <c r="B6" s="400" t="s">
        <v>796</v>
      </c>
      <c r="C6" s="441"/>
      <c r="D6" s="402"/>
      <c r="E6" s="403"/>
      <c r="F6" s="403"/>
      <c r="G6" s="404"/>
      <c r="H6" s="404"/>
      <c r="I6" s="403"/>
      <c r="J6" s="405">
        <v>788326</v>
      </c>
      <c r="K6" s="405">
        <v>30359247</v>
      </c>
      <c r="L6" s="405">
        <f t="shared" ref="L6:L15" si="0">SUM(D6:K6)</f>
        <v>31147573</v>
      </c>
    </row>
    <row r="7" spans="1:12" s="57" customFormat="1" ht="31.5" customHeight="1" x14ac:dyDescent="0.35">
      <c r="A7" s="390" t="s">
        <v>16</v>
      </c>
      <c r="B7" s="400" t="s">
        <v>823</v>
      </c>
      <c r="C7" s="441"/>
      <c r="D7" s="402"/>
      <c r="E7" s="403"/>
      <c r="F7" s="403"/>
      <c r="G7" s="404"/>
      <c r="H7" s="404"/>
      <c r="I7" s="403"/>
      <c r="J7" s="405">
        <v>788326</v>
      </c>
      <c r="K7" s="405">
        <v>27808686</v>
      </c>
      <c r="L7" s="405">
        <f t="shared" si="0"/>
        <v>28597012</v>
      </c>
    </row>
    <row r="8" spans="1:12" ht="39" customHeight="1" x14ac:dyDescent="0.3">
      <c r="A8" s="393" t="s">
        <v>19</v>
      </c>
      <c r="B8" s="394" t="s">
        <v>728</v>
      </c>
      <c r="C8" s="440" t="s">
        <v>727</v>
      </c>
      <c r="D8" s="396">
        <f>'11.sz.mell'!F8</f>
        <v>640402</v>
      </c>
      <c r="E8" s="397"/>
      <c r="F8" s="397"/>
      <c r="G8" s="398"/>
      <c r="H8" s="398"/>
      <c r="I8" s="397"/>
      <c r="J8" s="399"/>
      <c r="K8" s="399"/>
      <c r="L8" s="399">
        <f t="shared" si="0"/>
        <v>640402</v>
      </c>
    </row>
    <row r="9" spans="1:12" s="57" customFormat="1" ht="31.5" customHeight="1" x14ac:dyDescent="0.35">
      <c r="A9" s="390" t="s">
        <v>22</v>
      </c>
      <c r="B9" s="400" t="s">
        <v>796</v>
      </c>
      <c r="C9" s="441"/>
      <c r="D9" s="402">
        <v>7381113</v>
      </c>
      <c r="E9" s="403"/>
      <c r="F9" s="403">
        <v>0</v>
      </c>
      <c r="G9" s="404"/>
      <c r="H9" s="404"/>
      <c r="I9" s="403"/>
      <c r="J9" s="405"/>
      <c r="K9" s="405"/>
      <c r="L9" s="405">
        <f t="shared" si="0"/>
        <v>7381113</v>
      </c>
    </row>
    <row r="10" spans="1:12" s="57" customFormat="1" ht="31.5" customHeight="1" x14ac:dyDescent="0.35">
      <c r="A10" s="390" t="s">
        <v>25</v>
      </c>
      <c r="B10" s="400" t="s">
        <v>823</v>
      </c>
      <c r="C10" s="441"/>
      <c r="D10" s="402">
        <v>3855861</v>
      </c>
      <c r="E10" s="403"/>
      <c r="F10" s="403">
        <v>0</v>
      </c>
      <c r="G10" s="404"/>
      <c r="H10" s="404"/>
      <c r="I10" s="403"/>
      <c r="J10" s="405"/>
      <c r="K10" s="405"/>
      <c r="L10" s="405">
        <f t="shared" si="0"/>
        <v>3855861</v>
      </c>
    </row>
    <row r="11" spans="1:12" ht="31.5" customHeight="1" x14ac:dyDescent="0.3">
      <c r="A11" s="393" t="s">
        <v>28</v>
      </c>
      <c r="B11" s="394" t="s">
        <v>730</v>
      </c>
      <c r="C11" s="440" t="s">
        <v>729</v>
      </c>
      <c r="D11" s="396"/>
      <c r="E11" s="397"/>
      <c r="F11" s="397">
        <f>'11.sz.mell'!F17</f>
        <v>700000</v>
      </c>
      <c r="G11" s="398"/>
      <c r="H11" s="398"/>
      <c r="I11" s="397"/>
      <c r="J11" s="399"/>
      <c r="K11" s="399"/>
      <c r="L11" s="399">
        <f t="shared" si="0"/>
        <v>700000</v>
      </c>
    </row>
    <row r="12" spans="1:12" s="57" customFormat="1" ht="31.5" customHeight="1" x14ac:dyDescent="0.35">
      <c r="A12" s="390" t="s">
        <v>31</v>
      </c>
      <c r="B12" s="400" t="s">
        <v>796</v>
      </c>
      <c r="C12" s="441"/>
      <c r="D12" s="402"/>
      <c r="E12" s="403"/>
      <c r="F12" s="403">
        <v>1065071</v>
      </c>
      <c r="G12" s="404"/>
      <c r="H12" s="404">
        <v>45000</v>
      </c>
      <c r="I12" s="403"/>
      <c r="J12" s="405"/>
      <c r="K12" s="405"/>
      <c r="L12" s="405">
        <f t="shared" si="0"/>
        <v>1110071</v>
      </c>
    </row>
    <row r="13" spans="1:12" s="57" customFormat="1" ht="31.5" customHeight="1" x14ac:dyDescent="0.35">
      <c r="A13" s="390" t="s">
        <v>34</v>
      </c>
      <c r="B13" s="400" t="s">
        <v>823</v>
      </c>
      <c r="C13" s="441"/>
      <c r="D13" s="402"/>
      <c r="E13" s="403"/>
      <c r="F13" s="403">
        <v>1065071</v>
      </c>
      <c r="G13" s="404"/>
      <c r="H13" s="404">
        <v>45000</v>
      </c>
      <c r="I13" s="403"/>
      <c r="J13" s="405"/>
      <c r="K13" s="405"/>
      <c r="L13" s="405">
        <f t="shared" si="0"/>
        <v>1110071</v>
      </c>
    </row>
    <row r="14" spans="1:12" s="57" customFormat="1" ht="33" customHeight="1" x14ac:dyDescent="0.35">
      <c r="A14" s="393" t="s">
        <v>37</v>
      </c>
      <c r="B14" s="406" t="s">
        <v>830</v>
      </c>
      <c r="C14" s="407"/>
      <c r="D14" s="406">
        <f>D13+D10+D7</f>
        <v>3855861</v>
      </c>
      <c r="E14" s="406">
        <f t="shared" ref="E14:K14" si="1">E13+E10+E7</f>
        <v>0</v>
      </c>
      <c r="F14" s="406">
        <f t="shared" si="1"/>
        <v>1065071</v>
      </c>
      <c r="G14" s="406">
        <f t="shared" si="1"/>
        <v>0</v>
      </c>
      <c r="H14" s="406">
        <f t="shared" si="1"/>
        <v>45000</v>
      </c>
      <c r="I14" s="406">
        <f t="shared" si="1"/>
        <v>0</v>
      </c>
      <c r="J14" s="406">
        <f t="shared" si="1"/>
        <v>788326</v>
      </c>
      <c r="K14" s="406">
        <f t="shared" si="1"/>
        <v>27808686</v>
      </c>
      <c r="L14" s="405">
        <f t="shared" si="0"/>
        <v>33562944</v>
      </c>
    </row>
    <row r="15" spans="1:12" s="555" customFormat="1" ht="21" customHeight="1" x14ac:dyDescent="0.3">
      <c r="A15" s="390" t="s">
        <v>39</v>
      </c>
      <c r="B15" s="556" t="s">
        <v>831</v>
      </c>
      <c r="C15" s="556"/>
      <c r="D15" s="556">
        <f>D6+D9+D12</f>
        <v>7381113</v>
      </c>
      <c r="E15" s="556">
        <f t="shared" ref="E15:K15" si="2">E6+E9+E12</f>
        <v>0</v>
      </c>
      <c r="F15" s="556">
        <f t="shared" si="2"/>
        <v>1065071</v>
      </c>
      <c r="G15" s="556">
        <f t="shared" si="2"/>
        <v>0</v>
      </c>
      <c r="H15" s="556">
        <f t="shared" si="2"/>
        <v>45000</v>
      </c>
      <c r="I15" s="556">
        <f t="shared" si="2"/>
        <v>0</v>
      </c>
      <c r="J15" s="556">
        <f t="shared" si="2"/>
        <v>788326</v>
      </c>
      <c r="K15" s="556">
        <f t="shared" si="2"/>
        <v>30359247</v>
      </c>
      <c r="L15" s="405">
        <f t="shared" si="0"/>
        <v>39638757</v>
      </c>
    </row>
    <row r="16" spans="1:12" ht="42" customHeight="1" x14ac:dyDescent="0.35">
      <c r="A16" s="58"/>
      <c r="B16" s="61"/>
      <c r="C16" s="62"/>
      <c r="D16" s="63"/>
      <c r="E16" s="60"/>
      <c r="F16" s="60"/>
      <c r="G16" s="59"/>
      <c r="H16" s="59"/>
      <c r="I16" s="59"/>
    </row>
    <row r="17" spans="1:12" ht="42" customHeight="1" x14ac:dyDescent="0.35">
      <c r="A17" s="64"/>
      <c r="B17" s="65"/>
      <c r="C17" s="66"/>
      <c r="D17" s="67"/>
      <c r="E17" s="52"/>
      <c r="F17" s="52"/>
      <c r="G17" s="53"/>
      <c r="H17" s="53"/>
      <c r="I17" s="53"/>
    </row>
    <row r="18" spans="1:12" ht="14" x14ac:dyDescent="0.35">
      <c r="A18" s="49"/>
      <c r="B18" s="50"/>
      <c r="C18" s="50"/>
      <c r="D18" s="51"/>
      <c r="E18" s="51"/>
      <c r="F18" s="51"/>
      <c r="G18" s="51"/>
      <c r="H18" s="51"/>
      <c r="I18" s="51"/>
    </row>
    <row r="19" spans="1:12" s="69" customFormat="1" ht="14" x14ac:dyDescent="0.35">
      <c r="A19" s="49"/>
      <c r="B19" s="50"/>
      <c r="C19" s="50"/>
      <c r="D19" s="51"/>
      <c r="E19" s="52"/>
      <c r="F19" s="68"/>
      <c r="G19" s="68"/>
      <c r="H19" s="68"/>
      <c r="I19" s="68"/>
      <c r="L19" s="650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7/2018. (V.31.)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Layout" zoomScaleNormal="100" workbookViewId="0">
      <selection sqref="A1:M1"/>
    </sheetView>
  </sheetViews>
  <sheetFormatPr defaultRowHeight="13" x14ac:dyDescent="0.3"/>
  <cols>
    <col min="1" max="1" width="5.796875" style="70" customWidth="1"/>
    <col min="2" max="2" width="22.296875" style="48" customWidth="1"/>
    <col min="3" max="3" width="13" style="48" customWidth="1"/>
    <col min="4" max="4" width="12.796875" style="71" customWidth="1"/>
    <col min="5" max="5" width="15.5" style="71" customWidth="1"/>
    <col min="6" max="6" width="11.19921875" style="71" customWidth="1"/>
    <col min="7" max="7" width="13.296875" style="71" customWidth="1"/>
    <col min="8" max="9" width="14" style="71" customWidth="1"/>
    <col min="10" max="10" width="13.296875" style="48" customWidth="1"/>
    <col min="11" max="11" width="12.296875" style="48" customWidth="1"/>
    <col min="12" max="12" width="14.296875" style="48" customWidth="1"/>
    <col min="13" max="13" width="15.19921875" style="48" customWidth="1"/>
    <col min="14" max="256" width="9.296875" style="48"/>
    <col min="257" max="257" width="5.796875" style="48" customWidth="1"/>
    <col min="258" max="258" width="22.296875" style="48" customWidth="1"/>
    <col min="259" max="259" width="13" style="48" customWidth="1"/>
    <col min="260" max="260" width="11" style="48" customWidth="1"/>
    <col min="261" max="261" width="15.5" style="48" customWidth="1"/>
    <col min="262" max="262" width="11.19921875" style="48" customWidth="1"/>
    <col min="263" max="263" width="13.296875" style="48" customWidth="1"/>
    <col min="264" max="265" width="14" style="48" customWidth="1"/>
    <col min="266" max="266" width="13.296875" style="48" customWidth="1"/>
    <col min="267" max="267" width="12.296875" style="48" customWidth="1"/>
    <col min="268" max="268" width="14.296875" style="48" customWidth="1"/>
    <col min="269" max="269" width="15.19921875" style="48" customWidth="1"/>
    <col min="270" max="512" width="9.296875" style="48"/>
    <col min="513" max="513" width="5.796875" style="48" customWidth="1"/>
    <col min="514" max="514" width="22.296875" style="48" customWidth="1"/>
    <col min="515" max="515" width="13" style="48" customWidth="1"/>
    <col min="516" max="516" width="11" style="48" customWidth="1"/>
    <col min="517" max="517" width="15.5" style="48" customWidth="1"/>
    <col min="518" max="518" width="11.19921875" style="48" customWidth="1"/>
    <col min="519" max="519" width="13.296875" style="48" customWidth="1"/>
    <col min="520" max="521" width="14" style="48" customWidth="1"/>
    <col min="522" max="522" width="13.296875" style="48" customWidth="1"/>
    <col min="523" max="523" width="12.296875" style="48" customWidth="1"/>
    <col min="524" max="524" width="14.296875" style="48" customWidth="1"/>
    <col min="525" max="525" width="15.19921875" style="48" customWidth="1"/>
    <col min="526" max="768" width="9.296875" style="48"/>
    <col min="769" max="769" width="5.796875" style="48" customWidth="1"/>
    <col min="770" max="770" width="22.296875" style="48" customWidth="1"/>
    <col min="771" max="771" width="13" style="48" customWidth="1"/>
    <col min="772" max="772" width="11" style="48" customWidth="1"/>
    <col min="773" max="773" width="15.5" style="48" customWidth="1"/>
    <col min="774" max="774" width="11.19921875" style="48" customWidth="1"/>
    <col min="775" max="775" width="13.296875" style="48" customWidth="1"/>
    <col min="776" max="777" width="14" style="48" customWidth="1"/>
    <col min="778" max="778" width="13.296875" style="48" customWidth="1"/>
    <col min="779" max="779" width="12.296875" style="48" customWidth="1"/>
    <col min="780" max="780" width="14.296875" style="48" customWidth="1"/>
    <col min="781" max="781" width="15.19921875" style="48" customWidth="1"/>
    <col min="782" max="1024" width="9.296875" style="48"/>
    <col min="1025" max="1025" width="5.796875" style="48" customWidth="1"/>
    <col min="1026" max="1026" width="22.296875" style="48" customWidth="1"/>
    <col min="1027" max="1027" width="13" style="48" customWidth="1"/>
    <col min="1028" max="1028" width="11" style="48" customWidth="1"/>
    <col min="1029" max="1029" width="15.5" style="48" customWidth="1"/>
    <col min="1030" max="1030" width="11.19921875" style="48" customWidth="1"/>
    <col min="1031" max="1031" width="13.296875" style="48" customWidth="1"/>
    <col min="1032" max="1033" width="14" style="48" customWidth="1"/>
    <col min="1034" max="1034" width="13.296875" style="48" customWidth="1"/>
    <col min="1035" max="1035" width="12.296875" style="48" customWidth="1"/>
    <col min="1036" max="1036" width="14.296875" style="48" customWidth="1"/>
    <col min="1037" max="1037" width="15.19921875" style="48" customWidth="1"/>
    <col min="1038" max="1280" width="9.296875" style="48"/>
    <col min="1281" max="1281" width="5.796875" style="48" customWidth="1"/>
    <col min="1282" max="1282" width="22.296875" style="48" customWidth="1"/>
    <col min="1283" max="1283" width="13" style="48" customWidth="1"/>
    <col min="1284" max="1284" width="11" style="48" customWidth="1"/>
    <col min="1285" max="1285" width="15.5" style="48" customWidth="1"/>
    <col min="1286" max="1286" width="11.19921875" style="48" customWidth="1"/>
    <col min="1287" max="1287" width="13.296875" style="48" customWidth="1"/>
    <col min="1288" max="1289" width="14" style="48" customWidth="1"/>
    <col min="1290" max="1290" width="13.296875" style="48" customWidth="1"/>
    <col min="1291" max="1291" width="12.296875" style="48" customWidth="1"/>
    <col min="1292" max="1292" width="14.296875" style="48" customWidth="1"/>
    <col min="1293" max="1293" width="15.19921875" style="48" customWidth="1"/>
    <col min="1294" max="1536" width="9.296875" style="48"/>
    <col min="1537" max="1537" width="5.796875" style="48" customWidth="1"/>
    <col min="1538" max="1538" width="22.296875" style="48" customWidth="1"/>
    <col min="1539" max="1539" width="13" style="48" customWidth="1"/>
    <col min="1540" max="1540" width="11" style="48" customWidth="1"/>
    <col min="1541" max="1541" width="15.5" style="48" customWidth="1"/>
    <col min="1542" max="1542" width="11.19921875" style="48" customWidth="1"/>
    <col min="1543" max="1543" width="13.296875" style="48" customWidth="1"/>
    <col min="1544" max="1545" width="14" style="48" customWidth="1"/>
    <col min="1546" max="1546" width="13.296875" style="48" customWidth="1"/>
    <col min="1547" max="1547" width="12.296875" style="48" customWidth="1"/>
    <col min="1548" max="1548" width="14.296875" style="48" customWidth="1"/>
    <col min="1549" max="1549" width="15.19921875" style="48" customWidth="1"/>
    <col min="1550" max="1792" width="9.296875" style="48"/>
    <col min="1793" max="1793" width="5.796875" style="48" customWidth="1"/>
    <col min="1794" max="1794" width="22.296875" style="48" customWidth="1"/>
    <col min="1795" max="1795" width="13" style="48" customWidth="1"/>
    <col min="1796" max="1796" width="11" style="48" customWidth="1"/>
    <col min="1797" max="1797" width="15.5" style="48" customWidth="1"/>
    <col min="1798" max="1798" width="11.19921875" style="48" customWidth="1"/>
    <col min="1799" max="1799" width="13.296875" style="48" customWidth="1"/>
    <col min="1800" max="1801" width="14" style="48" customWidth="1"/>
    <col min="1802" max="1802" width="13.296875" style="48" customWidth="1"/>
    <col min="1803" max="1803" width="12.296875" style="48" customWidth="1"/>
    <col min="1804" max="1804" width="14.296875" style="48" customWidth="1"/>
    <col min="1805" max="1805" width="15.19921875" style="48" customWidth="1"/>
    <col min="1806" max="2048" width="9.296875" style="48"/>
    <col min="2049" max="2049" width="5.796875" style="48" customWidth="1"/>
    <col min="2050" max="2050" width="22.296875" style="48" customWidth="1"/>
    <col min="2051" max="2051" width="13" style="48" customWidth="1"/>
    <col min="2052" max="2052" width="11" style="48" customWidth="1"/>
    <col min="2053" max="2053" width="15.5" style="48" customWidth="1"/>
    <col min="2054" max="2054" width="11.19921875" style="48" customWidth="1"/>
    <col min="2055" max="2055" width="13.296875" style="48" customWidth="1"/>
    <col min="2056" max="2057" width="14" style="48" customWidth="1"/>
    <col min="2058" max="2058" width="13.296875" style="48" customWidth="1"/>
    <col min="2059" max="2059" width="12.296875" style="48" customWidth="1"/>
    <col min="2060" max="2060" width="14.296875" style="48" customWidth="1"/>
    <col min="2061" max="2061" width="15.19921875" style="48" customWidth="1"/>
    <col min="2062" max="2304" width="9.296875" style="48"/>
    <col min="2305" max="2305" width="5.796875" style="48" customWidth="1"/>
    <col min="2306" max="2306" width="22.296875" style="48" customWidth="1"/>
    <col min="2307" max="2307" width="13" style="48" customWidth="1"/>
    <col min="2308" max="2308" width="11" style="48" customWidth="1"/>
    <col min="2309" max="2309" width="15.5" style="48" customWidth="1"/>
    <col min="2310" max="2310" width="11.19921875" style="48" customWidth="1"/>
    <col min="2311" max="2311" width="13.296875" style="48" customWidth="1"/>
    <col min="2312" max="2313" width="14" style="48" customWidth="1"/>
    <col min="2314" max="2314" width="13.296875" style="48" customWidth="1"/>
    <col min="2315" max="2315" width="12.296875" style="48" customWidth="1"/>
    <col min="2316" max="2316" width="14.296875" style="48" customWidth="1"/>
    <col min="2317" max="2317" width="15.19921875" style="48" customWidth="1"/>
    <col min="2318" max="2560" width="9.296875" style="48"/>
    <col min="2561" max="2561" width="5.796875" style="48" customWidth="1"/>
    <col min="2562" max="2562" width="22.296875" style="48" customWidth="1"/>
    <col min="2563" max="2563" width="13" style="48" customWidth="1"/>
    <col min="2564" max="2564" width="11" style="48" customWidth="1"/>
    <col min="2565" max="2565" width="15.5" style="48" customWidth="1"/>
    <col min="2566" max="2566" width="11.19921875" style="48" customWidth="1"/>
    <col min="2567" max="2567" width="13.296875" style="48" customWidth="1"/>
    <col min="2568" max="2569" width="14" style="48" customWidth="1"/>
    <col min="2570" max="2570" width="13.296875" style="48" customWidth="1"/>
    <col min="2571" max="2571" width="12.296875" style="48" customWidth="1"/>
    <col min="2572" max="2572" width="14.296875" style="48" customWidth="1"/>
    <col min="2573" max="2573" width="15.19921875" style="48" customWidth="1"/>
    <col min="2574" max="2816" width="9.296875" style="48"/>
    <col min="2817" max="2817" width="5.796875" style="48" customWidth="1"/>
    <col min="2818" max="2818" width="22.296875" style="48" customWidth="1"/>
    <col min="2819" max="2819" width="13" style="48" customWidth="1"/>
    <col min="2820" max="2820" width="11" style="48" customWidth="1"/>
    <col min="2821" max="2821" width="15.5" style="48" customWidth="1"/>
    <col min="2822" max="2822" width="11.19921875" style="48" customWidth="1"/>
    <col min="2823" max="2823" width="13.296875" style="48" customWidth="1"/>
    <col min="2824" max="2825" width="14" style="48" customWidth="1"/>
    <col min="2826" max="2826" width="13.296875" style="48" customWidth="1"/>
    <col min="2827" max="2827" width="12.296875" style="48" customWidth="1"/>
    <col min="2828" max="2828" width="14.296875" style="48" customWidth="1"/>
    <col min="2829" max="2829" width="15.19921875" style="48" customWidth="1"/>
    <col min="2830" max="3072" width="9.296875" style="48"/>
    <col min="3073" max="3073" width="5.796875" style="48" customWidth="1"/>
    <col min="3074" max="3074" width="22.296875" style="48" customWidth="1"/>
    <col min="3075" max="3075" width="13" style="48" customWidth="1"/>
    <col min="3076" max="3076" width="11" style="48" customWidth="1"/>
    <col min="3077" max="3077" width="15.5" style="48" customWidth="1"/>
    <col min="3078" max="3078" width="11.19921875" style="48" customWidth="1"/>
    <col min="3079" max="3079" width="13.296875" style="48" customWidth="1"/>
    <col min="3080" max="3081" width="14" style="48" customWidth="1"/>
    <col min="3082" max="3082" width="13.296875" style="48" customWidth="1"/>
    <col min="3083" max="3083" width="12.296875" style="48" customWidth="1"/>
    <col min="3084" max="3084" width="14.296875" style="48" customWidth="1"/>
    <col min="3085" max="3085" width="15.19921875" style="48" customWidth="1"/>
    <col min="3086" max="3328" width="9.296875" style="48"/>
    <col min="3329" max="3329" width="5.796875" style="48" customWidth="1"/>
    <col min="3330" max="3330" width="22.296875" style="48" customWidth="1"/>
    <col min="3331" max="3331" width="13" style="48" customWidth="1"/>
    <col min="3332" max="3332" width="11" style="48" customWidth="1"/>
    <col min="3333" max="3333" width="15.5" style="48" customWidth="1"/>
    <col min="3334" max="3334" width="11.19921875" style="48" customWidth="1"/>
    <col min="3335" max="3335" width="13.296875" style="48" customWidth="1"/>
    <col min="3336" max="3337" width="14" style="48" customWidth="1"/>
    <col min="3338" max="3338" width="13.296875" style="48" customWidth="1"/>
    <col min="3339" max="3339" width="12.296875" style="48" customWidth="1"/>
    <col min="3340" max="3340" width="14.296875" style="48" customWidth="1"/>
    <col min="3341" max="3341" width="15.19921875" style="48" customWidth="1"/>
    <col min="3342" max="3584" width="9.296875" style="48"/>
    <col min="3585" max="3585" width="5.796875" style="48" customWidth="1"/>
    <col min="3586" max="3586" width="22.296875" style="48" customWidth="1"/>
    <col min="3587" max="3587" width="13" style="48" customWidth="1"/>
    <col min="3588" max="3588" width="11" style="48" customWidth="1"/>
    <col min="3589" max="3589" width="15.5" style="48" customWidth="1"/>
    <col min="3590" max="3590" width="11.19921875" style="48" customWidth="1"/>
    <col min="3591" max="3591" width="13.296875" style="48" customWidth="1"/>
    <col min="3592" max="3593" width="14" style="48" customWidth="1"/>
    <col min="3594" max="3594" width="13.296875" style="48" customWidth="1"/>
    <col min="3595" max="3595" width="12.296875" style="48" customWidth="1"/>
    <col min="3596" max="3596" width="14.296875" style="48" customWidth="1"/>
    <col min="3597" max="3597" width="15.19921875" style="48" customWidth="1"/>
    <col min="3598" max="3840" width="9.296875" style="48"/>
    <col min="3841" max="3841" width="5.796875" style="48" customWidth="1"/>
    <col min="3842" max="3842" width="22.296875" style="48" customWidth="1"/>
    <col min="3843" max="3843" width="13" style="48" customWidth="1"/>
    <col min="3844" max="3844" width="11" style="48" customWidth="1"/>
    <col min="3845" max="3845" width="15.5" style="48" customWidth="1"/>
    <col min="3846" max="3846" width="11.19921875" style="48" customWidth="1"/>
    <col min="3847" max="3847" width="13.296875" style="48" customWidth="1"/>
    <col min="3848" max="3849" width="14" style="48" customWidth="1"/>
    <col min="3850" max="3850" width="13.296875" style="48" customWidth="1"/>
    <col min="3851" max="3851" width="12.296875" style="48" customWidth="1"/>
    <col min="3852" max="3852" width="14.296875" style="48" customWidth="1"/>
    <col min="3853" max="3853" width="15.19921875" style="48" customWidth="1"/>
    <col min="3854" max="4096" width="9.296875" style="48"/>
    <col min="4097" max="4097" width="5.796875" style="48" customWidth="1"/>
    <col min="4098" max="4098" width="22.296875" style="48" customWidth="1"/>
    <col min="4099" max="4099" width="13" style="48" customWidth="1"/>
    <col min="4100" max="4100" width="11" style="48" customWidth="1"/>
    <col min="4101" max="4101" width="15.5" style="48" customWidth="1"/>
    <col min="4102" max="4102" width="11.19921875" style="48" customWidth="1"/>
    <col min="4103" max="4103" width="13.296875" style="48" customWidth="1"/>
    <col min="4104" max="4105" width="14" style="48" customWidth="1"/>
    <col min="4106" max="4106" width="13.296875" style="48" customWidth="1"/>
    <col min="4107" max="4107" width="12.296875" style="48" customWidth="1"/>
    <col min="4108" max="4108" width="14.296875" style="48" customWidth="1"/>
    <col min="4109" max="4109" width="15.19921875" style="48" customWidth="1"/>
    <col min="4110" max="4352" width="9.296875" style="48"/>
    <col min="4353" max="4353" width="5.796875" style="48" customWidth="1"/>
    <col min="4354" max="4354" width="22.296875" style="48" customWidth="1"/>
    <col min="4355" max="4355" width="13" style="48" customWidth="1"/>
    <col min="4356" max="4356" width="11" style="48" customWidth="1"/>
    <col min="4357" max="4357" width="15.5" style="48" customWidth="1"/>
    <col min="4358" max="4358" width="11.19921875" style="48" customWidth="1"/>
    <col min="4359" max="4359" width="13.296875" style="48" customWidth="1"/>
    <col min="4360" max="4361" width="14" style="48" customWidth="1"/>
    <col min="4362" max="4362" width="13.296875" style="48" customWidth="1"/>
    <col min="4363" max="4363" width="12.296875" style="48" customWidth="1"/>
    <col min="4364" max="4364" width="14.296875" style="48" customWidth="1"/>
    <col min="4365" max="4365" width="15.19921875" style="48" customWidth="1"/>
    <col min="4366" max="4608" width="9.296875" style="48"/>
    <col min="4609" max="4609" width="5.796875" style="48" customWidth="1"/>
    <col min="4610" max="4610" width="22.296875" style="48" customWidth="1"/>
    <col min="4611" max="4611" width="13" style="48" customWidth="1"/>
    <col min="4612" max="4612" width="11" style="48" customWidth="1"/>
    <col min="4613" max="4613" width="15.5" style="48" customWidth="1"/>
    <col min="4614" max="4614" width="11.19921875" style="48" customWidth="1"/>
    <col min="4615" max="4615" width="13.296875" style="48" customWidth="1"/>
    <col min="4616" max="4617" width="14" style="48" customWidth="1"/>
    <col min="4618" max="4618" width="13.296875" style="48" customWidth="1"/>
    <col min="4619" max="4619" width="12.296875" style="48" customWidth="1"/>
    <col min="4620" max="4620" width="14.296875" style="48" customWidth="1"/>
    <col min="4621" max="4621" width="15.19921875" style="48" customWidth="1"/>
    <col min="4622" max="4864" width="9.296875" style="48"/>
    <col min="4865" max="4865" width="5.796875" style="48" customWidth="1"/>
    <col min="4866" max="4866" width="22.296875" style="48" customWidth="1"/>
    <col min="4867" max="4867" width="13" style="48" customWidth="1"/>
    <col min="4868" max="4868" width="11" style="48" customWidth="1"/>
    <col min="4869" max="4869" width="15.5" style="48" customWidth="1"/>
    <col min="4870" max="4870" width="11.19921875" style="48" customWidth="1"/>
    <col min="4871" max="4871" width="13.296875" style="48" customWidth="1"/>
    <col min="4872" max="4873" width="14" style="48" customWidth="1"/>
    <col min="4874" max="4874" width="13.296875" style="48" customWidth="1"/>
    <col min="4875" max="4875" width="12.296875" style="48" customWidth="1"/>
    <col min="4876" max="4876" width="14.296875" style="48" customWidth="1"/>
    <col min="4877" max="4877" width="15.19921875" style="48" customWidth="1"/>
    <col min="4878" max="5120" width="9.296875" style="48"/>
    <col min="5121" max="5121" width="5.796875" style="48" customWidth="1"/>
    <col min="5122" max="5122" width="22.296875" style="48" customWidth="1"/>
    <col min="5123" max="5123" width="13" style="48" customWidth="1"/>
    <col min="5124" max="5124" width="11" style="48" customWidth="1"/>
    <col min="5125" max="5125" width="15.5" style="48" customWidth="1"/>
    <col min="5126" max="5126" width="11.19921875" style="48" customWidth="1"/>
    <col min="5127" max="5127" width="13.296875" style="48" customWidth="1"/>
    <col min="5128" max="5129" width="14" style="48" customWidth="1"/>
    <col min="5130" max="5130" width="13.296875" style="48" customWidth="1"/>
    <col min="5131" max="5131" width="12.296875" style="48" customWidth="1"/>
    <col min="5132" max="5132" width="14.296875" style="48" customWidth="1"/>
    <col min="5133" max="5133" width="15.19921875" style="48" customWidth="1"/>
    <col min="5134" max="5376" width="9.296875" style="48"/>
    <col min="5377" max="5377" width="5.796875" style="48" customWidth="1"/>
    <col min="5378" max="5378" width="22.296875" style="48" customWidth="1"/>
    <col min="5379" max="5379" width="13" style="48" customWidth="1"/>
    <col min="5380" max="5380" width="11" style="48" customWidth="1"/>
    <col min="5381" max="5381" width="15.5" style="48" customWidth="1"/>
    <col min="5382" max="5382" width="11.19921875" style="48" customWidth="1"/>
    <col min="5383" max="5383" width="13.296875" style="48" customWidth="1"/>
    <col min="5384" max="5385" width="14" style="48" customWidth="1"/>
    <col min="5386" max="5386" width="13.296875" style="48" customWidth="1"/>
    <col min="5387" max="5387" width="12.296875" style="48" customWidth="1"/>
    <col min="5388" max="5388" width="14.296875" style="48" customWidth="1"/>
    <col min="5389" max="5389" width="15.19921875" style="48" customWidth="1"/>
    <col min="5390" max="5632" width="9.296875" style="48"/>
    <col min="5633" max="5633" width="5.796875" style="48" customWidth="1"/>
    <col min="5634" max="5634" width="22.296875" style="48" customWidth="1"/>
    <col min="5635" max="5635" width="13" style="48" customWidth="1"/>
    <col min="5636" max="5636" width="11" style="48" customWidth="1"/>
    <col min="5637" max="5637" width="15.5" style="48" customWidth="1"/>
    <col min="5638" max="5638" width="11.19921875" style="48" customWidth="1"/>
    <col min="5639" max="5639" width="13.296875" style="48" customWidth="1"/>
    <col min="5640" max="5641" width="14" style="48" customWidth="1"/>
    <col min="5642" max="5642" width="13.296875" style="48" customWidth="1"/>
    <col min="5643" max="5643" width="12.296875" style="48" customWidth="1"/>
    <col min="5644" max="5644" width="14.296875" style="48" customWidth="1"/>
    <col min="5645" max="5645" width="15.19921875" style="48" customWidth="1"/>
    <col min="5646" max="5888" width="9.296875" style="48"/>
    <col min="5889" max="5889" width="5.796875" style="48" customWidth="1"/>
    <col min="5890" max="5890" width="22.296875" style="48" customWidth="1"/>
    <col min="5891" max="5891" width="13" style="48" customWidth="1"/>
    <col min="5892" max="5892" width="11" style="48" customWidth="1"/>
    <col min="5893" max="5893" width="15.5" style="48" customWidth="1"/>
    <col min="5894" max="5894" width="11.19921875" style="48" customWidth="1"/>
    <col min="5895" max="5895" width="13.296875" style="48" customWidth="1"/>
    <col min="5896" max="5897" width="14" style="48" customWidth="1"/>
    <col min="5898" max="5898" width="13.296875" style="48" customWidth="1"/>
    <col min="5899" max="5899" width="12.296875" style="48" customWidth="1"/>
    <col min="5900" max="5900" width="14.296875" style="48" customWidth="1"/>
    <col min="5901" max="5901" width="15.19921875" style="48" customWidth="1"/>
    <col min="5902" max="6144" width="9.296875" style="48"/>
    <col min="6145" max="6145" width="5.796875" style="48" customWidth="1"/>
    <col min="6146" max="6146" width="22.296875" style="48" customWidth="1"/>
    <col min="6147" max="6147" width="13" style="48" customWidth="1"/>
    <col min="6148" max="6148" width="11" style="48" customWidth="1"/>
    <col min="6149" max="6149" width="15.5" style="48" customWidth="1"/>
    <col min="6150" max="6150" width="11.19921875" style="48" customWidth="1"/>
    <col min="6151" max="6151" width="13.296875" style="48" customWidth="1"/>
    <col min="6152" max="6153" width="14" style="48" customWidth="1"/>
    <col min="6154" max="6154" width="13.296875" style="48" customWidth="1"/>
    <col min="6155" max="6155" width="12.296875" style="48" customWidth="1"/>
    <col min="6156" max="6156" width="14.296875" style="48" customWidth="1"/>
    <col min="6157" max="6157" width="15.19921875" style="48" customWidth="1"/>
    <col min="6158" max="6400" width="9.296875" style="48"/>
    <col min="6401" max="6401" width="5.796875" style="48" customWidth="1"/>
    <col min="6402" max="6402" width="22.296875" style="48" customWidth="1"/>
    <col min="6403" max="6403" width="13" style="48" customWidth="1"/>
    <col min="6404" max="6404" width="11" style="48" customWidth="1"/>
    <col min="6405" max="6405" width="15.5" style="48" customWidth="1"/>
    <col min="6406" max="6406" width="11.19921875" style="48" customWidth="1"/>
    <col min="6407" max="6407" width="13.296875" style="48" customWidth="1"/>
    <col min="6408" max="6409" width="14" style="48" customWidth="1"/>
    <col min="6410" max="6410" width="13.296875" style="48" customWidth="1"/>
    <col min="6411" max="6411" width="12.296875" style="48" customWidth="1"/>
    <col min="6412" max="6412" width="14.296875" style="48" customWidth="1"/>
    <col min="6413" max="6413" width="15.19921875" style="48" customWidth="1"/>
    <col min="6414" max="6656" width="9.296875" style="48"/>
    <col min="6657" max="6657" width="5.796875" style="48" customWidth="1"/>
    <col min="6658" max="6658" width="22.296875" style="48" customWidth="1"/>
    <col min="6659" max="6659" width="13" style="48" customWidth="1"/>
    <col min="6660" max="6660" width="11" style="48" customWidth="1"/>
    <col min="6661" max="6661" width="15.5" style="48" customWidth="1"/>
    <col min="6662" max="6662" width="11.19921875" style="48" customWidth="1"/>
    <col min="6663" max="6663" width="13.296875" style="48" customWidth="1"/>
    <col min="6664" max="6665" width="14" style="48" customWidth="1"/>
    <col min="6666" max="6666" width="13.296875" style="48" customWidth="1"/>
    <col min="6667" max="6667" width="12.296875" style="48" customWidth="1"/>
    <col min="6668" max="6668" width="14.296875" style="48" customWidth="1"/>
    <col min="6669" max="6669" width="15.19921875" style="48" customWidth="1"/>
    <col min="6670" max="6912" width="9.296875" style="48"/>
    <col min="6913" max="6913" width="5.796875" style="48" customWidth="1"/>
    <col min="6914" max="6914" width="22.296875" style="48" customWidth="1"/>
    <col min="6915" max="6915" width="13" style="48" customWidth="1"/>
    <col min="6916" max="6916" width="11" style="48" customWidth="1"/>
    <col min="6917" max="6917" width="15.5" style="48" customWidth="1"/>
    <col min="6918" max="6918" width="11.19921875" style="48" customWidth="1"/>
    <col min="6919" max="6919" width="13.296875" style="48" customWidth="1"/>
    <col min="6920" max="6921" width="14" style="48" customWidth="1"/>
    <col min="6922" max="6922" width="13.296875" style="48" customWidth="1"/>
    <col min="6923" max="6923" width="12.296875" style="48" customWidth="1"/>
    <col min="6924" max="6924" width="14.296875" style="48" customWidth="1"/>
    <col min="6925" max="6925" width="15.19921875" style="48" customWidth="1"/>
    <col min="6926" max="7168" width="9.296875" style="48"/>
    <col min="7169" max="7169" width="5.796875" style="48" customWidth="1"/>
    <col min="7170" max="7170" width="22.296875" style="48" customWidth="1"/>
    <col min="7171" max="7171" width="13" style="48" customWidth="1"/>
    <col min="7172" max="7172" width="11" style="48" customWidth="1"/>
    <col min="7173" max="7173" width="15.5" style="48" customWidth="1"/>
    <col min="7174" max="7174" width="11.19921875" style="48" customWidth="1"/>
    <col min="7175" max="7175" width="13.296875" style="48" customWidth="1"/>
    <col min="7176" max="7177" width="14" style="48" customWidth="1"/>
    <col min="7178" max="7178" width="13.296875" style="48" customWidth="1"/>
    <col min="7179" max="7179" width="12.296875" style="48" customWidth="1"/>
    <col min="7180" max="7180" width="14.296875" style="48" customWidth="1"/>
    <col min="7181" max="7181" width="15.19921875" style="48" customWidth="1"/>
    <col min="7182" max="7424" width="9.296875" style="48"/>
    <col min="7425" max="7425" width="5.796875" style="48" customWidth="1"/>
    <col min="7426" max="7426" width="22.296875" style="48" customWidth="1"/>
    <col min="7427" max="7427" width="13" style="48" customWidth="1"/>
    <col min="7428" max="7428" width="11" style="48" customWidth="1"/>
    <col min="7429" max="7429" width="15.5" style="48" customWidth="1"/>
    <col min="7430" max="7430" width="11.19921875" style="48" customWidth="1"/>
    <col min="7431" max="7431" width="13.296875" style="48" customWidth="1"/>
    <col min="7432" max="7433" width="14" style="48" customWidth="1"/>
    <col min="7434" max="7434" width="13.296875" style="48" customWidth="1"/>
    <col min="7435" max="7435" width="12.296875" style="48" customWidth="1"/>
    <col min="7436" max="7436" width="14.296875" style="48" customWidth="1"/>
    <col min="7437" max="7437" width="15.19921875" style="48" customWidth="1"/>
    <col min="7438" max="7680" width="9.296875" style="48"/>
    <col min="7681" max="7681" width="5.796875" style="48" customWidth="1"/>
    <col min="7682" max="7682" width="22.296875" style="48" customWidth="1"/>
    <col min="7683" max="7683" width="13" style="48" customWidth="1"/>
    <col min="7684" max="7684" width="11" style="48" customWidth="1"/>
    <col min="7685" max="7685" width="15.5" style="48" customWidth="1"/>
    <col min="7686" max="7686" width="11.19921875" style="48" customWidth="1"/>
    <col min="7687" max="7687" width="13.296875" style="48" customWidth="1"/>
    <col min="7688" max="7689" width="14" style="48" customWidth="1"/>
    <col min="7690" max="7690" width="13.296875" style="48" customWidth="1"/>
    <col min="7691" max="7691" width="12.296875" style="48" customWidth="1"/>
    <col min="7692" max="7692" width="14.296875" style="48" customWidth="1"/>
    <col min="7693" max="7693" width="15.19921875" style="48" customWidth="1"/>
    <col min="7694" max="7936" width="9.296875" style="48"/>
    <col min="7937" max="7937" width="5.796875" style="48" customWidth="1"/>
    <col min="7938" max="7938" width="22.296875" style="48" customWidth="1"/>
    <col min="7939" max="7939" width="13" style="48" customWidth="1"/>
    <col min="7940" max="7940" width="11" style="48" customWidth="1"/>
    <col min="7941" max="7941" width="15.5" style="48" customWidth="1"/>
    <col min="7942" max="7942" width="11.19921875" style="48" customWidth="1"/>
    <col min="7943" max="7943" width="13.296875" style="48" customWidth="1"/>
    <col min="7944" max="7945" width="14" style="48" customWidth="1"/>
    <col min="7946" max="7946" width="13.296875" style="48" customWidth="1"/>
    <col min="7947" max="7947" width="12.296875" style="48" customWidth="1"/>
    <col min="7948" max="7948" width="14.296875" style="48" customWidth="1"/>
    <col min="7949" max="7949" width="15.19921875" style="48" customWidth="1"/>
    <col min="7950" max="8192" width="9.296875" style="48"/>
    <col min="8193" max="8193" width="5.796875" style="48" customWidth="1"/>
    <col min="8194" max="8194" width="22.296875" style="48" customWidth="1"/>
    <col min="8195" max="8195" width="13" style="48" customWidth="1"/>
    <col min="8196" max="8196" width="11" style="48" customWidth="1"/>
    <col min="8197" max="8197" width="15.5" style="48" customWidth="1"/>
    <col min="8198" max="8198" width="11.19921875" style="48" customWidth="1"/>
    <col min="8199" max="8199" width="13.296875" style="48" customWidth="1"/>
    <col min="8200" max="8201" width="14" style="48" customWidth="1"/>
    <col min="8202" max="8202" width="13.296875" style="48" customWidth="1"/>
    <col min="8203" max="8203" width="12.296875" style="48" customWidth="1"/>
    <col min="8204" max="8204" width="14.296875" style="48" customWidth="1"/>
    <col min="8205" max="8205" width="15.19921875" style="48" customWidth="1"/>
    <col min="8206" max="8448" width="9.296875" style="48"/>
    <col min="8449" max="8449" width="5.796875" style="48" customWidth="1"/>
    <col min="8450" max="8450" width="22.296875" style="48" customWidth="1"/>
    <col min="8451" max="8451" width="13" style="48" customWidth="1"/>
    <col min="8452" max="8452" width="11" style="48" customWidth="1"/>
    <col min="8453" max="8453" width="15.5" style="48" customWidth="1"/>
    <col min="8454" max="8454" width="11.19921875" style="48" customWidth="1"/>
    <col min="8455" max="8455" width="13.296875" style="48" customWidth="1"/>
    <col min="8456" max="8457" width="14" style="48" customWidth="1"/>
    <col min="8458" max="8458" width="13.296875" style="48" customWidth="1"/>
    <col min="8459" max="8459" width="12.296875" style="48" customWidth="1"/>
    <col min="8460" max="8460" width="14.296875" style="48" customWidth="1"/>
    <col min="8461" max="8461" width="15.19921875" style="48" customWidth="1"/>
    <col min="8462" max="8704" width="9.296875" style="48"/>
    <col min="8705" max="8705" width="5.796875" style="48" customWidth="1"/>
    <col min="8706" max="8706" width="22.296875" style="48" customWidth="1"/>
    <col min="8707" max="8707" width="13" style="48" customWidth="1"/>
    <col min="8708" max="8708" width="11" style="48" customWidth="1"/>
    <col min="8709" max="8709" width="15.5" style="48" customWidth="1"/>
    <col min="8710" max="8710" width="11.19921875" style="48" customWidth="1"/>
    <col min="8711" max="8711" width="13.296875" style="48" customWidth="1"/>
    <col min="8712" max="8713" width="14" style="48" customWidth="1"/>
    <col min="8714" max="8714" width="13.296875" style="48" customWidth="1"/>
    <col min="8715" max="8715" width="12.296875" style="48" customWidth="1"/>
    <col min="8716" max="8716" width="14.296875" style="48" customWidth="1"/>
    <col min="8717" max="8717" width="15.19921875" style="48" customWidth="1"/>
    <col min="8718" max="8960" width="9.296875" style="48"/>
    <col min="8961" max="8961" width="5.796875" style="48" customWidth="1"/>
    <col min="8962" max="8962" width="22.296875" style="48" customWidth="1"/>
    <col min="8963" max="8963" width="13" style="48" customWidth="1"/>
    <col min="8964" max="8964" width="11" style="48" customWidth="1"/>
    <col min="8965" max="8965" width="15.5" style="48" customWidth="1"/>
    <col min="8966" max="8966" width="11.19921875" style="48" customWidth="1"/>
    <col min="8967" max="8967" width="13.296875" style="48" customWidth="1"/>
    <col min="8968" max="8969" width="14" style="48" customWidth="1"/>
    <col min="8970" max="8970" width="13.296875" style="48" customWidth="1"/>
    <col min="8971" max="8971" width="12.296875" style="48" customWidth="1"/>
    <col min="8972" max="8972" width="14.296875" style="48" customWidth="1"/>
    <col min="8973" max="8973" width="15.19921875" style="48" customWidth="1"/>
    <col min="8974" max="9216" width="9.296875" style="48"/>
    <col min="9217" max="9217" width="5.796875" style="48" customWidth="1"/>
    <col min="9218" max="9218" width="22.296875" style="48" customWidth="1"/>
    <col min="9219" max="9219" width="13" style="48" customWidth="1"/>
    <col min="9220" max="9220" width="11" style="48" customWidth="1"/>
    <col min="9221" max="9221" width="15.5" style="48" customWidth="1"/>
    <col min="9222" max="9222" width="11.19921875" style="48" customWidth="1"/>
    <col min="9223" max="9223" width="13.296875" style="48" customWidth="1"/>
    <col min="9224" max="9225" width="14" style="48" customWidth="1"/>
    <col min="9226" max="9226" width="13.296875" style="48" customWidth="1"/>
    <col min="9227" max="9227" width="12.296875" style="48" customWidth="1"/>
    <col min="9228" max="9228" width="14.296875" style="48" customWidth="1"/>
    <col min="9229" max="9229" width="15.19921875" style="48" customWidth="1"/>
    <col min="9230" max="9472" width="9.296875" style="48"/>
    <col min="9473" max="9473" width="5.796875" style="48" customWidth="1"/>
    <col min="9474" max="9474" width="22.296875" style="48" customWidth="1"/>
    <col min="9475" max="9475" width="13" style="48" customWidth="1"/>
    <col min="9476" max="9476" width="11" style="48" customWidth="1"/>
    <col min="9477" max="9477" width="15.5" style="48" customWidth="1"/>
    <col min="9478" max="9478" width="11.19921875" style="48" customWidth="1"/>
    <col min="9479" max="9479" width="13.296875" style="48" customWidth="1"/>
    <col min="9480" max="9481" width="14" style="48" customWidth="1"/>
    <col min="9482" max="9482" width="13.296875" style="48" customWidth="1"/>
    <col min="9483" max="9483" width="12.296875" style="48" customWidth="1"/>
    <col min="9484" max="9484" width="14.296875" style="48" customWidth="1"/>
    <col min="9485" max="9485" width="15.19921875" style="48" customWidth="1"/>
    <col min="9486" max="9728" width="9.296875" style="48"/>
    <col min="9729" max="9729" width="5.796875" style="48" customWidth="1"/>
    <col min="9730" max="9730" width="22.296875" style="48" customWidth="1"/>
    <col min="9731" max="9731" width="13" style="48" customWidth="1"/>
    <col min="9732" max="9732" width="11" style="48" customWidth="1"/>
    <col min="9733" max="9733" width="15.5" style="48" customWidth="1"/>
    <col min="9734" max="9734" width="11.19921875" style="48" customWidth="1"/>
    <col min="9735" max="9735" width="13.296875" style="48" customWidth="1"/>
    <col min="9736" max="9737" width="14" style="48" customWidth="1"/>
    <col min="9738" max="9738" width="13.296875" style="48" customWidth="1"/>
    <col min="9739" max="9739" width="12.296875" style="48" customWidth="1"/>
    <col min="9740" max="9740" width="14.296875" style="48" customWidth="1"/>
    <col min="9741" max="9741" width="15.19921875" style="48" customWidth="1"/>
    <col min="9742" max="9984" width="9.296875" style="48"/>
    <col min="9985" max="9985" width="5.796875" style="48" customWidth="1"/>
    <col min="9986" max="9986" width="22.296875" style="48" customWidth="1"/>
    <col min="9987" max="9987" width="13" style="48" customWidth="1"/>
    <col min="9988" max="9988" width="11" style="48" customWidth="1"/>
    <col min="9989" max="9989" width="15.5" style="48" customWidth="1"/>
    <col min="9990" max="9990" width="11.19921875" style="48" customWidth="1"/>
    <col min="9991" max="9991" width="13.296875" style="48" customWidth="1"/>
    <col min="9992" max="9993" width="14" style="48" customWidth="1"/>
    <col min="9994" max="9994" width="13.296875" style="48" customWidth="1"/>
    <col min="9995" max="9995" width="12.296875" style="48" customWidth="1"/>
    <col min="9996" max="9996" width="14.296875" style="48" customWidth="1"/>
    <col min="9997" max="9997" width="15.19921875" style="48" customWidth="1"/>
    <col min="9998" max="10240" width="9.296875" style="48"/>
    <col min="10241" max="10241" width="5.796875" style="48" customWidth="1"/>
    <col min="10242" max="10242" width="22.296875" style="48" customWidth="1"/>
    <col min="10243" max="10243" width="13" style="48" customWidth="1"/>
    <col min="10244" max="10244" width="11" style="48" customWidth="1"/>
    <col min="10245" max="10245" width="15.5" style="48" customWidth="1"/>
    <col min="10246" max="10246" width="11.19921875" style="48" customWidth="1"/>
    <col min="10247" max="10247" width="13.296875" style="48" customWidth="1"/>
    <col min="10248" max="10249" width="14" style="48" customWidth="1"/>
    <col min="10250" max="10250" width="13.296875" style="48" customWidth="1"/>
    <col min="10251" max="10251" width="12.296875" style="48" customWidth="1"/>
    <col min="10252" max="10252" width="14.296875" style="48" customWidth="1"/>
    <col min="10253" max="10253" width="15.19921875" style="48" customWidth="1"/>
    <col min="10254" max="10496" width="9.296875" style="48"/>
    <col min="10497" max="10497" width="5.796875" style="48" customWidth="1"/>
    <col min="10498" max="10498" width="22.296875" style="48" customWidth="1"/>
    <col min="10499" max="10499" width="13" style="48" customWidth="1"/>
    <col min="10500" max="10500" width="11" style="48" customWidth="1"/>
    <col min="10501" max="10501" width="15.5" style="48" customWidth="1"/>
    <col min="10502" max="10502" width="11.19921875" style="48" customWidth="1"/>
    <col min="10503" max="10503" width="13.296875" style="48" customWidth="1"/>
    <col min="10504" max="10505" width="14" style="48" customWidth="1"/>
    <col min="10506" max="10506" width="13.296875" style="48" customWidth="1"/>
    <col min="10507" max="10507" width="12.296875" style="48" customWidth="1"/>
    <col min="10508" max="10508" width="14.296875" style="48" customWidth="1"/>
    <col min="10509" max="10509" width="15.19921875" style="48" customWidth="1"/>
    <col min="10510" max="10752" width="9.296875" style="48"/>
    <col min="10753" max="10753" width="5.796875" style="48" customWidth="1"/>
    <col min="10754" max="10754" width="22.296875" style="48" customWidth="1"/>
    <col min="10755" max="10755" width="13" style="48" customWidth="1"/>
    <col min="10756" max="10756" width="11" style="48" customWidth="1"/>
    <col min="10757" max="10757" width="15.5" style="48" customWidth="1"/>
    <col min="10758" max="10758" width="11.19921875" style="48" customWidth="1"/>
    <col min="10759" max="10759" width="13.296875" style="48" customWidth="1"/>
    <col min="10760" max="10761" width="14" style="48" customWidth="1"/>
    <col min="10762" max="10762" width="13.296875" style="48" customWidth="1"/>
    <col min="10763" max="10763" width="12.296875" style="48" customWidth="1"/>
    <col min="10764" max="10764" width="14.296875" style="48" customWidth="1"/>
    <col min="10765" max="10765" width="15.19921875" style="48" customWidth="1"/>
    <col min="10766" max="11008" width="9.296875" style="48"/>
    <col min="11009" max="11009" width="5.796875" style="48" customWidth="1"/>
    <col min="11010" max="11010" width="22.296875" style="48" customWidth="1"/>
    <col min="11011" max="11011" width="13" style="48" customWidth="1"/>
    <col min="11012" max="11012" width="11" style="48" customWidth="1"/>
    <col min="11013" max="11013" width="15.5" style="48" customWidth="1"/>
    <col min="11014" max="11014" width="11.19921875" style="48" customWidth="1"/>
    <col min="11015" max="11015" width="13.296875" style="48" customWidth="1"/>
    <col min="11016" max="11017" width="14" style="48" customWidth="1"/>
    <col min="11018" max="11018" width="13.296875" style="48" customWidth="1"/>
    <col min="11019" max="11019" width="12.296875" style="48" customWidth="1"/>
    <col min="11020" max="11020" width="14.296875" style="48" customWidth="1"/>
    <col min="11021" max="11021" width="15.19921875" style="48" customWidth="1"/>
    <col min="11022" max="11264" width="9.296875" style="48"/>
    <col min="11265" max="11265" width="5.796875" style="48" customWidth="1"/>
    <col min="11266" max="11266" width="22.296875" style="48" customWidth="1"/>
    <col min="11267" max="11267" width="13" style="48" customWidth="1"/>
    <col min="11268" max="11268" width="11" style="48" customWidth="1"/>
    <col min="11269" max="11269" width="15.5" style="48" customWidth="1"/>
    <col min="11270" max="11270" width="11.19921875" style="48" customWidth="1"/>
    <col min="11271" max="11271" width="13.296875" style="48" customWidth="1"/>
    <col min="11272" max="11273" width="14" style="48" customWidth="1"/>
    <col min="11274" max="11274" width="13.296875" style="48" customWidth="1"/>
    <col min="11275" max="11275" width="12.296875" style="48" customWidth="1"/>
    <col min="11276" max="11276" width="14.296875" style="48" customWidth="1"/>
    <col min="11277" max="11277" width="15.19921875" style="48" customWidth="1"/>
    <col min="11278" max="11520" width="9.296875" style="48"/>
    <col min="11521" max="11521" width="5.796875" style="48" customWidth="1"/>
    <col min="11522" max="11522" width="22.296875" style="48" customWidth="1"/>
    <col min="11523" max="11523" width="13" style="48" customWidth="1"/>
    <col min="11524" max="11524" width="11" style="48" customWidth="1"/>
    <col min="11525" max="11525" width="15.5" style="48" customWidth="1"/>
    <col min="11526" max="11526" width="11.19921875" style="48" customWidth="1"/>
    <col min="11527" max="11527" width="13.296875" style="48" customWidth="1"/>
    <col min="11528" max="11529" width="14" style="48" customWidth="1"/>
    <col min="11530" max="11530" width="13.296875" style="48" customWidth="1"/>
    <col min="11531" max="11531" width="12.296875" style="48" customWidth="1"/>
    <col min="11532" max="11532" width="14.296875" style="48" customWidth="1"/>
    <col min="11533" max="11533" width="15.19921875" style="48" customWidth="1"/>
    <col min="11534" max="11776" width="9.296875" style="48"/>
    <col min="11777" max="11777" width="5.796875" style="48" customWidth="1"/>
    <col min="11778" max="11778" width="22.296875" style="48" customWidth="1"/>
    <col min="11779" max="11779" width="13" style="48" customWidth="1"/>
    <col min="11780" max="11780" width="11" style="48" customWidth="1"/>
    <col min="11781" max="11781" width="15.5" style="48" customWidth="1"/>
    <col min="11782" max="11782" width="11.19921875" style="48" customWidth="1"/>
    <col min="11783" max="11783" width="13.296875" style="48" customWidth="1"/>
    <col min="11784" max="11785" width="14" style="48" customWidth="1"/>
    <col min="11786" max="11786" width="13.296875" style="48" customWidth="1"/>
    <col min="11787" max="11787" width="12.296875" style="48" customWidth="1"/>
    <col min="11788" max="11788" width="14.296875" style="48" customWidth="1"/>
    <col min="11789" max="11789" width="15.19921875" style="48" customWidth="1"/>
    <col min="11790" max="12032" width="9.296875" style="48"/>
    <col min="12033" max="12033" width="5.796875" style="48" customWidth="1"/>
    <col min="12034" max="12034" width="22.296875" style="48" customWidth="1"/>
    <col min="12035" max="12035" width="13" style="48" customWidth="1"/>
    <col min="12036" max="12036" width="11" style="48" customWidth="1"/>
    <col min="12037" max="12037" width="15.5" style="48" customWidth="1"/>
    <col min="12038" max="12038" width="11.19921875" style="48" customWidth="1"/>
    <col min="12039" max="12039" width="13.296875" style="48" customWidth="1"/>
    <col min="12040" max="12041" width="14" style="48" customWidth="1"/>
    <col min="12042" max="12042" width="13.296875" style="48" customWidth="1"/>
    <col min="12043" max="12043" width="12.296875" style="48" customWidth="1"/>
    <col min="12044" max="12044" width="14.296875" style="48" customWidth="1"/>
    <col min="12045" max="12045" width="15.19921875" style="48" customWidth="1"/>
    <col min="12046" max="12288" width="9.296875" style="48"/>
    <col min="12289" max="12289" width="5.796875" style="48" customWidth="1"/>
    <col min="12290" max="12290" width="22.296875" style="48" customWidth="1"/>
    <col min="12291" max="12291" width="13" style="48" customWidth="1"/>
    <col min="12292" max="12292" width="11" style="48" customWidth="1"/>
    <col min="12293" max="12293" width="15.5" style="48" customWidth="1"/>
    <col min="12294" max="12294" width="11.19921875" style="48" customWidth="1"/>
    <col min="12295" max="12295" width="13.296875" style="48" customWidth="1"/>
    <col min="12296" max="12297" width="14" style="48" customWidth="1"/>
    <col min="12298" max="12298" width="13.296875" style="48" customWidth="1"/>
    <col min="12299" max="12299" width="12.296875" style="48" customWidth="1"/>
    <col min="12300" max="12300" width="14.296875" style="48" customWidth="1"/>
    <col min="12301" max="12301" width="15.19921875" style="48" customWidth="1"/>
    <col min="12302" max="12544" width="9.296875" style="48"/>
    <col min="12545" max="12545" width="5.796875" style="48" customWidth="1"/>
    <col min="12546" max="12546" width="22.296875" style="48" customWidth="1"/>
    <col min="12547" max="12547" width="13" style="48" customWidth="1"/>
    <col min="12548" max="12548" width="11" style="48" customWidth="1"/>
    <col min="12549" max="12549" width="15.5" style="48" customWidth="1"/>
    <col min="12550" max="12550" width="11.19921875" style="48" customWidth="1"/>
    <col min="12551" max="12551" width="13.296875" style="48" customWidth="1"/>
    <col min="12552" max="12553" width="14" style="48" customWidth="1"/>
    <col min="12554" max="12554" width="13.296875" style="48" customWidth="1"/>
    <col min="12555" max="12555" width="12.296875" style="48" customWidth="1"/>
    <col min="12556" max="12556" width="14.296875" style="48" customWidth="1"/>
    <col min="12557" max="12557" width="15.19921875" style="48" customWidth="1"/>
    <col min="12558" max="12800" width="9.296875" style="48"/>
    <col min="12801" max="12801" width="5.796875" style="48" customWidth="1"/>
    <col min="12802" max="12802" width="22.296875" style="48" customWidth="1"/>
    <col min="12803" max="12803" width="13" style="48" customWidth="1"/>
    <col min="12804" max="12804" width="11" style="48" customWidth="1"/>
    <col min="12805" max="12805" width="15.5" style="48" customWidth="1"/>
    <col min="12806" max="12806" width="11.19921875" style="48" customWidth="1"/>
    <col min="12807" max="12807" width="13.296875" style="48" customWidth="1"/>
    <col min="12808" max="12809" width="14" style="48" customWidth="1"/>
    <col min="12810" max="12810" width="13.296875" style="48" customWidth="1"/>
    <col min="12811" max="12811" width="12.296875" style="48" customWidth="1"/>
    <col min="12812" max="12812" width="14.296875" style="48" customWidth="1"/>
    <col min="12813" max="12813" width="15.19921875" style="48" customWidth="1"/>
    <col min="12814" max="13056" width="9.296875" style="48"/>
    <col min="13057" max="13057" width="5.796875" style="48" customWidth="1"/>
    <col min="13058" max="13058" width="22.296875" style="48" customWidth="1"/>
    <col min="13059" max="13059" width="13" style="48" customWidth="1"/>
    <col min="13060" max="13060" width="11" style="48" customWidth="1"/>
    <col min="13061" max="13061" width="15.5" style="48" customWidth="1"/>
    <col min="13062" max="13062" width="11.19921875" style="48" customWidth="1"/>
    <col min="13063" max="13063" width="13.296875" style="48" customWidth="1"/>
    <col min="13064" max="13065" width="14" style="48" customWidth="1"/>
    <col min="13066" max="13066" width="13.296875" style="48" customWidth="1"/>
    <col min="13067" max="13067" width="12.296875" style="48" customWidth="1"/>
    <col min="13068" max="13068" width="14.296875" style="48" customWidth="1"/>
    <col min="13069" max="13069" width="15.19921875" style="48" customWidth="1"/>
    <col min="13070" max="13312" width="9.296875" style="48"/>
    <col min="13313" max="13313" width="5.796875" style="48" customWidth="1"/>
    <col min="13314" max="13314" width="22.296875" style="48" customWidth="1"/>
    <col min="13315" max="13315" width="13" style="48" customWidth="1"/>
    <col min="13316" max="13316" width="11" style="48" customWidth="1"/>
    <col min="13317" max="13317" width="15.5" style="48" customWidth="1"/>
    <col min="13318" max="13318" width="11.19921875" style="48" customWidth="1"/>
    <col min="13319" max="13319" width="13.296875" style="48" customWidth="1"/>
    <col min="13320" max="13321" width="14" style="48" customWidth="1"/>
    <col min="13322" max="13322" width="13.296875" style="48" customWidth="1"/>
    <col min="13323" max="13323" width="12.296875" style="48" customWidth="1"/>
    <col min="13324" max="13324" width="14.296875" style="48" customWidth="1"/>
    <col min="13325" max="13325" width="15.19921875" style="48" customWidth="1"/>
    <col min="13326" max="13568" width="9.296875" style="48"/>
    <col min="13569" max="13569" width="5.796875" style="48" customWidth="1"/>
    <col min="13570" max="13570" width="22.296875" style="48" customWidth="1"/>
    <col min="13571" max="13571" width="13" style="48" customWidth="1"/>
    <col min="13572" max="13572" width="11" style="48" customWidth="1"/>
    <col min="13573" max="13573" width="15.5" style="48" customWidth="1"/>
    <col min="13574" max="13574" width="11.19921875" style="48" customWidth="1"/>
    <col min="13575" max="13575" width="13.296875" style="48" customWidth="1"/>
    <col min="13576" max="13577" width="14" style="48" customWidth="1"/>
    <col min="13578" max="13578" width="13.296875" style="48" customWidth="1"/>
    <col min="13579" max="13579" width="12.296875" style="48" customWidth="1"/>
    <col min="13580" max="13580" width="14.296875" style="48" customWidth="1"/>
    <col min="13581" max="13581" width="15.19921875" style="48" customWidth="1"/>
    <col min="13582" max="13824" width="9.296875" style="48"/>
    <col min="13825" max="13825" width="5.796875" style="48" customWidth="1"/>
    <col min="13826" max="13826" width="22.296875" style="48" customWidth="1"/>
    <col min="13827" max="13827" width="13" style="48" customWidth="1"/>
    <col min="13828" max="13828" width="11" style="48" customWidth="1"/>
    <col min="13829" max="13829" width="15.5" style="48" customWidth="1"/>
    <col min="13830" max="13830" width="11.19921875" style="48" customWidth="1"/>
    <col min="13831" max="13831" width="13.296875" style="48" customWidth="1"/>
    <col min="13832" max="13833" width="14" style="48" customWidth="1"/>
    <col min="13834" max="13834" width="13.296875" style="48" customWidth="1"/>
    <col min="13835" max="13835" width="12.296875" style="48" customWidth="1"/>
    <col min="13836" max="13836" width="14.296875" style="48" customWidth="1"/>
    <col min="13837" max="13837" width="15.19921875" style="48" customWidth="1"/>
    <col min="13838" max="14080" width="9.296875" style="48"/>
    <col min="14081" max="14081" width="5.796875" style="48" customWidth="1"/>
    <col min="14082" max="14082" width="22.296875" style="48" customWidth="1"/>
    <col min="14083" max="14083" width="13" style="48" customWidth="1"/>
    <col min="14084" max="14084" width="11" style="48" customWidth="1"/>
    <col min="14085" max="14085" width="15.5" style="48" customWidth="1"/>
    <col min="14086" max="14086" width="11.19921875" style="48" customWidth="1"/>
    <col min="14087" max="14087" width="13.296875" style="48" customWidth="1"/>
    <col min="14088" max="14089" width="14" style="48" customWidth="1"/>
    <col min="14090" max="14090" width="13.296875" style="48" customWidth="1"/>
    <col min="14091" max="14091" width="12.296875" style="48" customWidth="1"/>
    <col min="14092" max="14092" width="14.296875" style="48" customWidth="1"/>
    <col min="14093" max="14093" width="15.19921875" style="48" customWidth="1"/>
    <col min="14094" max="14336" width="9.296875" style="48"/>
    <col min="14337" max="14337" width="5.796875" style="48" customWidth="1"/>
    <col min="14338" max="14338" width="22.296875" style="48" customWidth="1"/>
    <col min="14339" max="14339" width="13" style="48" customWidth="1"/>
    <col min="14340" max="14340" width="11" style="48" customWidth="1"/>
    <col min="14341" max="14341" width="15.5" style="48" customWidth="1"/>
    <col min="14342" max="14342" width="11.19921875" style="48" customWidth="1"/>
    <col min="14343" max="14343" width="13.296875" style="48" customWidth="1"/>
    <col min="14344" max="14345" width="14" style="48" customWidth="1"/>
    <col min="14346" max="14346" width="13.296875" style="48" customWidth="1"/>
    <col min="14347" max="14347" width="12.296875" style="48" customWidth="1"/>
    <col min="14348" max="14348" width="14.296875" style="48" customWidth="1"/>
    <col min="14349" max="14349" width="15.19921875" style="48" customWidth="1"/>
    <col min="14350" max="14592" width="9.296875" style="48"/>
    <col min="14593" max="14593" width="5.796875" style="48" customWidth="1"/>
    <col min="14594" max="14594" width="22.296875" style="48" customWidth="1"/>
    <col min="14595" max="14595" width="13" style="48" customWidth="1"/>
    <col min="14596" max="14596" width="11" style="48" customWidth="1"/>
    <col min="14597" max="14597" width="15.5" style="48" customWidth="1"/>
    <col min="14598" max="14598" width="11.19921875" style="48" customWidth="1"/>
    <col min="14599" max="14599" width="13.296875" style="48" customWidth="1"/>
    <col min="14600" max="14601" width="14" style="48" customWidth="1"/>
    <col min="14602" max="14602" width="13.296875" style="48" customWidth="1"/>
    <col min="14603" max="14603" width="12.296875" style="48" customWidth="1"/>
    <col min="14604" max="14604" width="14.296875" style="48" customWidth="1"/>
    <col min="14605" max="14605" width="15.19921875" style="48" customWidth="1"/>
    <col min="14606" max="14848" width="9.296875" style="48"/>
    <col min="14849" max="14849" width="5.796875" style="48" customWidth="1"/>
    <col min="14850" max="14850" width="22.296875" style="48" customWidth="1"/>
    <col min="14851" max="14851" width="13" style="48" customWidth="1"/>
    <col min="14852" max="14852" width="11" style="48" customWidth="1"/>
    <col min="14853" max="14853" width="15.5" style="48" customWidth="1"/>
    <col min="14854" max="14854" width="11.19921875" style="48" customWidth="1"/>
    <col min="14855" max="14855" width="13.296875" style="48" customWidth="1"/>
    <col min="14856" max="14857" width="14" style="48" customWidth="1"/>
    <col min="14858" max="14858" width="13.296875" style="48" customWidth="1"/>
    <col min="14859" max="14859" width="12.296875" style="48" customWidth="1"/>
    <col min="14860" max="14860" width="14.296875" style="48" customWidth="1"/>
    <col min="14861" max="14861" width="15.19921875" style="48" customWidth="1"/>
    <col min="14862" max="15104" width="9.296875" style="48"/>
    <col min="15105" max="15105" width="5.796875" style="48" customWidth="1"/>
    <col min="15106" max="15106" width="22.296875" style="48" customWidth="1"/>
    <col min="15107" max="15107" width="13" style="48" customWidth="1"/>
    <col min="15108" max="15108" width="11" style="48" customWidth="1"/>
    <col min="15109" max="15109" width="15.5" style="48" customWidth="1"/>
    <col min="15110" max="15110" width="11.19921875" style="48" customWidth="1"/>
    <col min="15111" max="15111" width="13.296875" style="48" customWidth="1"/>
    <col min="15112" max="15113" width="14" style="48" customWidth="1"/>
    <col min="15114" max="15114" width="13.296875" style="48" customWidth="1"/>
    <col min="15115" max="15115" width="12.296875" style="48" customWidth="1"/>
    <col min="15116" max="15116" width="14.296875" style="48" customWidth="1"/>
    <col min="15117" max="15117" width="15.19921875" style="48" customWidth="1"/>
    <col min="15118" max="15360" width="9.296875" style="48"/>
    <col min="15361" max="15361" width="5.796875" style="48" customWidth="1"/>
    <col min="15362" max="15362" width="22.296875" style="48" customWidth="1"/>
    <col min="15363" max="15363" width="13" style="48" customWidth="1"/>
    <col min="15364" max="15364" width="11" style="48" customWidth="1"/>
    <col min="15365" max="15365" width="15.5" style="48" customWidth="1"/>
    <col min="15366" max="15366" width="11.19921875" style="48" customWidth="1"/>
    <col min="15367" max="15367" width="13.296875" style="48" customWidth="1"/>
    <col min="15368" max="15369" width="14" style="48" customWidth="1"/>
    <col min="15370" max="15370" width="13.296875" style="48" customWidth="1"/>
    <col min="15371" max="15371" width="12.296875" style="48" customWidth="1"/>
    <col min="15372" max="15372" width="14.296875" style="48" customWidth="1"/>
    <col min="15373" max="15373" width="15.19921875" style="48" customWidth="1"/>
    <col min="15374" max="15616" width="9.296875" style="48"/>
    <col min="15617" max="15617" width="5.796875" style="48" customWidth="1"/>
    <col min="15618" max="15618" width="22.296875" style="48" customWidth="1"/>
    <col min="15619" max="15619" width="13" style="48" customWidth="1"/>
    <col min="15620" max="15620" width="11" style="48" customWidth="1"/>
    <col min="15621" max="15621" width="15.5" style="48" customWidth="1"/>
    <col min="15622" max="15622" width="11.19921875" style="48" customWidth="1"/>
    <col min="15623" max="15623" width="13.296875" style="48" customWidth="1"/>
    <col min="15624" max="15625" width="14" style="48" customWidth="1"/>
    <col min="15626" max="15626" width="13.296875" style="48" customWidth="1"/>
    <col min="15627" max="15627" width="12.296875" style="48" customWidth="1"/>
    <col min="15628" max="15628" width="14.296875" style="48" customWidth="1"/>
    <col min="15629" max="15629" width="15.19921875" style="48" customWidth="1"/>
    <col min="15630" max="15872" width="9.296875" style="48"/>
    <col min="15873" max="15873" width="5.796875" style="48" customWidth="1"/>
    <col min="15874" max="15874" width="22.296875" style="48" customWidth="1"/>
    <col min="15875" max="15875" width="13" style="48" customWidth="1"/>
    <col min="15876" max="15876" width="11" style="48" customWidth="1"/>
    <col min="15877" max="15877" width="15.5" style="48" customWidth="1"/>
    <col min="15878" max="15878" width="11.19921875" style="48" customWidth="1"/>
    <col min="15879" max="15879" width="13.296875" style="48" customWidth="1"/>
    <col min="15880" max="15881" width="14" style="48" customWidth="1"/>
    <col min="15882" max="15882" width="13.296875" style="48" customWidth="1"/>
    <col min="15883" max="15883" width="12.296875" style="48" customWidth="1"/>
    <col min="15884" max="15884" width="14.296875" style="48" customWidth="1"/>
    <col min="15885" max="15885" width="15.19921875" style="48" customWidth="1"/>
    <col min="15886" max="16128" width="9.296875" style="48"/>
    <col min="16129" max="16129" width="5.796875" style="48" customWidth="1"/>
    <col min="16130" max="16130" width="22.296875" style="48" customWidth="1"/>
    <col min="16131" max="16131" width="13" style="48" customWidth="1"/>
    <col min="16132" max="16132" width="11" style="48" customWidth="1"/>
    <col min="16133" max="16133" width="15.5" style="48" customWidth="1"/>
    <col min="16134" max="16134" width="11.19921875" style="48" customWidth="1"/>
    <col min="16135" max="16135" width="13.296875" style="48" customWidth="1"/>
    <col min="16136" max="16137" width="14" style="48" customWidth="1"/>
    <col min="16138" max="16138" width="13.296875" style="48" customWidth="1"/>
    <col min="16139" max="16139" width="12.296875" style="48" customWidth="1"/>
    <col min="16140" max="16140" width="14.296875" style="48" customWidth="1"/>
    <col min="16141" max="16141" width="15.19921875" style="48" customWidth="1"/>
    <col min="16142" max="16384" width="9.296875" style="48"/>
  </cols>
  <sheetData>
    <row r="1" spans="1:13" ht="33" customHeight="1" x14ac:dyDescent="0.3">
      <c r="A1" s="1072" t="s">
        <v>520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  <c r="M1" s="1073"/>
    </row>
    <row r="2" spans="1:13" ht="14" x14ac:dyDescent="0.3">
      <c r="A2" s="49"/>
      <c r="B2" s="50"/>
      <c r="C2" s="50"/>
      <c r="D2" s="51"/>
      <c r="E2" s="52"/>
      <c r="F2" s="52"/>
      <c r="G2" s="53"/>
      <c r="H2" s="53"/>
      <c r="I2" s="52"/>
    </row>
    <row r="3" spans="1:13" ht="14" x14ac:dyDescent="0.3">
      <c r="A3" s="49"/>
      <c r="B3" s="54"/>
      <c r="C3" s="54"/>
      <c r="D3" s="55"/>
      <c r="E3" s="51"/>
      <c r="F3" s="51"/>
      <c r="G3" s="51"/>
      <c r="H3" s="51"/>
      <c r="I3" s="51"/>
      <c r="K3" s="1074" t="s">
        <v>1</v>
      </c>
      <c r="L3" s="1074"/>
      <c r="M3" s="1074"/>
    </row>
    <row r="4" spans="1:13" s="56" customFormat="1" ht="75.75" customHeight="1" x14ac:dyDescent="0.3">
      <c r="A4" s="390" t="s">
        <v>404</v>
      </c>
      <c r="B4" s="390" t="s">
        <v>449</v>
      </c>
      <c r="C4" s="390" t="s">
        <v>450</v>
      </c>
      <c r="D4" s="390" t="s">
        <v>460</v>
      </c>
      <c r="E4" s="390" t="s">
        <v>206</v>
      </c>
      <c r="F4" s="390" t="s">
        <v>461</v>
      </c>
      <c r="G4" s="391" t="s">
        <v>210</v>
      </c>
      <c r="H4" s="391" t="s">
        <v>462</v>
      </c>
      <c r="I4" s="391" t="s">
        <v>231</v>
      </c>
      <c r="J4" s="392" t="s">
        <v>233</v>
      </c>
      <c r="K4" s="206" t="s">
        <v>235</v>
      </c>
      <c r="L4" s="392" t="s">
        <v>463</v>
      </c>
      <c r="M4" s="206" t="s">
        <v>464</v>
      </c>
    </row>
    <row r="5" spans="1:13" ht="46.5" customHeight="1" x14ac:dyDescent="0.3">
      <c r="A5" s="393" t="s">
        <v>10</v>
      </c>
      <c r="B5" s="394" t="s">
        <v>728</v>
      </c>
      <c r="C5" s="440" t="s">
        <v>727</v>
      </c>
      <c r="D5" s="409">
        <v>716638</v>
      </c>
      <c r="E5" s="410">
        <v>83346</v>
      </c>
      <c r="F5" s="410"/>
      <c r="G5" s="411"/>
      <c r="H5" s="411"/>
      <c r="I5" s="410"/>
      <c r="J5" s="435"/>
      <c r="K5" s="435"/>
      <c r="L5" s="435"/>
      <c r="M5" s="436">
        <f t="shared" ref="M5:M13" si="0">SUM(D5:L5)</f>
        <v>799984</v>
      </c>
    </row>
    <row r="6" spans="1:13" ht="46.5" customHeight="1" x14ac:dyDescent="0.3">
      <c r="A6" s="393" t="s">
        <v>13</v>
      </c>
      <c r="B6" s="400" t="s">
        <v>796</v>
      </c>
      <c r="C6" s="440"/>
      <c r="D6" s="409">
        <v>6780934</v>
      </c>
      <c r="E6" s="409">
        <v>759761</v>
      </c>
      <c r="F6" s="409">
        <v>0</v>
      </c>
      <c r="G6" s="409">
        <f t="shared" ref="G6:L6" si="1">G7-G5</f>
        <v>0</v>
      </c>
      <c r="H6" s="409">
        <f t="shared" si="1"/>
        <v>0</v>
      </c>
      <c r="I6" s="409">
        <f t="shared" si="1"/>
        <v>0</v>
      </c>
      <c r="J6" s="409">
        <f t="shared" si="1"/>
        <v>0</v>
      </c>
      <c r="K6" s="409">
        <f t="shared" si="1"/>
        <v>0</v>
      </c>
      <c r="L6" s="409">
        <f t="shared" si="1"/>
        <v>0</v>
      </c>
      <c r="M6" s="436">
        <f t="shared" si="0"/>
        <v>7540695</v>
      </c>
    </row>
    <row r="7" spans="1:13" s="57" customFormat="1" ht="46.5" customHeight="1" x14ac:dyDescent="0.35">
      <c r="A7" s="393" t="s">
        <v>16</v>
      </c>
      <c r="B7" s="400" t="s">
        <v>823</v>
      </c>
      <c r="C7" s="441"/>
      <c r="D7" s="412">
        <v>3175520</v>
      </c>
      <c r="E7" s="413">
        <v>365666</v>
      </c>
      <c r="F7" s="413">
        <v>0</v>
      </c>
      <c r="G7" s="414"/>
      <c r="H7" s="414"/>
      <c r="I7" s="413"/>
      <c r="J7" s="437"/>
      <c r="K7" s="437"/>
      <c r="L7" s="437"/>
      <c r="M7" s="438">
        <f t="shared" si="0"/>
        <v>3541186</v>
      </c>
    </row>
    <row r="8" spans="1:13" ht="46.5" customHeight="1" x14ac:dyDescent="0.3">
      <c r="A8" s="393" t="s">
        <v>19</v>
      </c>
      <c r="B8" s="394" t="s">
        <v>732</v>
      </c>
      <c r="C8" s="440" t="s">
        <v>731</v>
      </c>
      <c r="D8" s="409"/>
      <c r="E8" s="410"/>
      <c r="F8" s="410">
        <v>4665650</v>
      </c>
      <c r="G8" s="411"/>
      <c r="H8" s="411"/>
      <c r="I8" s="410"/>
      <c r="J8" s="435"/>
      <c r="K8" s="435"/>
      <c r="L8" s="435"/>
      <c r="M8" s="436">
        <f t="shared" si="0"/>
        <v>4665650</v>
      </c>
    </row>
    <row r="9" spans="1:13" ht="46.5" customHeight="1" x14ac:dyDescent="0.3">
      <c r="A9" s="393" t="s">
        <v>22</v>
      </c>
      <c r="B9" s="400" t="s">
        <v>796</v>
      </c>
      <c r="C9" s="440"/>
      <c r="D9" s="409"/>
      <c r="E9" s="410"/>
      <c r="F9" s="410">
        <v>6729629</v>
      </c>
      <c r="G9" s="411"/>
      <c r="H9" s="411"/>
      <c r="I9" s="410">
        <v>90923</v>
      </c>
      <c r="J9" s="435"/>
      <c r="K9" s="435"/>
      <c r="L9" s="435"/>
      <c r="M9" s="436">
        <f t="shared" si="0"/>
        <v>6820552</v>
      </c>
    </row>
    <row r="10" spans="1:13" s="57" customFormat="1" ht="46.5" customHeight="1" x14ac:dyDescent="0.35">
      <c r="A10" s="393" t="s">
        <v>25</v>
      </c>
      <c r="B10" s="400" t="s">
        <v>823</v>
      </c>
      <c r="C10" s="441"/>
      <c r="D10" s="412"/>
      <c r="E10" s="413"/>
      <c r="F10" s="413">
        <v>5385193</v>
      </c>
      <c r="G10" s="414"/>
      <c r="H10" s="414"/>
      <c r="I10" s="413">
        <v>90923</v>
      </c>
      <c r="J10" s="437"/>
      <c r="K10" s="437"/>
      <c r="L10" s="437"/>
      <c r="M10" s="438">
        <f t="shared" si="0"/>
        <v>5476116</v>
      </c>
    </row>
    <row r="11" spans="1:13" ht="46.5" customHeight="1" x14ac:dyDescent="0.3">
      <c r="A11" s="393" t="s">
        <v>28</v>
      </c>
      <c r="B11" s="394" t="s">
        <v>730</v>
      </c>
      <c r="C11" s="440" t="s">
        <v>729</v>
      </c>
      <c r="D11" s="409">
        <v>17247982</v>
      </c>
      <c r="E11" s="410">
        <v>3822077</v>
      </c>
      <c r="F11" s="410">
        <v>2000000</v>
      </c>
      <c r="G11" s="411"/>
      <c r="H11" s="411"/>
      <c r="I11" s="410"/>
      <c r="J11" s="435"/>
      <c r="K11" s="435"/>
      <c r="L11" s="399"/>
      <c r="M11" s="436">
        <f t="shared" si="0"/>
        <v>23070059</v>
      </c>
    </row>
    <row r="12" spans="1:13" s="57" customFormat="1" ht="46.5" customHeight="1" x14ac:dyDescent="0.35">
      <c r="A12" s="390" t="s">
        <v>31</v>
      </c>
      <c r="B12" s="400" t="s">
        <v>796</v>
      </c>
      <c r="C12" s="441"/>
      <c r="D12" s="412">
        <v>18857278</v>
      </c>
      <c r="E12" s="412">
        <v>4177183</v>
      </c>
      <c r="F12" s="412">
        <v>1685871</v>
      </c>
      <c r="G12" s="412">
        <f t="shared" ref="G12:L12" si="2">G13-G11</f>
        <v>0</v>
      </c>
      <c r="H12" s="412">
        <f t="shared" si="2"/>
        <v>0</v>
      </c>
      <c r="I12" s="412">
        <v>557178</v>
      </c>
      <c r="J12" s="412">
        <f t="shared" si="2"/>
        <v>0</v>
      </c>
      <c r="K12" s="412">
        <f t="shared" si="2"/>
        <v>0</v>
      </c>
      <c r="L12" s="412">
        <f t="shared" si="2"/>
        <v>0</v>
      </c>
      <c r="M12" s="438">
        <f t="shared" si="0"/>
        <v>25277510</v>
      </c>
    </row>
    <row r="13" spans="1:13" s="57" customFormat="1" ht="46.5" customHeight="1" x14ac:dyDescent="0.35">
      <c r="A13" s="393" t="s">
        <v>34</v>
      </c>
      <c r="B13" s="400" t="s">
        <v>823</v>
      </c>
      <c r="C13" s="441"/>
      <c r="D13" s="412">
        <v>17951859</v>
      </c>
      <c r="E13" s="413">
        <v>4089541</v>
      </c>
      <c r="F13" s="413">
        <v>1586136</v>
      </c>
      <c r="G13" s="414"/>
      <c r="H13" s="414"/>
      <c r="I13" s="413">
        <v>557178</v>
      </c>
      <c r="J13" s="437"/>
      <c r="K13" s="437"/>
      <c r="L13" s="405"/>
      <c r="M13" s="438">
        <f t="shared" si="0"/>
        <v>24184714</v>
      </c>
    </row>
    <row r="14" spans="1:13" s="57" customFormat="1" ht="33" customHeight="1" x14ac:dyDescent="0.35">
      <c r="A14" s="393" t="s">
        <v>37</v>
      </c>
      <c r="B14" s="406" t="s">
        <v>830</v>
      </c>
      <c r="C14" s="407"/>
      <c r="D14" s="412">
        <f>D13+D10+D7</f>
        <v>21127379</v>
      </c>
      <c r="E14" s="412">
        <f t="shared" ref="E14:M14" si="3">E13+E10+E7</f>
        <v>4455207</v>
      </c>
      <c r="F14" s="412">
        <f t="shared" si="3"/>
        <v>6971329</v>
      </c>
      <c r="G14" s="412">
        <f t="shared" si="3"/>
        <v>0</v>
      </c>
      <c r="H14" s="412">
        <f t="shared" si="3"/>
        <v>0</v>
      </c>
      <c r="I14" s="412">
        <f t="shared" si="3"/>
        <v>648101</v>
      </c>
      <c r="J14" s="412">
        <f t="shared" si="3"/>
        <v>0</v>
      </c>
      <c r="K14" s="412">
        <f t="shared" si="3"/>
        <v>0</v>
      </c>
      <c r="L14" s="412">
        <f t="shared" si="3"/>
        <v>0</v>
      </c>
      <c r="M14" s="412">
        <f t="shared" si="3"/>
        <v>33202016</v>
      </c>
    </row>
    <row r="15" spans="1:13" s="555" customFormat="1" ht="21" customHeight="1" x14ac:dyDescent="0.3">
      <c r="A15" s="390" t="s">
        <v>39</v>
      </c>
      <c r="B15" s="556" t="s">
        <v>831</v>
      </c>
      <c r="C15" s="556"/>
      <c r="D15" s="414">
        <f>D6+D9+D12</f>
        <v>25638212</v>
      </c>
      <c r="E15" s="414">
        <f t="shared" ref="E15:M15" si="4">E6+E9+E12</f>
        <v>4936944</v>
      </c>
      <c r="F15" s="557">
        <f t="shared" si="4"/>
        <v>8415500</v>
      </c>
      <c r="G15" s="557">
        <f t="shared" si="4"/>
        <v>0</v>
      </c>
      <c r="H15" s="557">
        <f t="shared" si="4"/>
        <v>0</v>
      </c>
      <c r="I15" s="414">
        <f t="shared" si="4"/>
        <v>648101</v>
      </c>
      <c r="J15" s="557">
        <f t="shared" si="4"/>
        <v>0</v>
      </c>
      <c r="K15" s="557">
        <f t="shared" si="4"/>
        <v>0</v>
      </c>
      <c r="L15" s="557">
        <f t="shared" si="4"/>
        <v>0</v>
      </c>
      <c r="M15" s="414">
        <f t="shared" si="4"/>
        <v>39638757</v>
      </c>
    </row>
    <row r="16" spans="1:13" ht="42" customHeight="1" x14ac:dyDescent="0.3">
      <c r="A16" s="58"/>
      <c r="B16" s="61"/>
      <c r="C16" s="62"/>
      <c r="D16" s="63"/>
      <c r="E16" s="60"/>
      <c r="F16" s="60"/>
      <c r="G16" s="59"/>
      <c r="H16" s="59"/>
      <c r="I16" s="59"/>
    </row>
    <row r="17" spans="1:9" ht="42" customHeight="1" x14ac:dyDescent="0.3">
      <c r="A17" s="64"/>
      <c r="B17" s="65"/>
      <c r="C17" s="66"/>
      <c r="D17" s="67"/>
      <c r="E17" s="52"/>
      <c r="F17" s="52"/>
      <c r="G17" s="53"/>
      <c r="H17" s="53"/>
      <c r="I17" s="53"/>
    </row>
    <row r="18" spans="1:9" ht="14" x14ac:dyDescent="0.3">
      <c r="A18" s="49"/>
      <c r="B18" s="50"/>
      <c r="C18" s="50"/>
      <c r="D18" s="51"/>
      <c r="E18" s="51"/>
      <c r="F18" s="51"/>
      <c r="G18" s="51"/>
      <c r="H18" s="51"/>
      <c r="I18" s="51"/>
    </row>
    <row r="19" spans="1:9" s="69" customFormat="1" ht="14" x14ac:dyDescent="0.3">
      <c r="A19" s="49"/>
      <c r="B19" s="50"/>
      <c r="C19" s="50"/>
      <c r="D19" s="51"/>
      <c r="E19" s="52"/>
      <c r="F19" s="68"/>
      <c r="G19" s="68"/>
      <c r="H19" s="68"/>
      <c r="I19" s="68"/>
    </row>
  </sheetData>
  <mergeCells count="2">
    <mergeCell ref="A1:M1"/>
    <mergeCell ref="K3:M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&amp;R &amp;"Times New Roman CE,Félkövér dőlt"&amp;11 11.2.  melléklet a 7/2018. (V.31.)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zoomScaleNormal="100" workbookViewId="0">
      <selection sqref="A1:O1"/>
    </sheetView>
  </sheetViews>
  <sheetFormatPr defaultRowHeight="15.5" x14ac:dyDescent="0.35"/>
  <cols>
    <col min="1" max="1" width="5.5" style="105" customWidth="1"/>
    <col min="2" max="2" width="28.796875" style="104" customWidth="1"/>
    <col min="3" max="14" width="11.296875" style="104" customWidth="1"/>
    <col min="15" max="15" width="14" style="105" customWidth="1"/>
    <col min="16" max="256" width="9.296875" style="104"/>
    <col min="257" max="257" width="5.5" style="104" customWidth="1"/>
    <col min="258" max="258" width="28.796875" style="104" customWidth="1"/>
    <col min="259" max="271" width="11.296875" style="104" customWidth="1"/>
    <col min="272" max="512" width="9.296875" style="104"/>
    <col min="513" max="513" width="5.5" style="104" customWidth="1"/>
    <col min="514" max="514" width="28.796875" style="104" customWidth="1"/>
    <col min="515" max="527" width="11.296875" style="104" customWidth="1"/>
    <col min="528" max="768" width="9.296875" style="104"/>
    <col min="769" max="769" width="5.5" style="104" customWidth="1"/>
    <col min="770" max="770" width="28.796875" style="104" customWidth="1"/>
    <col min="771" max="783" width="11.296875" style="104" customWidth="1"/>
    <col min="784" max="1024" width="9.296875" style="104"/>
    <col min="1025" max="1025" width="5.5" style="104" customWidth="1"/>
    <col min="1026" max="1026" width="28.796875" style="104" customWidth="1"/>
    <col min="1027" max="1039" width="11.296875" style="104" customWidth="1"/>
    <col min="1040" max="1280" width="9.296875" style="104"/>
    <col min="1281" max="1281" width="5.5" style="104" customWidth="1"/>
    <col min="1282" max="1282" width="28.796875" style="104" customWidth="1"/>
    <col min="1283" max="1295" width="11.296875" style="104" customWidth="1"/>
    <col min="1296" max="1536" width="9.296875" style="104"/>
    <col min="1537" max="1537" width="5.5" style="104" customWidth="1"/>
    <col min="1538" max="1538" width="28.796875" style="104" customWidth="1"/>
    <col min="1539" max="1551" width="11.296875" style="104" customWidth="1"/>
    <col min="1552" max="1792" width="9.296875" style="104"/>
    <col min="1793" max="1793" width="5.5" style="104" customWidth="1"/>
    <col min="1794" max="1794" width="28.796875" style="104" customWidth="1"/>
    <col min="1795" max="1807" width="11.296875" style="104" customWidth="1"/>
    <col min="1808" max="2048" width="9.296875" style="104"/>
    <col min="2049" max="2049" width="5.5" style="104" customWidth="1"/>
    <col min="2050" max="2050" width="28.796875" style="104" customWidth="1"/>
    <col min="2051" max="2063" width="11.296875" style="104" customWidth="1"/>
    <col min="2064" max="2304" width="9.296875" style="104"/>
    <col min="2305" max="2305" width="5.5" style="104" customWidth="1"/>
    <col min="2306" max="2306" width="28.796875" style="104" customWidth="1"/>
    <col min="2307" max="2319" width="11.296875" style="104" customWidth="1"/>
    <col min="2320" max="2560" width="9.296875" style="104"/>
    <col min="2561" max="2561" width="5.5" style="104" customWidth="1"/>
    <col min="2562" max="2562" width="28.796875" style="104" customWidth="1"/>
    <col min="2563" max="2575" width="11.296875" style="104" customWidth="1"/>
    <col min="2576" max="2816" width="9.296875" style="104"/>
    <col min="2817" max="2817" width="5.5" style="104" customWidth="1"/>
    <col min="2818" max="2818" width="28.796875" style="104" customWidth="1"/>
    <col min="2819" max="2831" width="11.296875" style="104" customWidth="1"/>
    <col min="2832" max="3072" width="9.296875" style="104"/>
    <col min="3073" max="3073" width="5.5" style="104" customWidth="1"/>
    <col min="3074" max="3074" width="28.796875" style="104" customWidth="1"/>
    <col min="3075" max="3087" width="11.296875" style="104" customWidth="1"/>
    <col min="3088" max="3328" width="9.296875" style="104"/>
    <col min="3329" max="3329" width="5.5" style="104" customWidth="1"/>
    <col min="3330" max="3330" width="28.796875" style="104" customWidth="1"/>
    <col min="3331" max="3343" width="11.296875" style="104" customWidth="1"/>
    <col min="3344" max="3584" width="9.296875" style="104"/>
    <col min="3585" max="3585" width="5.5" style="104" customWidth="1"/>
    <col min="3586" max="3586" width="28.796875" style="104" customWidth="1"/>
    <col min="3587" max="3599" width="11.296875" style="104" customWidth="1"/>
    <col min="3600" max="3840" width="9.296875" style="104"/>
    <col min="3841" max="3841" width="5.5" style="104" customWidth="1"/>
    <col min="3842" max="3842" width="28.796875" style="104" customWidth="1"/>
    <col min="3843" max="3855" width="11.296875" style="104" customWidth="1"/>
    <col min="3856" max="4096" width="9.296875" style="104"/>
    <col min="4097" max="4097" width="5.5" style="104" customWidth="1"/>
    <col min="4098" max="4098" width="28.796875" style="104" customWidth="1"/>
    <col min="4099" max="4111" width="11.296875" style="104" customWidth="1"/>
    <col min="4112" max="4352" width="9.296875" style="104"/>
    <col min="4353" max="4353" width="5.5" style="104" customWidth="1"/>
    <col min="4354" max="4354" width="28.796875" style="104" customWidth="1"/>
    <col min="4355" max="4367" width="11.296875" style="104" customWidth="1"/>
    <col min="4368" max="4608" width="9.296875" style="104"/>
    <col min="4609" max="4609" width="5.5" style="104" customWidth="1"/>
    <col min="4610" max="4610" width="28.796875" style="104" customWidth="1"/>
    <col min="4611" max="4623" width="11.296875" style="104" customWidth="1"/>
    <col min="4624" max="4864" width="9.296875" style="104"/>
    <col min="4865" max="4865" width="5.5" style="104" customWidth="1"/>
    <col min="4866" max="4866" width="28.796875" style="104" customWidth="1"/>
    <col min="4867" max="4879" width="11.296875" style="104" customWidth="1"/>
    <col min="4880" max="5120" width="9.296875" style="104"/>
    <col min="5121" max="5121" width="5.5" style="104" customWidth="1"/>
    <col min="5122" max="5122" width="28.796875" style="104" customWidth="1"/>
    <col min="5123" max="5135" width="11.296875" style="104" customWidth="1"/>
    <col min="5136" max="5376" width="9.296875" style="104"/>
    <col min="5377" max="5377" width="5.5" style="104" customWidth="1"/>
    <col min="5378" max="5378" width="28.796875" style="104" customWidth="1"/>
    <col min="5379" max="5391" width="11.296875" style="104" customWidth="1"/>
    <col min="5392" max="5632" width="9.296875" style="104"/>
    <col min="5633" max="5633" width="5.5" style="104" customWidth="1"/>
    <col min="5634" max="5634" width="28.796875" style="104" customWidth="1"/>
    <col min="5635" max="5647" width="11.296875" style="104" customWidth="1"/>
    <col min="5648" max="5888" width="9.296875" style="104"/>
    <col min="5889" max="5889" width="5.5" style="104" customWidth="1"/>
    <col min="5890" max="5890" width="28.796875" style="104" customWidth="1"/>
    <col min="5891" max="5903" width="11.296875" style="104" customWidth="1"/>
    <col min="5904" max="6144" width="9.296875" style="104"/>
    <col min="6145" max="6145" width="5.5" style="104" customWidth="1"/>
    <col min="6146" max="6146" width="28.796875" style="104" customWidth="1"/>
    <col min="6147" max="6159" width="11.296875" style="104" customWidth="1"/>
    <col min="6160" max="6400" width="9.296875" style="104"/>
    <col min="6401" max="6401" width="5.5" style="104" customWidth="1"/>
    <col min="6402" max="6402" width="28.796875" style="104" customWidth="1"/>
    <col min="6403" max="6415" width="11.296875" style="104" customWidth="1"/>
    <col min="6416" max="6656" width="9.296875" style="104"/>
    <col min="6657" max="6657" width="5.5" style="104" customWidth="1"/>
    <col min="6658" max="6658" width="28.796875" style="104" customWidth="1"/>
    <col min="6659" max="6671" width="11.296875" style="104" customWidth="1"/>
    <col min="6672" max="6912" width="9.296875" style="104"/>
    <col min="6913" max="6913" width="5.5" style="104" customWidth="1"/>
    <col min="6914" max="6914" width="28.796875" style="104" customWidth="1"/>
    <col min="6915" max="6927" width="11.296875" style="104" customWidth="1"/>
    <col min="6928" max="7168" width="9.296875" style="104"/>
    <col min="7169" max="7169" width="5.5" style="104" customWidth="1"/>
    <col min="7170" max="7170" width="28.796875" style="104" customWidth="1"/>
    <col min="7171" max="7183" width="11.296875" style="104" customWidth="1"/>
    <col min="7184" max="7424" width="9.296875" style="104"/>
    <col min="7425" max="7425" width="5.5" style="104" customWidth="1"/>
    <col min="7426" max="7426" width="28.796875" style="104" customWidth="1"/>
    <col min="7427" max="7439" width="11.296875" style="104" customWidth="1"/>
    <col min="7440" max="7680" width="9.296875" style="104"/>
    <col min="7681" max="7681" width="5.5" style="104" customWidth="1"/>
    <col min="7682" max="7682" width="28.796875" style="104" customWidth="1"/>
    <col min="7683" max="7695" width="11.296875" style="104" customWidth="1"/>
    <col min="7696" max="7936" width="9.296875" style="104"/>
    <col min="7937" max="7937" width="5.5" style="104" customWidth="1"/>
    <col min="7938" max="7938" width="28.796875" style="104" customWidth="1"/>
    <col min="7939" max="7951" width="11.296875" style="104" customWidth="1"/>
    <col min="7952" max="8192" width="9.296875" style="104"/>
    <col min="8193" max="8193" width="5.5" style="104" customWidth="1"/>
    <col min="8194" max="8194" width="28.796875" style="104" customWidth="1"/>
    <col min="8195" max="8207" width="11.296875" style="104" customWidth="1"/>
    <col min="8208" max="8448" width="9.296875" style="104"/>
    <col min="8449" max="8449" width="5.5" style="104" customWidth="1"/>
    <col min="8450" max="8450" width="28.796875" style="104" customWidth="1"/>
    <col min="8451" max="8463" width="11.296875" style="104" customWidth="1"/>
    <col min="8464" max="8704" width="9.296875" style="104"/>
    <col min="8705" max="8705" width="5.5" style="104" customWidth="1"/>
    <col min="8706" max="8706" width="28.796875" style="104" customWidth="1"/>
    <col min="8707" max="8719" width="11.296875" style="104" customWidth="1"/>
    <col min="8720" max="8960" width="9.296875" style="104"/>
    <col min="8961" max="8961" width="5.5" style="104" customWidth="1"/>
    <col min="8962" max="8962" width="28.796875" style="104" customWidth="1"/>
    <col min="8963" max="8975" width="11.296875" style="104" customWidth="1"/>
    <col min="8976" max="9216" width="9.296875" style="104"/>
    <col min="9217" max="9217" width="5.5" style="104" customWidth="1"/>
    <col min="9218" max="9218" width="28.796875" style="104" customWidth="1"/>
    <col min="9219" max="9231" width="11.296875" style="104" customWidth="1"/>
    <col min="9232" max="9472" width="9.296875" style="104"/>
    <col min="9473" max="9473" width="5.5" style="104" customWidth="1"/>
    <col min="9474" max="9474" width="28.796875" style="104" customWidth="1"/>
    <col min="9475" max="9487" width="11.296875" style="104" customWidth="1"/>
    <col min="9488" max="9728" width="9.296875" style="104"/>
    <col min="9729" max="9729" width="5.5" style="104" customWidth="1"/>
    <col min="9730" max="9730" width="28.796875" style="104" customWidth="1"/>
    <col min="9731" max="9743" width="11.296875" style="104" customWidth="1"/>
    <col min="9744" max="9984" width="9.296875" style="104"/>
    <col min="9985" max="9985" width="5.5" style="104" customWidth="1"/>
    <col min="9986" max="9986" width="28.796875" style="104" customWidth="1"/>
    <col min="9987" max="9999" width="11.296875" style="104" customWidth="1"/>
    <col min="10000" max="10240" width="9.296875" style="104"/>
    <col min="10241" max="10241" width="5.5" style="104" customWidth="1"/>
    <col min="10242" max="10242" width="28.796875" style="104" customWidth="1"/>
    <col min="10243" max="10255" width="11.296875" style="104" customWidth="1"/>
    <col min="10256" max="10496" width="9.296875" style="104"/>
    <col min="10497" max="10497" width="5.5" style="104" customWidth="1"/>
    <col min="10498" max="10498" width="28.796875" style="104" customWidth="1"/>
    <col min="10499" max="10511" width="11.296875" style="104" customWidth="1"/>
    <col min="10512" max="10752" width="9.296875" style="104"/>
    <col min="10753" max="10753" width="5.5" style="104" customWidth="1"/>
    <col min="10754" max="10754" width="28.796875" style="104" customWidth="1"/>
    <col min="10755" max="10767" width="11.296875" style="104" customWidth="1"/>
    <col min="10768" max="11008" width="9.296875" style="104"/>
    <col min="11009" max="11009" width="5.5" style="104" customWidth="1"/>
    <col min="11010" max="11010" width="28.796875" style="104" customWidth="1"/>
    <col min="11011" max="11023" width="11.296875" style="104" customWidth="1"/>
    <col min="11024" max="11264" width="9.296875" style="104"/>
    <col min="11265" max="11265" width="5.5" style="104" customWidth="1"/>
    <col min="11266" max="11266" width="28.796875" style="104" customWidth="1"/>
    <col min="11267" max="11279" width="11.296875" style="104" customWidth="1"/>
    <col min="11280" max="11520" width="9.296875" style="104"/>
    <col min="11521" max="11521" width="5.5" style="104" customWidth="1"/>
    <col min="11522" max="11522" width="28.796875" style="104" customWidth="1"/>
    <col min="11523" max="11535" width="11.296875" style="104" customWidth="1"/>
    <col min="11536" max="11776" width="9.296875" style="104"/>
    <col min="11777" max="11777" width="5.5" style="104" customWidth="1"/>
    <col min="11778" max="11778" width="28.796875" style="104" customWidth="1"/>
    <col min="11779" max="11791" width="11.296875" style="104" customWidth="1"/>
    <col min="11792" max="12032" width="9.296875" style="104"/>
    <col min="12033" max="12033" width="5.5" style="104" customWidth="1"/>
    <col min="12034" max="12034" width="28.796875" style="104" customWidth="1"/>
    <col min="12035" max="12047" width="11.296875" style="104" customWidth="1"/>
    <col min="12048" max="12288" width="9.296875" style="104"/>
    <col min="12289" max="12289" width="5.5" style="104" customWidth="1"/>
    <col min="12290" max="12290" width="28.796875" style="104" customWidth="1"/>
    <col min="12291" max="12303" width="11.296875" style="104" customWidth="1"/>
    <col min="12304" max="12544" width="9.296875" style="104"/>
    <col min="12545" max="12545" width="5.5" style="104" customWidth="1"/>
    <col min="12546" max="12546" width="28.796875" style="104" customWidth="1"/>
    <col min="12547" max="12559" width="11.296875" style="104" customWidth="1"/>
    <col min="12560" max="12800" width="9.296875" style="104"/>
    <col min="12801" max="12801" width="5.5" style="104" customWidth="1"/>
    <col min="12802" max="12802" width="28.796875" style="104" customWidth="1"/>
    <col min="12803" max="12815" width="11.296875" style="104" customWidth="1"/>
    <col min="12816" max="13056" width="9.296875" style="104"/>
    <col min="13057" max="13057" width="5.5" style="104" customWidth="1"/>
    <col min="13058" max="13058" width="28.796875" style="104" customWidth="1"/>
    <col min="13059" max="13071" width="11.296875" style="104" customWidth="1"/>
    <col min="13072" max="13312" width="9.296875" style="104"/>
    <col min="13313" max="13313" width="5.5" style="104" customWidth="1"/>
    <col min="13314" max="13314" width="28.796875" style="104" customWidth="1"/>
    <col min="13315" max="13327" width="11.296875" style="104" customWidth="1"/>
    <col min="13328" max="13568" width="9.296875" style="104"/>
    <col min="13569" max="13569" width="5.5" style="104" customWidth="1"/>
    <col min="13570" max="13570" width="28.796875" style="104" customWidth="1"/>
    <col min="13571" max="13583" width="11.296875" style="104" customWidth="1"/>
    <col min="13584" max="13824" width="9.296875" style="104"/>
    <col min="13825" max="13825" width="5.5" style="104" customWidth="1"/>
    <col min="13826" max="13826" width="28.796875" style="104" customWidth="1"/>
    <col min="13827" max="13839" width="11.296875" style="104" customWidth="1"/>
    <col min="13840" max="14080" width="9.296875" style="104"/>
    <col min="14081" max="14081" width="5.5" style="104" customWidth="1"/>
    <col min="14082" max="14082" width="28.796875" style="104" customWidth="1"/>
    <col min="14083" max="14095" width="11.296875" style="104" customWidth="1"/>
    <col min="14096" max="14336" width="9.296875" style="104"/>
    <col min="14337" max="14337" width="5.5" style="104" customWidth="1"/>
    <col min="14338" max="14338" width="28.796875" style="104" customWidth="1"/>
    <col min="14339" max="14351" width="11.296875" style="104" customWidth="1"/>
    <col min="14352" max="14592" width="9.296875" style="104"/>
    <col min="14593" max="14593" width="5.5" style="104" customWidth="1"/>
    <col min="14594" max="14594" width="28.796875" style="104" customWidth="1"/>
    <col min="14595" max="14607" width="11.296875" style="104" customWidth="1"/>
    <col min="14608" max="14848" width="9.296875" style="104"/>
    <col min="14849" max="14849" width="5.5" style="104" customWidth="1"/>
    <col min="14850" max="14850" width="28.796875" style="104" customWidth="1"/>
    <col min="14851" max="14863" width="11.296875" style="104" customWidth="1"/>
    <col min="14864" max="15104" width="9.296875" style="104"/>
    <col min="15105" max="15105" width="5.5" style="104" customWidth="1"/>
    <col min="15106" max="15106" width="28.796875" style="104" customWidth="1"/>
    <col min="15107" max="15119" width="11.296875" style="104" customWidth="1"/>
    <col min="15120" max="15360" width="9.296875" style="104"/>
    <col min="15361" max="15361" width="5.5" style="104" customWidth="1"/>
    <col min="15362" max="15362" width="28.796875" style="104" customWidth="1"/>
    <col min="15363" max="15375" width="11.296875" style="104" customWidth="1"/>
    <col min="15376" max="15616" width="9.296875" style="104"/>
    <col min="15617" max="15617" width="5.5" style="104" customWidth="1"/>
    <col min="15618" max="15618" width="28.796875" style="104" customWidth="1"/>
    <col min="15619" max="15631" width="11.296875" style="104" customWidth="1"/>
    <col min="15632" max="15872" width="9.296875" style="104"/>
    <col min="15873" max="15873" width="5.5" style="104" customWidth="1"/>
    <col min="15874" max="15874" width="28.796875" style="104" customWidth="1"/>
    <col min="15875" max="15887" width="11.296875" style="104" customWidth="1"/>
    <col min="15888" max="16128" width="9.296875" style="104"/>
    <col min="16129" max="16129" width="5.5" style="104" customWidth="1"/>
    <col min="16130" max="16130" width="28.796875" style="104" customWidth="1"/>
    <col min="16131" max="16143" width="11.296875" style="104" customWidth="1"/>
    <col min="16144" max="16384" width="9.296875" style="104"/>
  </cols>
  <sheetData>
    <row r="1" spans="1:15" ht="45.75" customHeight="1" x14ac:dyDescent="0.35">
      <c r="A1" s="1076" t="s">
        <v>1167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1077"/>
      <c r="N1" s="1077"/>
      <c r="O1" s="1077"/>
    </row>
    <row r="2" spans="1:15" ht="12" customHeight="1" x14ac:dyDescent="0.35">
      <c r="N2" s="106"/>
      <c r="O2" s="107" t="s">
        <v>420</v>
      </c>
    </row>
    <row r="3" spans="1:15" s="105" customFormat="1" ht="31.5" customHeight="1" x14ac:dyDescent="0.35">
      <c r="A3" s="442" t="s">
        <v>404</v>
      </c>
      <c r="B3" s="443" t="s">
        <v>267</v>
      </c>
      <c r="C3" s="443" t="s">
        <v>523</v>
      </c>
      <c r="D3" s="443" t="s">
        <v>524</v>
      </c>
      <c r="E3" s="443" t="s">
        <v>525</v>
      </c>
      <c r="F3" s="443" t="s">
        <v>526</v>
      </c>
      <c r="G3" s="443" t="s">
        <v>527</v>
      </c>
      <c r="H3" s="443" t="s">
        <v>528</v>
      </c>
      <c r="I3" s="443" t="s">
        <v>529</v>
      </c>
      <c r="J3" s="443" t="s">
        <v>530</v>
      </c>
      <c r="K3" s="443" t="s">
        <v>531</v>
      </c>
      <c r="L3" s="443" t="s">
        <v>532</v>
      </c>
      <c r="M3" s="443" t="s">
        <v>533</v>
      </c>
      <c r="N3" s="443" t="s">
        <v>534</v>
      </c>
      <c r="O3" s="443" t="s">
        <v>535</v>
      </c>
    </row>
    <row r="4" spans="1:15" s="108" customFormat="1" ht="21" customHeight="1" x14ac:dyDescent="0.3">
      <c r="A4" s="444" t="s">
        <v>10</v>
      </c>
      <c r="B4" s="1078" t="s">
        <v>265</v>
      </c>
      <c r="C4" s="1078"/>
      <c r="D4" s="1078"/>
      <c r="E4" s="1078"/>
      <c r="F4" s="1078"/>
      <c r="G4" s="1078"/>
      <c r="H4" s="1078"/>
      <c r="I4" s="1078"/>
      <c r="J4" s="1078"/>
      <c r="K4" s="1078"/>
      <c r="L4" s="1078"/>
      <c r="M4" s="1078"/>
      <c r="N4" s="1078"/>
      <c r="O4" s="1078"/>
    </row>
    <row r="5" spans="1:15" s="109" customFormat="1" ht="21" customHeight="1" x14ac:dyDescent="0.3">
      <c r="A5" s="444" t="s">
        <v>13</v>
      </c>
      <c r="B5" s="444" t="s">
        <v>536</v>
      </c>
      <c r="C5" s="445">
        <v>111260</v>
      </c>
      <c r="D5" s="445">
        <v>111260</v>
      </c>
      <c r="E5" s="445">
        <v>111260</v>
      </c>
      <c r="F5" s="445">
        <v>111260</v>
      </c>
      <c r="G5" s="445">
        <v>111260</v>
      </c>
      <c r="H5" s="445">
        <v>111260</v>
      </c>
      <c r="I5" s="445">
        <v>111260</v>
      </c>
      <c r="J5" s="445">
        <v>111260</v>
      </c>
      <c r="K5" s="445">
        <v>111260</v>
      </c>
      <c r="L5" s="445">
        <v>111260</v>
      </c>
      <c r="M5" s="445">
        <v>111260</v>
      </c>
      <c r="N5" s="445">
        <v>111266</v>
      </c>
      <c r="O5" s="446">
        <f t="shared" ref="O5:O11" si="0">SUM(C5:N5)</f>
        <v>1335126</v>
      </c>
    </row>
    <row r="6" spans="1:15" s="109" customFormat="1" ht="21" customHeight="1" x14ac:dyDescent="0.3">
      <c r="A6" s="444" t="s">
        <v>16</v>
      </c>
      <c r="B6" s="447" t="s">
        <v>537</v>
      </c>
      <c r="C6" s="445"/>
      <c r="D6" s="445"/>
      <c r="E6" s="445"/>
      <c r="F6" s="445">
        <v>50000</v>
      </c>
      <c r="G6" s="445"/>
      <c r="H6" s="445"/>
      <c r="I6" s="445">
        <v>584095</v>
      </c>
      <c r="J6" s="445">
        <v>584095</v>
      </c>
      <c r="K6" s="445">
        <v>584095</v>
      </c>
      <c r="L6" s="445"/>
      <c r="M6" s="445">
        <v>788135</v>
      </c>
      <c r="N6" s="445"/>
      <c r="O6" s="446">
        <f t="shared" si="0"/>
        <v>2590420</v>
      </c>
    </row>
    <row r="7" spans="1:15" s="109" customFormat="1" ht="21" customHeight="1" x14ac:dyDescent="0.3">
      <c r="A7" s="444" t="s">
        <v>19</v>
      </c>
      <c r="B7" s="444" t="s">
        <v>452</v>
      </c>
      <c r="C7" s="445">
        <v>82995</v>
      </c>
      <c r="D7" s="445">
        <v>82995</v>
      </c>
      <c r="E7" s="445">
        <v>82995</v>
      </c>
      <c r="F7" s="445">
        <v>82995</v>
      </c>
      <c r="G7" s="445">
        <v>82995</v>
      </c>
      <c r="H7" s="445">
        <v>82995</v>
      </c>
      <c r="I7" s="445">
        <v>82995</v>
      </c>
      <c r="J7" s="445">
        <v>82995</v>
      </c>
      <c r="K7" s="445">
        <v>82995</v>
      </c>
      <c r="L7" s="445">
        <v>82995</v>
      </c>
      <c r="M7" s="445">
        <v>82995</v>
      </c>
      <c r="N7" s="445">
        <v>82999</v>
      </c>
      <c r="O7" s="446">
        <f t="shared" si="0"/>
        <v>995944</v>
      </c>
    </row>
    <row r="8" spans="1:15" s="109" customFormat="1" ht="21" customHeight="1" x14ac:dyDescent="0.3">
      <c r="A8" s="444" t="s">
        <v>22</v>
      </c>
      <c r="B8" s="444" t="s">
        <v>453</v>
      </c>
      <c r="C8" s="445">
        <v>1629</v>
      </c>
      <c r="D8" s="445">
        <v>1629</v>
      </c>
      <c r="E8" s="445">
        <v>1629</v>
      </c>
      <c r="F8" s="445">
        <v>1629</v>
      </c>
      <c r="G8" s="445">
        <v>1629</v>
      </c>
      <c r="H8" s="445">
        <v>1629</v>
      </c>
      <c r="I8" s="445">
        <v>1629</v>
      </c>
      <c r="J8" s="445">
        <v>1629</v>
      </c>
      <c r="K8" s="445">
        <v>1629</v>
      </c>
      <c r="L8" s="445">
        <v>1629</v>
      </c>
      <c r="M8" s="445">
        <v>1629</v>
      </c>
      <c r="N8" s="445">
        <v>1625</v>
      </c>
      <c r="O8" s="446">
        <f t="shared" si="0"/>
        <v>19544</v>
      </c>
    </row>
    <row r="9" spans="1:15" s="109" customFormat="1" ht="21" customHeight="1" x14ac:dyDescent="0.3">
      <c r="A9" s="444" t="s">
        <v>25</v>
      </c>
      <c r="B9" s="444" t="s">
        <v>538</v>
      </c>
      <c r="C9" s="445"/>
      <c r="D9" s="445"/>
      <c r="E9" s="445"/>
      <c r="F9" s="445"/>
      <c r="G9" s="445"/>
      <c r="H9" s="445"/>
      <c r="I9" s="445"/>
      <c r="J9" s="445"/>
      <c r="K9" s="445">
        <v>2359</v>
      </c>
      <c r="L9" s="445"/>
      <c r="M9" s="445"/>
      <c r="N9" s="445"/>
      <c r="O9" s="446">
        <f t="shared" si="0"/>
        <v>2359</v>
      </c>
    </row>
    <row r="10" spans="1:15" s="109" customFormat="1" ht="21" customHeight="1" x14ac:dyDescent="0.3">
      <c r="A10" s="444" t="s">
        <v>28</v>
      </c>
      <c r="B10" s="444" t="s">
        <v>539</v>
      </c>
      <c r="C10" s="445"/>
      <c r="D10" s="445"/>
      <c r="E10" s="445"/>
      <c r="F10" s="445"/>
      <c r="G10" s="445"/>
      <c r="H10" s="445"/>
      <c r="I10" s="445"/>
      <c r="J10" s="445"/>
      <c r="K10" s="445">
        <v>1311</v>
      </c>
      <c r="L10" s="445"/>
      <c r="M10" s="445"/>
      <c r="N10" s="445"/>
      <c r="O10" s="446">
        <f t="shared" si="0"/>
        <v>1311</v>
      </c>
    </row>
    <row r="11" spans="1:15" s="109" customFormat="1" ht="21" customHeight="1" x14ac:dyDescent="0.3">
      <c r="A11" s="444" t="s">
        <v>31</v>
      </c>
      <c r="B11" s="447" t="s">
        <v>540</v>
      </c>
      <c r="C11" s="445">
        <v>88180</v>
      </c>
      <c r="D11" s="445">
        <v>25495</v>
      </c>
      <c r="E11" s="445">
        <v>19620</v>
      </c>
      <c r="F11" s="445">
        <v>7875</v>
      </c>
      <c r="G11" s="445">
        <v>57874</v>
      </c>
      <c r="H11" s="445">
        <v>15750</v>
      </c>
      <c r="I11" s="445">
        <v>7875</v>
      </c>
      <c r="J11" s="445">
        <v>131855</v>
      </c>
      <c r="K11" s="445">
        <v>33375</v>
      </c>
      <c r="L11" s="445">
        <v>7875</v>
      </c>
      <c r="M11" s="445">
        <v>7875</v>
      </c>
      <c r="N11" s="445">
        <f>7875+31793</f>
        <v>39668</v>
      </c>
      <c r="O11" s="446">
        <f t="shared" si="0"/>
        <v>443317</v>
      </c>
    </row>
    <row r="12" spans="1:15" s="108" customFormat="1" ht="21" customHeight="1" x14ac:dyDescent="0.3">
      <c r="A12" s="444" t="s">
        <v>34</v>
      </c>
      <c r="B12" s="448" t="s">
        <v>541</v>
      </c>
      <c r="C12" s="449">
        <f>SUM(C5:C11)</f>
        <v>284064</v>
      </c>
      <c r="D12" s="449">
        <f t="shared" ref="D12:N12" si="1">SUM(D5:D11)</f>
        <v>221379</v>
      </c>
      <c r="E12" s="449">
        <f t="shared" si="1"/>
        <v>215504</v>
      </c>
      <c r="F12" s="449">
        <f t="shared" si="1"/>
        <v>253759</v>
      </c>
      <c r="G12" s="449">
        <f t="shared" si="1"/>
        <v>253758</v>
      </c>
      <c r="H12" s="449">
        <f t="shared" si="1"/>
        <v>211634</v>
      </c>
      <c r="I12" s="449">
        <f t="shared" si="1"/>
        <v>787854</v>
      </c>
      <c r="J12" s="449">
        <f t="shared" si="1"/>
        <v>911834</v>
      </c>
      <c r="K12" s="449">
        <f t="shared" si="1"/>
        <v>817024</v>
      </c>
      <c r="L12" s="449">
        <f t="shared" si="1"/>
        <v>203759</v>
      </c>
      <c r="M12" s="449">
        <f t="shared" si="1"/>
        <v>991894</v>
      </c>
      <c r="N12" s="449">
        <f t="shared" si="1"/>
        <v>235558</v>
      </c>
      <c r="O12" s="449">
        <f>O5+O6+O7+O8+O9+O10+O11</f>
        <v>5388021</v>
      </c>
    </row>
    <row r="13" spans="1:15" s="108" customFormat="1" ht="21" customHeight="1" x14ac:dyDescent="0.3">
      <c r="A13" s="444" t="s">
        <v>37</v>
      </c>
      <c r="B13" s="1078" t="s">
        <v>266</v>
      </c>
      <c r="C13" s="1078"/>
      <c r="D13" s="1078"/>
      <c r="E13" s="1078"/>
      <c r="F13" s="1078"/>
      <c r="G13" s="1078"/>
      <c r="H13" s="1078"/>
      <c r="I13" s="1078"/>
      <c r="J13" s="1078"/>
      <c r="K13" s="1078"/>
      <c r="L13" s="1078"/>
      <c r="M13" s="1078"/>
      <c r="N13" s="1078"/>
      <c r="O13" s="1078"/>
    </row>
    <row r="14" spans="1:15" s="109" customFormat="1" ht="21" customHeight="1" x14ac:dyDescent="0.3">
      <c r="A14" s="444" t="s">
        <v>39</v>
      </c>
      <c r="B14" s="444" t="s">
        <v>460</v>
      </c>
      <c r="C14" s="445">
        <v>43456</v>
      </c>
      <c r="D14" s="445">
        <v>43456</v>
      </c>
      <c r="E14" s="445">
        <v>43456</v>
      </c>
      <c r="F14" s="445">
        <v>43456</v>
      </c>
      <c r="G14" s="445">
        <v>43456</v>
      </c>
      <c r="H14" s="445">
        <v>43456</v>
      </c>
      <c r="I14" s="445">
        <v>43456</v>
      </c>
      <c r="J14" s="445">
        <v>43456</v>
      </c>
      <c r="K14" s="445">
        <v>43456</v>
      </c>
      <c r="L14" s="445">
        <v>43456</v>
      </c>
      <c r="M14" s="445">
        <v>43456</v>
      </c>
      <c r="N14" s="445">
        <v>43458</v>
      </c>
      <c r="O14" s="446">
        <f t="shared" ref="O14:O22" si="2">SUM(C14:N14)</f>
        <v>521474</v>
      </c>
    </row>
    <row r="15" spans="1:15" s="109" customFormat="1" ht="24" customHeight="1" x14ac:dyDescent="0.3">
      <c r="A15" s="444" t="s">
        <v>41</v>
      </c>
      <c r="B15" s="447" t="s">
        <v>206</v>
      </c>
      <c r="C15" s="445">
        <v>7952</v>
      </c>
      <c r="D15" s="445">
        <v>7952</v>
      </c>
      <c r="E15" s="445">
        <v>7952</v>
      </c>
      <c r="F15" s="445">
        <v>7952</v>
      </c>
      <c r="G15" s="445">
        <v>7952</v>
      </c>
      <c r="H15" s="445">
        <v>7952</v>
      </c>
      <c r="I15" s="445">
        <v>7952</v>
      </c>
      <c r="J15" s="445">
        <v>7952</v>
      </c>
      <c r="K15" s="445">
        <v>7952</v>
      </c>
      <c r="L15" s="445">
        <v>7952</v>
      </c>
      <c r="M15" s="445">
        <v>7952</v>
      </c>
      <c r="N15" s="445">
        <v>7952</v>
      </c>
      <c r="O15" s="446">
        <f t="shared" si="2"/>
        <v>95424</v>
      </c>
    </row>
    <row r="16" spans="1:15" s="109" customFormat="1" ht="21" customHeight="1" x14ac:dyDescent="0.3">
      <c r="A16" s="444" t="s">
        <v>43</v>
      </c>
      <c r="B16" s="444" t="s">
        <v>208</v>
      </c>
      <c r="C16" s="445">
        <v>190813</v>
      </c>
      <c r="D16" s="445">
        <v>190813</v>
      </c>
      <c r="E16" s="445">
        <v>190813</v>
      </c>
      <c r="F16" s="445">
        <v>190813</v>
      </c>
      <c r="G16" s="445">
        <v>190813</v>
      </c>
      <c r="H16" s="445">
        <v>190813</v>
      </c>
      <c r="I16" s="445">
        <v>190813</v>
      </c>
      <c r="J16" s="445">
        <v>190813</v>
      </c>
      <c r="K16" s="445">
        <v>190813</v>
      </c>
      <c r="L16" s="445">
        <v>190813</v>
      </c>
      <c r="M16" s="445">
        <v>190813</v>
      </c>
      <c r="N16" s="445">
        <v>190812</v>
      </c>
      <c r="O16" s="446">
        <f t="shared" si="2"/>
        <v>2289755</v>
      </c>
    </row>
    <row r="17" spans="1:15" s="109" customFormat="1" ht="21" customHeight="1" x14ac:dyDescent="0.3">
      <c r="A17" s="444" t="s">
        <v>45</v>
      </c>
      <c r="B17" s="444" t="s">
        <v>210</v>
      </c>
      <c r="C17" s="445">
        <v>7253</v>
      </c>
      <c r="D17" s="445">
        <v>7253</v>
      </c>
      <c r="E17" s="445">
        <v>7253</v>
      </c>
      <c r="F17" s="445">
        <v>7253</v>
      </c>
      <c r="G17" s="445">
        <v>7253</v>
      </c>
      <c r="H17" s="445">
        <v>7253</v>
      </c>
      <c r="I17" s="445">
        <v>7253</v>
      </c>
      <c r="J17" s="445">
        <v>7253</v>
      </c>
      <c r="K17" s="445">
        <v>7253</v>
      </c>
      <c r="L17" s="445">
        <v>7253</v>
      </c>
      <c r="M17" s="445">
        <v>7253</v>
      </c>
      <c r="N17" s="445">
        <v>7255</v>
      </c>
      <c r="O17" s="446">
        <f t="shared" si="2"/>
        <v>87038</v>
      </c>
    </row>
    <row r="18" spans="1:15" s="109" customFormat="1" ht="21" customHeight="1" x14ac:dyDescent="0.3">
      <c r="A18" s="444" t="s">
        <v>47</v>
      </c>
      <c r="B18" s="444" t="s">
        <v>212</v>
      </c>
      <c r="C18" s="445">
        <v>91834</v>
      </c>
      <c r="D18" s="445">
        <v>91834</v>
      </c>
      <c r="E18" s="445">
        <v>91834</v>
      </c>
      <c r="F18" s="445">
        <v>91834</v>
      </c>
      <c r="G18" s="445">
        <v>91834</v>
      </c>
      <c r="H18" s="445">
        <v>91834</v>
      </c>
      <c r="I18" s="445">
        <v>91834</v>
      </c>
      <c r="J18" s="445">
        <v>91834</v>
      </c>
      <c r="K18" s="445">
        <v>91834</v>
      </c>
      <c r="L18" s="445">
        <v>91836</v>
      </c>
      <c r="M18" s="445">
        <v>91836</v>
      </c>
      <c r="N18" s="445">
        <v>91837</v>
      </c>
      <c r="O18" s="446">
        <f t="shared" si="2"/>
        <v>1102015</v>
      </c>
    </row>
    <row r="19" spans="1:15" s="109" customFormat="1" ht="21" customHeight="1" x14ac:dyDescent="0.3">
      <c r="A19" s="444" t="s">
        <v>49</v>
      </c>
      <c r="B19" s="444" t="s">
        <v>231</v>
      </c>
      <c r="C19" s="445">
        <v>85931</v>
      </c>
      <c r="D19" s="445">
        <v>85931</v>
      </c>
      <c r="E19" s="445">
        <v>85931</v>
      </c>
      <c r="F19" s="445">
        <v>85931</v>
      </c>
      <c r="G19" s="445">
        <v>85931</v>
      </c>
      <c r="H19" s="445">
        <v>85931</v>
      </c>
      <c r="I19" s="445">
        <v>85931</v>
      </c>
      <c r="J19" s="445">
        <v>85931</v>
      </c>
      <c r="K19" s="445">
        <v>85931</v>
      </c>
      <c r="L19" s="445">
        <v>85931</v>
      </c>
      <c r="M19" s="445">
        <v>85931</v>
      </c>
      <c r="N19" s="445">
        <v>85932</v>
      </c>
      <c r="O19" s="446">
        <f t="shared" si="2"/>
        <v>1031173</v>
      </c>
    </row>
    <row r="20" spans="1:15" s="109" customFormat="1" ht="21" customHeight="1" x14ac:dyDescent="0.3">
      <c r="A20" s="444" t="s">
        <v>51</v>
      </c>
      <c r="B20" s="447" t="s">
        <v>233</v>
      </c>
      <c r="C20" s="445">
        <v>15079</v>
      </c>
      <c r="D20" s="445">
        <v>15079</v>
      </c>
      <c r="E20" s="445">
        <v>15079</v>
      </c>
      <c r="F20" s="445">
        <v>15079</v>
      </c>
      <c r="G20" s="445">
        <v>15079</v>
      </c>
      <c r="H20" s="445">
        <v>15079</v>
      </c>
      <c r="I20" s="445">
        <v>15079</v>
      </c>
      <c r="J20" s="445">
        <v>15079</v>
      </c>
      <c r="K20" s="445">
        <v>15079</v>
      </c>
      <c r="L20" s="445">
        <v>15079</v>
      </c>
      <c r="M20" s="445">
        <v>15079</v>
      </c>
      <c r="N20" s="445">
        <v>15080</v>
      </c>
      <c r="O20" s="446">
        <f t="shared" si="2"/>
        <v>180949</v>
      </c>
    </row>
    <row r="21" spans="1:15" s="109" customFormat="1" ht="21" customHeight="1" x14ac:dyDescent="0.3">
      <c r="A21" s="444" t="s">
        <v>54</v>
      </c>
      <c r="B21" s="444" t="s">
        <v>235</v>
      </c>
      <c r="C21" s="445">
        <v>1894</v>
      </c>
      <c r="D21" s="445">
        <v>1894</v>
      </c>
      <c r="E21" s="445">
        <v>1894</v>
      </c>
      <c r="F21" s="445">
        <v>1894</v>
      </c>
      <c r="G21" s="445">
        <v>1894</v>
      </c>
      <c r="H21" s="445">
        <v>1894</v>
      </c>
      <c r="I21" s="445">
        <v>1894</v>
      </c>
      <c r="J21" s="445">
        <v>1894</v>
      </c>
      <c r="K21" s="445">
        <v>1894</v>
      </c>
      <c r="L21" s="445">
        <v>1894</v>
      </c>
      <c r="M21" s="445">
        <v>1894</v>
      </c>
      <c r="N21" s="445">
        <v>1896</v>
      </c>
      <c r="O21" s="446">
        <f t="shared" si="2"/>
        <v>22730</v>
      </c>
    </row>
    <row r="22" spans="1:15" s="109" customFormat="1" ht="21" customHeight="1" x14ac:dyDescent="0.3">
      <c r="A22" s="444" t="s">
        <v>64</v>
      </c>
      <c r="B22" s="444" t="s">
        <v>463</v>
      </c>
      <c r="C22" s="445">
        <v>30365</v>
      </c>
      <c r="D22" s="445"/>
      <c r="E22" s="445">
        <v>6775</v>
      </c>
      <c r="F22" s="445"/>
      <c r="G22" s="445"/>
      <c r="H22" s="445">
        <v>6775</v>
      </c>
      <c r="I22" s="445"/>
      <c r="J22" s="445"/>
      <c r="K22" s="445">
        <v>6775</v>
      </c>
      <c r="L22" s="445"/>
      <c r="M22" s="445"/>
      <c r="N22" s="445">
        <v>6773</v>
      </c>
      <c r="O22" s="446">
        <f t="shared" si="2"/>
        <v>57463</v>
      </c>
    </row>
    <row r="23" spans="1:15" s="108" customFormat="1" ht="21" customHeight="1" x14ac:dyDescent="0.3">
      <c r="A23" s="450" t="s">
        <v>66</v>
      </c>
      <c r="B23" s="448" t="s">
        <v>439</v>
      </c>
      <c r="C23" s="449">
        <f t="shared" ref="C23:N23" si="3">SUM(C14:C22)</f>
        <v>474577</v>
      </c>
      <c r="D23" s="449">
        <f t="shared" si="3"/>
        <v>444212</v>
      </c>
      <c r="E23" s="449">
        <f t="shared" si="3"/>
        <v>450987</v>
      </c>
      <c r="F23" s="449">
        <f t="shared" si="3"/>
        <v>444212</v>
      </c>
      <c r="G23" s="449">
        <f t="shared" si="3"/>
        <v>444212</v>
      </c>
      <c r="H23" s="449">
        <f t="shared" si="3"/>
        <v>450987</v>
      </c>
      <c r="I23" s="449">
        <f t="shared" si="3"/>
        <v>444212</v>
      </c>
      <c r="J23" s="449">
        <f t="shared" si="3"/>
        <v>444212</v>
      </c>
      <c r="K23" s="449">
        <f t="shared" si="3"/>
        <v>450987</v>
      </c>
      <c r="L23" s="449">
        <f t="shared" si="3"/>
        <v>444214</v>
      </c>
      <c r="M23" s="449">
        <f t="shared" si="3"/>
        <v>444214</v>
      </c>
      <c r="N23" s="449">
        <f t="shared" si="3"/>
        <v>450995</v>
      </c>
      <c r="O23" s="449">
        <f>SUM(O14:O22)</f>
        <v>5388021</v>
      </c>
    </row>
    <row r="24" spans="1:15" ht="21" customHeight="1" x14ac:dyDescent="0.35">
      <c r="A24" s="450" t="s">
        <v>68</v>
      </c>
      <c r="B24" s="448" t="s">
        <v>542</v>
      </c>
      <c r="C24" s="451">
        <f t="shared" ref="C24:O24" si="4">C12-C23</f>
        <v>-190513</v>
      </c>
      <c r="D24" s="451">
        <f t="shared" si="4"/>
        <v>-222833</v>
      </c>
      <c r="E24" s="451">
        <f t="shared" si="4"/>
        <v>-235483</v>
      </c>
      <c r="F24" s="451">
        <f t="shared" si="4"/>
        <v>-190453</v>
      </c>
      <c r="G24" s="451">
        <f t="shared" si="4"/>
        <v>-190454</v>
      </c>
      <c r="H24" s="451">
        <f t="shared" si="4"/>
        <v>-239353</v>
      </c>
      <c r="I24" s="451">
        <f t="shared" si="4"/>
        <v>343642</v>
      </c>
      <c r="J24" s="451">
        <f t="shared" si="4"/>
        <v>467622</v>
      </c>
      <c r="K24" s="451">
        <f t="shared" si="4"/>
        <v>366037</v>
      </c>
      <c r="L24" s="451">
        <f t="shared" si="4"/>
        <v>-240455</v>
      </c>
      <c r="M24" s="451">
        <f t="shared" si="4"/>
        <v>547680</v>
      </c>
      <c r="N24" s="451">
        <f t="shared" si="4"/>
        <v>-215437</v>
      </c>
      <c r="O24" s="451">
        <f t="shared" si="4"/>
        <v>0</v>
      </c>
    </row>
    <row r="25" spans="1:15" x14ac:dyDescent="0.35">
      <c r="A25" s="110"/>
    </row>
    <row r="26" spans="1:15" x14ac:dyDescent="0.35">
      <c r="B26" s="111"/>
      <c r="C26" s="112"/>
      <c r="D26" s="112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7/2018. (V.31.)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view="pageLayout" zoomScaleNormal="100" workbookViewId="0">
      <selection sqref="A1:H1"/>
    </sheetView>
  </sheetViews>
  <sheetFormatPr defaultColWidth="9.296875" defaultRowHeight="15.5" x14ac:dyDescent="0.35"/>
  <cols>
    <col min="1" max="1" width="6.296875" style="8" customWidth="1"/>
    <col min="2" max="2" width="78.69921875" style="8" customWidth="1"/>
    <col min="3" max="3" width="11.19921875" style="8" customWidth="1"/>
    <col min="4" max="4" width="20.796875" style="9" customWidth="1"/>
    <col min="5" max="5" width="15" style="215" bestFit="1" customWidth="1"/>
    <col min="6" max="6" width="14.69921875" style="215" bestFit="1" customWidth="1"/>
    <col min="7" max="7" width="16" style="593" bestFit="1" customWidth="1"/>
    <col min="8" max="8" width="13" style="585" bestFit="1" customWidth="1"/>
    <col min="9" max="9" width="9.296875" style="1"/>
    <col min="10" max="10" width="12.69921875" style="1" bestFit="1" customWidth="1"/>
    <col min="11" max="16384" width="9.296875" style="1"/>
  </cols>
  <sheetData>
    <row r="1" spans="1:8" ht="60" customHeight="1" x14ac:dyDescent="0.35">
      <c r="A1" s="1012" t="s">
        <v>633</v>
      </c>
      <c r="B1" s="1012"/>
      <c r="C1" s="1012"/>
      <c r="D1" s="1012"/>
      <c r="E1" s="1012"/>
      <c r="F1" s="1012"/>
      <c r="G1" s="1012"/>
      <c r="H1" s="1012"/>
    </row>
    <row r="2" spans="1:8" ht="16" customHeight="1" x14ac:dyDescent="0.35">
      <c r="A2" s="1015" t="s">
        <v>0</v>
      </c>
      <c r="B2" s="1015"/>
      <c r="C2" s="1015"/>
      <c r="D2" s="1015"/>
      <c r="E2" s="1015"/>
      <c r="F2" s="1015"/>
      <c r="G2" s="1015"/>
      <c r="H2" s="1015"/>
    </row>
    <row r="3" spans="1:8" ht="16" customHeight="1" x14ac:dyDescent="0.35">
      <c r="A3" s="1014"/>
      <c r="B3" s="1014"/>
      <c r="C3" s="2"/>
      <c r="H3" s="586" t="s">
        <v>1</v>
      </c>
    </row>
    <row r="4" spans="1:8" s="7" customFormat="1" ht="38.15" customHeight="1" x14ac:dyDescent="0.3">
      <c r="A4" s="537" t="s">
        <v>2</v>
      </c>
      <c r="B4" s="538" t="s">
        <v>3</v>
      </c>
      <c r="C4" s="538" t="s">
        <v>4</v>
      </c>
      <c r="D4" s="539" t="s">
        <v>5</v>
      </c>
      <c r="E4" s="216" t="s">
        <v>959</v>
      </c>
      <c r="F4" s="217" t="s">
        <v>796</v>
      </c>
      <c r="G4" s="216" t="s">
        <v>823</v>
      </c>
      <c r="H4" s="587" t="s">
        <v>824</v>
      </c>
    </row>
    <row r="5" spans="1:8" s="541" customFormat="1" ht="12" customHeight="1" x14ac:dyDescent="0.25">
      <c r="A5" s="534" t="s">
        <v>6</v>
      </c>
      <c r="B5" s="535" t="s">
        <v>7</v>
      </c>
      <c r="C5" s="535" t="s">
        <v>8</v>
      </c>
      <c r="D5" s="536" t="s">
        <v>9</v>
      </c>
      <c r="E5" s="540" t="s">
        <v>269</v>
      </c>
      <c r="F5" s="540" t="s">
        <v>472</v>
      </c>
      <c r="G5" s="564" t="s">
        <v>794</v>
      </c>
      <c r="H5" s="590" t="s">
        <v>797</v>
      </c>
    </row>
    <row r="6" spans="1:8" s="5" customFormat="1" ht="15.75" customHeight="1" x14ac:dyDescent="0.3">
      <c r="A6" s="266" t="s">
        <v>10</v>
      </c>
      <c r="B6" s="267" t="s">
        <v>11</v>
      </c>
      <c r="C6" s="268" t="s">
        <v>12</v>
      </c>
      <c r="D6" s="269">
        <f>'9.sz.mell.'!D6</f>
        <v>250951560</v>
      </c>
      <c r="E6" s="218">
        <f>F6-D6</f>
        <v>0</v>
      </c>
      <c r="F6" s="218">
        <v>250951560</v>
      </c>
      <c r="G6" s="221">
        <v>250951560</v>
      </c>
      <c r="H6" s="588">
        <f>G6/F6</f>
        <v>1</v>
      </c>
    </row>
    <row r="7" spans="1:8" s="5" customFormat="1" ht="15.75" customHeight="1" x14ac:dyDescent="0.3">
      <c r="A7" s="266" t="s">
        <v>13</v>
      </c>
      <c r="B7" s="267" t="s">
        <v>14</v>
      </c>
      <c r="C7" s="268" t="s">
        <v>15</v>
      </c>
      <c r="D7" s="269">
        <f>'9.sz.mell.'!D7</f>
        <v>242687617</v>
      </c>
      <c r="E7" s="218">
        <f t="shared" ref="E7:E11" si="0">F7-D7</f>
        <v>15803404</v>
      </c>
      <c r="F7" s="218">
        <v>258491021</v>
      </c>
      <c r="G7" s="221">
        <v>258491021</v>
      </c>
      <c r="H7" s="588">
        <f t="shared" ref="H7:H70" si="1">G7/F7</f>
        <v>1</v>
      </c>
    </row>
    <row r="8" spans="1:8" s="5" customFormat="1" ht="24" customHeight="1" x14ac:dyDescent="0.3">
      <c r="A8" s="266" t="s">
        <v>16</v>
      </c>
      <c r="B8" s="267" t="s">
        <v>17</v>
      </c>
      <c r="C8" s="268" t="s">
        <v>18</v>
      </c>
      <c r="D8" s="269">
        <f>'9.sz.mell.'!D8</f>
        <v>326754354</v>
      </c>
      <c r="E8" s="218">
        <f t="shared" si="0"/>
        <v>29336985</v>
      </c>
      <c r="F8" s="218">
        <v>356091339</v>
      </c>
      <c r="G8" s="221">
        <v>356091339</v>
      </c>
      <c r="H8" s="588">
        <f t="shared" si="1"/>
        <v>1</v>
      </c>
    </row>
    <row r="9" spans="1:8" s="5" customFormat="1" ht="15.75" customHeight="1" x14ac:dyDescent="0.3">
      <c r="A9" s="266" t="s">
        <v>19</v>
      </c>
      <c r="B9" s="267" t="s">
        <v>20</v>
      </c>
      <c r="C9" s="268" t="s">
        <v>21</v>
      </c>
      <c r="D9" s="269">
        <f>'9.sz.mell.'!D9</f>
        <v>26773920</v>
      </c>
      <c r="E9" s="218">
        <f t="shared" si="0"/>
        <v>2851270</v>
      </c>
      <c r="F9" s="218">
        <v>29625190</v>
      </c>
      <c r="G9" s="221">
        <v>29625190</v>
      </c>
      <c r="H9" s="588">
        <f t="shared" si="1"/>
        <v>1</v>
      </c>
    </row>
    <row r="10" spans="1:8" s="5" customFormat="1" ht="15.75" customHeight="1" x14ac:dyDescent="0.3">
      <c r="A10" s="266" t="s">
        <v>22</v>
      </c>
      <c r="B10" s="267" t="s">
        <v>23</v>
      </c>
      <c r="C10" s="268" t="s">
        <v>24</v>
      </c>
      <c r="D10" s="269">
        <f>'9.sz.mell.'!D10</f>
        <v>0</v>
      </c>
      <c r="E10" s="218">
        <f t="shared" si="0"/>
        <v>27538200</v>
      </c>
      <c r="F10" s="218">
        <v>27538200</v>
      </c>
      <c r="G10" s="221">
        <v>27538200</v>
      </c>
      <c r="H10" s="588">
        <f t="shared" si="1"/>
        <v>1</v>
      </c>
    </row>
    <row r="11" spans="1:8" s="5" customFormat="1" ht="15.75" customHeight="1" x14ac:dyDescent="0.3">
      <c r="A11" s="266" t="s">
        <v>25</v>
      </c>
      <c r="B11" s="267" t="s">
        <v>26</v>
      </c>
      <c r="C11" s="268" t="s">
        <v>27</v>
      </c>
      <c r="D11" s="269">
        <f>'9.sz.mell.'!D11</f>
        <v>0</v>
      </c>
      <c r="E11" s="218">
        <f t="shared" si="0"/>
        <v>0</v>
      </c>
      <c r="F11" s="218"/>
      <c r="G11" s="221"/>
      <c r="H11" s="588" t="s">
        <v>799</v>
      </c>
    </row>
    <row r="12" spans="1:8" s="5" customFormat="1" ht="15.75" customHeight="1" x14ac:dyDescent="0.3">
      <c r="A12" s="93" t="s">
        <v>28</v>
      </c>
      <c r="B12" s="84" t="s">
        <v>29</v>
      </c>
      <c r="C12" s="87" t="s">
        <v>30</v>
      </c>
      <c r="D12" s="95">
        <f>+D6+D7+D8+D9+D10+D11</f>
        <v>847167451</v>
      </c>
      <c r="E12" s="95">
        <f t="shared" ref="E12:G12" si="2">+E6+E7+E8+E9+E10+E11</f>
        <v>75529859</v>
      </c>
      <c r="F12" s="95">
        <f t="shared" si="2"/>
        <v>922697310</v>
      </c>
      <c r="G12" s="594">
        <f t="shared" si="2"/>
        <v>922697310</v>
      </c>
      <c r="H12" s="588">
        <f t="shared" si="1"/>
        <v>1</v>
      </c>
    </row>
    <row r="13" spans="1:8" s="5" customFormat="1" ht="15.75" customHeight="1" x14ac:dyDescent="0.3">
      <c r="A13" s="266" t="s">
        <v>31</v>
      </c>
      <c r="B13" s="267" t="s">
        <v>32</v>
      </c>
      <c r="C13" s="268" t="s">
        <v>33</v>
      </c>
      <c r="D13" s="269">
        <f>'9.sz.mell.'!D13</f>
        <v>0</v>
      </c>
      <c r="E13" s="218"/>
      <c r="F13" s="218"/>
      <c r="G13" s="221"/>
      <c r="H13" s="588" t="s">
        <v>799</v>
      </c>
    </row>
    <row r="14" spans="1:8" s="5" customFormat="1" ht="15.75" customHeight="1" x14ac:dyDescent="0.3">
      <c r="A14" s="266" t="s">
        <v>34</v>
      </c>
      <c r="B14" s="267" t="s">
        <v>35</v>
      </c>
      <c r="C14" s="268" t="s">
        <v>36</v>
      </c>
      <c r="D14" s="269">
        <f>SUM(D15:D21)</f>
        <v>110724067</v>
      </c>
      <c r="E14" s="218">
        <f>F14-D14</f>
        <v>301704940</v>
      </c>
      <c r="F14" s="218">
        <v>412429007</v>
      </c>
      <c r="G14" s="221">
        <v>408902573</v>
      </c>
      <c r="H14" s="588">
        <f t="shared" si="1"/>
        <v>0.99144959753036965</v>
      </c>
    </row>
    <row r="15" spans="1:8" s="5" customFormat="1" ht="24" customHeight="1" x14ac:dyDescent="0.3">
      <c r="A15" s="266" t="s">
        <v>37</v>
      </c>
      <c r="B15" s="270" t="s">
        <v>38</v>
      </c>
      <c r="C15" s="268" t="s">
        <v>36</v>
      </c>
      <c r="D15" s="271">
        <f>'9.sz.mell.'!D15+'10.sz.mell'!G6+'11.sz.mell'!F6</f>
        <v>0</v>
      </c>
      <c r="E15" s="218">
        <f t="shared" ref="E15:E21" si="3">F15-D15</f>
        <v>12290500</v>
      </c>
      <c r="F15" s="218">
        <v>12290500</v>
      </c>
      <c r="G15" s="221">
        <v>12290500</v>
      </c>
      <c r="H15" s="588">
        <f t="shared" si="1"/>
        <v>1</v>
      </c>
    </row>
    <row r="16" spans="1:8" s="5" customFormat="1" ht="18.75" customHeight="1" x14ac:dyDescent="0.3">
      <c r="A16" s="266" t="s">
        <v>39</v>
      </c>
      <c r="B16" s="272" t="s">
        <v>40</v>
      </c>
      <c r="C16" s="268" t="s">
        <v>36</v>
      </c>
      <c r="D16" s="271">
        <v>55826180</v>
      </c>
      <c r="E16" s="218">
        <f t="shared" si="3"/>
        <v>13536000</v>
      </c>
      <c r="F16" s="218">
        <v>69362180</v>
      </c>
      <c r="G16" s="221">
        <v>69361897</v>
      </c>
      <c r="H16" s="588">
        <f t="shared" si="1"/>
        <v>0.99999591996675996</v>
      </c>
    </row>
    <row r="17" spans="1:8" s="5" customFormat="1" ht="15.75" customHeight="1" x14ac:dyDescent="0.3">
      <c r="A17" s="266" t="s">
        <v>41</v>
      </c>
      <c r="B17" s="272" t="s">
        <v>42</v>
      </c>
      <c r="C17" s="268" t="s">
        <v>36</v>
      </c>
      <c r="D17" s="271">
        <f>'9.sz.mell.'!D17</f>
        <v>0</v>
      </c>
      <c r="E17" s="218">
        <f t="shared" si="3"/>
        <v>0</v>
      </c>
      <c r="F17" s="218"/>
      <c r="G17" s="221"/>
      <c r="H17" s="588" t="s">
        <v>799</v>
      </c>
    </row>
    <row r="18" spans="1:8" s="5" customFormat="1" ht="19.5" customHeight="1" x14ac:dyDescent="0.3">
      <c r="A18" s="266" t="s">
        <v>43</v>
      </c>
      <c r="B18" s="272" t="s">
        <v>44</v>
      </c>
      <c r="C18" s="268" t="s">
        <v>36</v>
      </c>
      <c r="D18" s="271">
        <v>15049000</v>
      </c>
      <c r="E18" s="218">
        <f t="shared" si="3"/>
        <v>8241402</v>
      </c>
      <c r="F18" s="218">
        <v>23290402</v>
      </c>
      <c r="G18" s="221">
        <v>23290402</v>
      </c>
      <c r="H18" s="588">
        <f t="shared" si="1"/>
        <v>1</v>
      </c>
    </row>
    <row r="19" spans="1:8" s="5" customFormat="1" ht="19.5" customHeight="1" x14ac:dyDescent="0.3">
      <c r="A19" s="266" t="s">
        <v>45</v>
      </c>
      <c r="B19" s="272" t="s">
        <v>46</v>
      </c>
      <c r="C19" s="268" t="s">
        <v>36</v>
      </c>
      <c r="D19" s="271">
        <f>'9.sz.mell.'!D19</f>
        <v>8348400</v>
      </c>
      <c r="E19" s="218">
        <f t="shared" si="3"/>
        <v>7122100</v>
      </c>
      <c r="F19" s="218">
        <v>15470500</v>
      </c>
      <c r="G19" s="221">
        <v>15470500</v>
      </c>
      <c r="H19" s="588">
        <f t="shared" si="1"/>
        <v>1</v>
      </c>
    </row>
    <row r="20" spans="1:8" s="5" customFormat="1" ht="24" customHeight="1" x14ac:dyDescent="0.3">
      <c r="A20" s="266" t="s">
        <v>47</v>
      </c>
      <c r="B20" s="272" t="s">
        <v>48</v>
      </c>
      <c r="C20" s="268" t="s">
        <v>36</v>
      </c>
      <c r="D20" s="271">
        <f>'9.sz.mell.'!D20+'11.sz.mell'!F8</f>
        <v>31500487</v>
      </c>
      <c r="E20" s="218">
        <f t="shared" si="3"/>
        <v>245872514</v>
      </c>
      <c r="F20" s="218">
        <v>277373001</v>
      </c>
      <c r="G20" s="221">
        <v>273846850</v>
      </c>
      <c r="H20" s="588">
        <f t="shared" si="1"/>
        <v>0.98728733154529336</v>
      </c>
    </row>
    <row r="21" spans="1:8" s="5" customFormat="1" ht="24.75" customHeight="1" x14ac:dyDescent="0.3">
      <c r="A21" s="266" t="s">
        <v>49</v>
      </c>
      <c r="B21" s="272" t="s">
        <v>50</v>
      </c>
      <c r="C21" s="268" t="s">
        <v>36</v>
      </c>
      <c r="D21" s="271">
        <f>'9.sz.mell.'!D21</f>
        <v>0</v>
      </c>
      <c r="E21" s="218">
        <f t="shared" si="3"/>
        <v>14642424</v>
      </c>
      <c r="F21" s="218">
        <v>14642424</v>
      </c>
      <c r="G21" s="221">
        <v>14642424</v>
      </c>
      <c r="H21" s="588">
        <f t="shared" si="1"/>
        <v>1</v>
      </c>
    </row>
    <row r="22" spans="1:8" s="5" customFormat="1" ht="18" customHeight="1" x14ac:dyDescent="0.3">
      <c r="A22" s="273" t="s">
        <v>51</v>
      </c>
      <c r="B22" s="274" t="s">
        <v>52</v>
      </c>
      <c r="C22" s="275" t="s">
        <v>53</v>
      </c>
      <c r="D22" s="276">
        <f>SUM(D12+D13+D14)</f>
        <v>957891518</v>
      </c>
      <c r="E22" s="276">
        <f t="shared" ref="E22:G22" si="4">SUM(E12+E13+E14)</f>
        <v>377234799</v>
      </c>
      <c r="F22" s="276">
        <f>SUM(F12+F13+F14)</f>
        <v>1335126317</v>
      </c>
      <c r="G22" s="595">
        <f t="shared" si="4"/>
        <v>1331599883</v>
      </c>
      <c r="H22" s="588">
        <f t="shared" si="1"/>
        <v>0.99735872632042499</v>
      </c>
    </row>
    <row r="23" spans="1:8" s="5" customFormat="1" ht="15.75" customHeight="1" x14ac:dyDescent="0.3">
      <c r="A23" s="266" t="s">
        <v>54</v>
      </c>
      <c r="B23" s="277" t="s">
        <v>55</v>
      </c>
      <c r="C23" s="268" t="s">
        <v>56</v>
      </c>
      <c r="D23" s="269"/>
      <c r="E23" s="218">
        <f>F23-D23</f>
        <v>56278475</v>
      </c>
      <c r="F23" s="218">
        <v>56278475</v>
      </c>
      <c r="G23" s="221">
        <v>56278475</v>
      </c>
      <c r="H23" s="588">
        <f t="shared" si="1"/>
        <v>1</v>
      </c>
    </row>
    <row r="24" spans="1:8" s="5" customFormat="1" ht="15.75" customHeight="1" x14ac:dyDescent="0.3">
      <c r="A24" s="266" t="s">
        <v>57</v>
      </c>
      <c r="B24" s="277" t="s">
        <v>58</v>
      </c>
      <c r="C24" s="268" t="s">
        <v>59</v>
      </c>
      <c r="D24" s="269">
        <f>SUM(D25:D30)</f>
        <v>50000000</v>
      </c>
      <c r="E24" s="218">
        <f t="shared" ref="E24:E26" si="5">F24-D24</f>
        <v>2484141495</v>
      </c>
      <c r="F24" s="218">
        <v>2534141495</v>
      </c>
      <c r="G24" s="221">
        <v>2534135495</v>
      </c>
      <c r="H24" s="588">
        <f t="shared" si="1"/>
        <v>0.9999976323342592</v>
      </c>
    </row>
    <row r="25" spans="1:8" s="5" customFormat="1" ht="15.75" customHeight="1" x14ac:dyDescent="0.3">
      <c r="A25" s="266" t="s">
        <v>60</v>
      </c>
      <c r="B25" s="270" t="s">
        <v>61</v>
      </c>
      <c r="C25" s="268" t="s">
        <v>59</v>
      </c>
      <c r="D25" s="269">
        <f>'9.sz.mell.'!D25</f>
        <v>50000000</v>
      </c>
      <c r="E25" s="218">
        <f t="shared" si="5"/>
        <v>0</v>
      </c>
      <c r="F25" s="218">
        <v>50000000</v>
      </c>
      <c r="G25" s="221">
        <v>50000000</v>
      </c>
      <c r="H25" s="588">
        <f t="shared" si="1"/>
        <v>1</v>
      </c>
    </row>
    <row r="26" spans="1:8" s="5" customFormat="1" ht="18.75" customHeight="1" x14ac:dyDescent="0.3">
      <c r="A26" s="266" t="s">
        <v>62</v>
      </c>
      <c r="B26" s="278" t="s">
        <v>63</v>
      </c>
      <c r="C26" s="268" t="s">
        <v>59</v>
      </c>
      <c r="D26" s="269"/>
      <c r="E26" s="218">
        <f t="shared" si="5"/>
        <v>2534141495</v>
      </c>
      <c r="F26" s="218">
        <v>2534141495</v>
      </c>
      <c r="G26" s="221">
        <v>2534135495</v>
      </c>
      <c r="H26" s="588">
        <f t="shared" si="1"/>
        <v>0.9999976323342592</v>
      </c>
    </row>
    <row r="27" spans="1:8" s="5" customFormat="1" ht="15.75" customHeight="1" x14ac:dyDescent="0.3">
      <c r="A27" s="266" t="s">
        <v>64</v>
      </c>
      <c r="B27" s="278" t="s">
        <v>65</v>
      </c>
      <c r="C27" s="268" t="s">
        <v>59</v>
      </c>
      <c r="D27" s="269"/>
      <c r="E27" s="218">
        <f>F27-D27</f>
        <v>0</v>
      </c>
      <c r="F27" s="218"/>
      <c r="G27" s="221"/>
      <c r="H27" s="588"/>
    </row>
    <row r="28" spans="1:8" s="5" customFormat="1" ht="15.75" customHeight="1" x14ac:dyDescent="0.3">
      <c r="A28" s="266" t="s">
        <v>66</v>
      </c>
      <c r="B28" s="278" t="s">
        <v>67</v>
      </c>
      <c r="C28" s="268" t="s">
        <v>59</v>
      </c>
      <c r="D28" s="269"/>
      <c r="E28" s="218">
        <f>F28-D28</f>
        <v>0</v>
      </c>
      <c r="F28" s="218"/>
      <c r="G28" s="221"/>
      <c r="H28" s="588"/>
    </row>
    <row r="29" spans="1:8" s="5" customFormat="1" ht="24.75" customHeight="1" x14ac:dyDescent="0.3">
      <c r="A29" s="266" t="s">
        <v>68</v>
      </c>
      <c r="B29" s="278" t="s">
        <v>69</v>
      </c>
      <c r="C29" s="268" t="s">
        <v>59</v>
      </c>
      <c r="D29" s="269"/>
      <c r="E29" s="218">
        <f>F29-D29</f>
        <v>0</v>
      </c>
      <c r="F29" s="218"/>
      <c r="G29" s="221"/>
      <c r="H29" s="588"/>
    </row>
    <row r="30" spans="1:8" s="5" customFormat="1" ht="24" customHeight="1" x14ac:dyDescent="0.3">
      <c r="A30" s="266" t="s">
        <v>70</v>
      </c>
      <c r="B30" s="278" t="s">
        <v>71</v>
      </c>
      <c r="C30" s="268" t="s">
        <v>59</v>
      </c>
      <c r="D30" s="269"/>
      <c r="E30" s="218">
        <f>F30-D30</f>
        <v>0</v>
      </c>
      <c r="F30" s="218"/>
      <c r="G30" s="221"/>
      <c r="H30" s="588"/>
    </row>
    <row r="31" spans="1:8" s="5" customFormat="1" ht="22.5" customHeight="1" x14ac:dyDescent="0.3">
      <c r="A31" s="93" t="s">
        <v>72</v>
      </c>
      <c r="B31" s="84" t="s">
        <v>73</v>
      </c>
      <c r="C31" s="87" t="s">
        <v>74</v>
      </c>
      <c r="D31" s="95">
        <f>SUM(D23+D24)</f>
        <v>50000000</v>
      </c>
      <c r="E31" s="95">
        <f t="shared" ref="E31:G31" si="6">SUM(E23+E24)</f>
        <v>2540419970</v>
      </c>
      <c r="F31" s="95">
        <f t="shared" si="6"/>
        <v>2590419970</v>
      </c>
      <c r="G31" s="594">
        <f t="shared" si="6"/>
        <v>2590413970</v>
      </c>
      <c r="H31" s="588">
        <f t="shared" si="1"/>
        <v>0.99999768377326093</v>
      </c>
    </row>
    <row r="32" spans="1:8" s="5" customFormat="1" ht="14.25" customHeight="1" x14ac:dyDescent="0.3">
      <c r="A32" s="266" t="s">
        <v>75</v>
      </c>
      <c r="B32" s="279" t="s">
        <v>76</v>
      </c>
      <c r="C32" s="280" t="s">
        <v>77</v>
      </c>
      <c r="D32" s="281">
        <f>'9.sz.mell.'!D32</f>
        <v>0</v>
      </c>
      <c r="E32" s="218">
        <f>F32-D32</f>
        <v>6911</v>
      </c>
      <c r="F32" s="218">
        <v>6911</v>
      </c>
      <c r="G32" s="221">
        <v>6910</v>
      </c>
      <c r="H32" s="588" t="s">
        <v>799</v>
      </c>
    </row>
    <row r="33" spans="1:8" s="5" customFormat="1" ht="14.25" customHeight="1" x14ac:dyDescent="0.3">
      <c r="A33" s="266" t="s">
        <v>78</v>
      </c>
      <c r="B33" s="267" t="s">
        <v>79</v>
      </c>
      <c r="C33" s="268" t="s">
        <v>80</v>
      </c>
      <c r="D33" s="269">
        <f>SUM(D34:D36)</f>
        <v>131000000</v>
      </c>
      <c r="E33" s="218">
        <f t="shared" ref="E33:E44" si="7">F33-D33</f>
        <v>3628010</v>
      </c>
      <c r="F33" s="269">
        <f>SUM(F34:F36)</f>
        <v>134628010</v>
      </c>
      <c r="G33" s="269">
        <f>SUM(G34:G36)</f>
        <v>134458900</v>
      </c>
      <c r="H33" s="588">
        <f t="shared" si="1"/>
        <v>0.99874387209615589</v>
      </c>
    </row>
    <row r="34" spans="1:8" s="5" customFormat="1" ht="14.25" customHeight="1" x14ac:dyDescent="0.3">
      <c r="A34" s="266" t="s">
        <v>81</v>
      </c>
      <c r="B34" s="282" t="s">
        <v>82</v>
      </c>
      <c r="C34" s="283" t="s">
        <v>80</v>
      </c>
      <c r="D34" s="284">
        <f>'9.sz.mell.'!D34</f>
        <v>75000000</v>
      </c>
      <c r="E34" s="218">
        <f t="shared" si="7"/>
        <v>1941084</v>
      </c>
      <c r="F34" s="218">
        <v>76941084</v>
      </c>
      <c r="G34" s="221">
        <v>76848736</v>
      </c>
      <c r="H34" s="588">
        <f t="shared" si="1"/>
        <v>0.99879975696729206</v>
      </c>
    </row>
    <row r="35" spans="1:8" s="5" customFormat="1" ht="14.25" customHeight="1" x14ac:dyDescent="0.3">
      <c r="A35" s="266" t="s">
        <v>83</v>
      </c>
      <c r="B35" s="285" t="s">
        <v>84</v>
      </c>
      <c r="C35" s="283" t="s">
        <v>80</v>
      </c>
      <c r="D35" s="284">
        <f>'9.sz.mell.'!D35</f>
        <v>8000000</v>
      </c>
      <c r="E35" s="218">
        <f t="shared" si="7"/>
        <v>-1600000</v>
      </c>
      <c r="F35" s="218">
        <v>6400000</v>
      </c>
      <c r="G35" s="221">
        <v>6326336</v>
      </c>
      <c r="H35" s="588">
        <f t="shared" si="1"/>
        <v>0.98848999999999998</v>
      </c>
    </row>
    <row r="36" spans="1:8" s="5" customFormat="1" ht="14.25" customHeight="1" x14ac:dyDescent="0.3">
      <c r="A36" s="266" t="s">
        <v>85</v>
      </c>
      <c r="B36" s="285" t="s">
        <v>86</v>
      </c>
      <c r="C36" s="283" t="s">
        <v>80</v>
      </c>
      <c r="D36" s="284">
        <f>'9.sz.mell.'!D36</f>
        <v>48000000</v>
      </c>
      <c r="E36" s="218">
        <f t="shared" si="7"/>
        <v>3286926</v>
      </c>
      <c r="F36" s="218">
        <v>51286926</v>
      </c>
      <c r="G36" s="221">
        <v>51283828</v>
      </c>
      <c r="H36" s="588">
        <f t="shared" si="1"/>
        <v>0.99993959474194261</v>
      </c>
    </row>
    <row r="37" spans="1:8" s="5" customFormat="1" ht="14.25" customHeight="1" x14ac:dyDescent="0.3">
      <c r="A37" s="266" t="s">
        <v>87</v>
      </c>
      <c r="B37" s="286" t="s">
        <v>88</v>
      </c>
      <c r="C37" s="268" t="s">
        <v>89</v>
      </c>
      <c r="D37" s="269">
        <f>SUM(D38:D39)</f>
        <v>580000000</v>
      </c>
      <c r="E37" s="218">
        <f t="shared" si="7"/>
        <v>42757855</v>
      </c>
      <c r="F37" s="218">
        <v>622757855</v>
      </c>
      <c r="G37" s="221">
        <v>622692815</v>
      </c>
      <c r="H37" s="588">
        <f t="shared" si="1"/>
        <v>0.99989556133338531</v>
      </c>
    </row>
    <row r="38" spans="1:8" s="5" customFormat="1" ht="14.25" customHeight="1" x14ac:dyDescent="0.3">
      <c r="A38" s="266" t="s">
        <v>90</v>
      </c>
      <c r="B38" s="287" t="s">
        <v>91</v>
      </c>
      <c r="C38" s="283" t="s">
        <v>89</v>
      </c>
      <c r="D38" s="284">
        <f>'9.sz.mell.'!D38</f>
        <v>580000000</v>
      </c>
      <c r="E38" s="218">
        <f t="shared" si="7"/>
        <v>42757855</v>
      </c>
      <c r="F38" s="218">
        <v>622757855</v>
      </c>
      <c r="G38" s="221">
        <v>622692815</v>
      </c>
      <c r="H38" s="588">
        <f t="shared" si="1"/>
        <v>0.99989556133338531</v>
      </c>
    </row>
    <row r="39" spans="1:8" s="5" customFormat="1" ht="14.25" customHeight="1" x14ac:dyDescent="0.3">
      <c r="A39" s="266" t="s">
        <v>92</v>
      </c>
      <c r="B39" s="287" t="s">
        <v>93</v>
      </c>
      <c r="C39" s="283" t="s">
        <v>89</v>
      </c>
      <c r="D39" s="284">
        <f>'9.sz.mell.'!D39</f>
        <v>0</v>
      </c>
      <c r="E39" s="218">
        <f t="shared" si="7"/>
        <v>0</v>
      </c>
      <c r="F39" s="218"/>
      <c r="G39" s="221"/>
      <c r="H39" s="588" t="s">
        <v>799</v>
      </c>
    </row>
    <row r="40" spans="1:8" s="5" customFormat="1" ht="17.25" customHeight="1" x14ac:dyDescent="0.3">
      <c r="A40" s="266" t="s">
        <v>94</v>
      </c>
      <c r="B40" s="288" t="s">
        <v>95</v>
      </c>
      <c r="C40" s="268" t="s">
        <v>96</v>
      </c>
      <c r="D40" s="269">
        <f>'9.sz.mell.'!D40</f>
        <v>38000000</v>
      </c>
      <c r="E40" s="218">
        <f t="shared" si="7"/>
        <v>3156521</v>
      </c>
      <c r="F40" s="218">
        <v>41156521</v>
      </c>
      <c r="G40" s="221">
        <v>41156521</v>
      </c>
      <c r="H40" s="588">
        <f t="shared" si="1"/>
        <v>1</v>
      </c>
    </row>
    <row r="41" spans="1:8" s="5" customFormat="1" ht="17.25" customHeight="1" x14ac:dyDescent="0.3">
      <c r="A41" s="266" t="s">
        <v>97</v>
      </c>
      <c r="B41" s="286" t="s">
        <v>98</v>
      </c>
      <c r="C41" s="268" t="s">
        <v>99</v>
      </c>
      <c r="D41" s="269">
        <f>SUM(D42:D43)</f>
        <v>0</v>
      </c>
      <c r="E41" s="218">
        <f t="shared" si="7"/>
        <v>2005000</v>
      </c>
      <c r="F41" s="218">
        <v>2005000</v>
      </c>
      <c r="G41" s="221">
        <v>2004600</v>
      </c>
      <c r="H41" s="588">
        <f t="shared" si="1"/>
        <v>0.99980049875311716</v>
      </c>
    </row>
    <row r="42" spans="1:8" s="5" customFormat="1" ht="14.25" customHeight="1" x14ac:dyDescent="0.3">
      <c r="A42" s="266" t="s">
        <v>100</v>
      </c>
      <c r="B42" s="287" t="s">
        <v>101</v>
      </c>
      <c r="C42" s="283" t="s">
        <v>99</v>
      </c>
      <c r="D42" s="269">
        <f>'9.sz.mell.'!D42</f>
        <v>0</v>
      </c>
      <c r="E42" s="218">
        <f t="shared" si="7"/>
        <v>2005000</v>
      </c>
      <c r="F42" s="218">
        <v>2005000</v>
      </c>
      <c r="G42" s="221">
        <v>2004600</v>
      </c>
      <c r="H42" s="588">
        <f t="shared" si="1"/>
        <v>0.99980049875311716</v>
      </c>
    </row>
    <row r="43" spans="1:8" s="5" customFormat="1" ht="14.25" customHeight="1" x14ac:dyDescent="0.3">
      <c r="A43" s="266" t="s">
        <v>102</v>
      </c>
      <c r="B43" s="287" t="s">
        <v>103</v>
      </c>
      <c r="C43" s="283" t="s">
        <v>99</v>
      </c>
      <c r="D43" s="269">
        <f>'9.sz.mell.'!D43</f>
        <v>0</v>
      </c>
      <c r="E43" s="218">
        <f t="shared" si="7"/>
        <v>0</v>
      </c>
      <c r="F43" s="218"/>
      <c r="G43" s="221"/>
      <c r="H43" s="588" t="s">
        <v>799</v>
      </c>
    </row>
    <row r="44" spans="1:8" s="5" customFormat="1" ht="14.25" customHeight="1" x14ac:dyDescent="0.3">
      <c r="A44" s="266" t="s">
        <v>104</v>
      </c>
      <c r="B44" s="277" t="s">
        <v>105</v>
      </c>
      <c r="C44" s="289" t="s">
        <v>106</v>
      </c>
      <c r="D44" s="269">
        <f>'9.sz.mell.'!D44</f>
        <v>2000000</v>
      </c>
      <c r="E44" s="218">
        <f t="shared" si="7"/>
        <v>1968547</v>
      </c>
      <c r="F44" s="218">
        <v>3968547</v>
      </c>
      <c r="G44" s="221">
        <v>3799055</v>
      </c>
      <c r="H44" s="588">
        <f t="shared" si="1"/>
        <v>0.95729116979085793</v>
      </c>
    </row>
    <row r="45" spans="1:8" s="5" customFormat="1" ht="17.25" customHeight="1" x14ac:dyDescent="0.3">
      <c r="A45" s="93" t="s">
        <v>107</v>
      </c>
      <c r="B45" s="84" t="s">
        <v>108</v>
      </c>
      <c r="C45" s="87" t="s">
        <v>109</v>
      </c>
      <c r="D45" s="95">
        <f>SUM(D32+D33+D37+D40+D41+D44)</f>
        <v>751000000</v>
      </c>
      <c r="E45" s="95">
        <f t="shared" ref="E45:G45" si="8">SUM(E32+E33+E37+E40+E41+E44)</f>
        <v>53522844</v>
      </c>
      <c r="F45" s="95">
        <f t="shared" si="8"/>
        <v>804522844</v>
      </c>
      <c r="G45" s="95">
        <f t="shared" si="8"/>
        <v>804118801</v>
      </c>
      <c r="H45" s="588">
        <f t="shared" si="1"/>
        <v>0.99949778554703161</v>
      </c>
    </row>
    <row r="46" spans="1:8" s="5" customFormat="1" ht="14.25" customHeight="1" x14ac:dyDescent="0.3">
      <c r="A46" s="266" t="s">
        <v>110</v>
      </c>
      <c r="B46" s="277" t="s">
        <v>111</v>
      </c>
      <c r="C46" s="289" t="s">
        <v>112</v>
      </c>
      <c r="D46" s="269">
        <v>50457314</v>
      </c>
      <c r="E46" s="218">
        <f>F46-D46</f>
        <v>1430568</v>
      </c>
      <c r="F46" s="218">
        <v>51887882</v>
      </c>
      <c r="G46" s="221">
        <v>51887882</v>
      </c>
      <c r="H46" s="588">
        <f t="shared" si="1"/>
        <v>1</v>
      </c>
    </row>
    <row r="47" spans="1:8" s="5" customFormat="1" ht="14.25" customHeight="1" x14ac:dyDescent="0.3">
      <c r="A47" s="266" t="s">
        <v>113</v>
      </c>
      <c r="B47" s="277" t="s">
        <v>114</v>
      </c>
      <c r="C47" s="289" t="s">
        <v>115</v>
      </c>
      <c r="D47" s="269">
        <f>'9.sz.mell.'!D47+'10.sz.mell'!G17+'11.sz.mell'!F17</f>
        <v>24500000</v>
      </c>
      <c r="E47" s="218">
        <f t="shared" ref="E47:E56" si="9">F47-D47</f>
        <v>11704250</v>
      </c>
      <c r="F47" s="218">
        <f>33925695+1215165+1063390</f>
        <v>36204250</v>
      </c>
      <c r="G47" s="221">
        <f>32369853+1215165+1063390</f>
        <v>34648408</v>
      </c>
      <c r="H47" s="588">
        <f t="shared" si="1"/>
        <v>0.95702598451839216</v>
      </c>
    </row>
    <row r="48" spans="1:8" s="5" customFormat="1" ht="14.25" customHeight="1" x14ac:dyDescent="0.3">
      <c r="A48" s="266" t="s">
        <v>116</v>
      </c>
      <c r="B48" s="277" t="s">
        <v>117</v>
      </c>
      <c r="C48" s="289" t="s">
        <v>118</v>
      </c>
      <c r="D48" s="269">
        <f>'9.sz.mell.'!D48+'10.sz.mell'!G18+'11.sz.mell'!F18</f>
        <v>29604344</v>
      </c>
      <c r="E48" s="218">
        <f t="shared" si="9"/>
        <v>-11521977</v>
      </c>
      <c r="F48" s="218">
        <f>12076608+6005759</f>
        <v>18082367</v>
      </c>
      <c r="G48" s="221">
        <f>12041527+6005759</f>
        <v>18047286</v>
      </c>
      <c r="H48" s="588">
        <f t="shared" si="1"/>
        <v>0.99805993319348074</v>
      </c>
    </row>
    <row r="49" spans="1:8" s="5" customFormat="1" ht="14.25" customHeight="1" x14ac:dyDescent="0.3">
      <c r="A49" s="266" t="s">
        <v>119</v>
      </c>
      <c r="B49" s="277" t="s">
        <v>120</v>
      </c>
      <c r="C49" s="289" t="s">
        <v>121</v>
      </c>
      <c r="D49" s="269">
        <f>'9.sz.mell.'!D49+'10.sz.mell'!G21+'11.sz.mell'!F21</f>
        <v>23275230</v>
      </c>
      <c r="E49" s="218">
        <f t="shared" si="9"/>
        <v>-5733493</v>
      </c>
      <c r="F49" s="218">
        <v>17541737</v>
      </c>
      <c r="G49" s="221">
        <v>17518677</v>
      </c>
      <c r="H49" s="588">
        <f t="shared" si="1"/>
        <v>0.99868542094776591</v>
      </c>
    </row>
    <row r="50" spans="1:8" s="5" customFormat="1" ht="14.25" customHeight="1" x14ac:dyDescent="0.3">
      <c r="A50" s="266" t="s">
        <v>122</v>
      </c>
      <c r="B50" s="277" t="s">
        <v>123</v>
      </c>
      <c r="C50" s="289" t="s">
        <v>124</v>
      </c>
      <c r="D50" s="269">
        <f>'9.sz.mell.'!D50</f>
        <v>24000000</v>
      </c>
      <c r="E50" s="218">
        <f t="shared" si="9"/>
        <v>-631741</v>
      </c>
      <c r="F50" s="218">
        <v>23368259</v>
      </c>
      <c r="G50" s="221">
        <v>23365432</v>
      </c>
      <c r="H50" s="588">
        <f t="shared" si="1"/>
        <v>0.99987902393584394</v>
      </c>
    </row>
    <row r="51" spans="1:8" s="5" customFormat="1" ht="14.25" customHeight="1" x14ac:dyDescent="0.3">
      <c r="A51" s="266" t="s">
        <v>125</v>
      </c>
      <c r="B51" s="277" t="s">
        <v>126</v>
      </c>
      <c r="C51" s="289" t="s">
        <v>127</v>
      </c>
      <c r="D51" s="269">
        <v>29550028</v>
      </c>
      <c r="E51" s="218">
        <f t="shared" si="9"/>
        <v>6437692</v>
      </c>
      <c r="F51" s="218">
        <f>35771720+216000+0</f>
        <v>35987720</v>
      </c>
      <c r="G51" s="221">
        <f>33279638+134707</f>
        <v>33414345</v>
      </c>
      <c r="H51" s="588">
        <f t="shared" si="1"/>
        <v>0.92849296926840597</v>
      </c>
    </row>
    <row r="52" spans="1:8" s="5" customFormat="1" ht="14.25" customHeight="1" x14ac:dyDescent="0.3">
      <c r="A52" s="266" t="s">
        <v>128</v>
      </c>
      <c r="B52" s="277" t="s">
        <v>129</v>
      </c>
      <c r="C52" s="289" t="s">
        <v>130</v>
      </c>
      <c r="D52" s="269">
        <f>'9.sz.mell.'!D52+'10.sz.mell'!G24+'11.sz.mell'!F24</f>
        <v>0</v>
      </c>
      <c r="E52" s="218">
        <f t="shared" si="9"/>
        <v>0</v>
      </c>
      <c r="F52" s="218"/>
      <c r="G52" s="221"/>
      <c r="H52" s="588" t="s">
        <v>799</v>
      </c>
    </row>
    <row r="53" spans="1:8" s="5" customFormat="1" ht="14.25" customHeight="1" x14ac:dyDescent="0.3">
      <c r="A53" s="266" t="s">
        <v>131</v>
      </c>
      <c r="B53" s="277" t="s">
        <v>132</v>
      </c>
      <c r="C53" s="289" t="s">
        <v>133</v>
      </c>
      <c r="D53" s="269">
        <f>'9.sz.mell.'!D53</f>
        <v>500000</v>
      </c>
      <c r="E53" s="218">
        <f t="shared" si="9"/>
        <v>2039724</v>
      </c>
      <c r="F53" s="218">
        <f>2536786+1258+1680</f>
        <v>2539724</v>
      </c>
      <c r="G53" s="221">
        <f>1258+1680+2524728</f>
        <v>2527666</v>
      </c>
      <c r="H53" s="588">
        <f t="shared" si="1"/>
        <v>0.99525224000718193</v>
      </c>
    </row>
    <row r="54" spans="1:8" s="5" customFormat="1" ht="14.25" customHeight="1" x14ac:dyDescent="0.3">
      <c r="A54" s="266" t="s">
        <v>134</v>
      </c>
      <c r="B54" s="277" t="s">
        <v>135</v>
      </c>
      <c r="C54" s="289" t="s">
        <v>136</v>
      </c>
      <c r="D54" s="269">
        <f>'9.sz.mell.'!D54</f>
        <v>0</v>
      </c>
      <c r="E54" s="218">
        <f t="shared" si="9"/>
        <v>0</v>
      </c>
      <c r="F54" s="218">
        <v>0</v>
      </c>
      <c r="G54" s="221">
        <v>0</v>
      </c>
      <c r="H54" s="588" t="s">
        <v>799</v>
      </c>
    </row>
    <row r="55" spans="1:8" s="5" customFormat="1" ht="14.25" customHeight="1" x14ac:dyDescent="0.3">
      <c r="A55" s="266" t="s">
        <v>137</v>
      </c>
      <c r="B55" s="277" t="s">
        <v>138</v>
      </c>
      <c r="C55" s="289" t="s">
        <v>139</v>
      </c>
      <c r="D55" s="269">
        <f>'9.sz.mell.'!D55</f>
        <v>500000</v>
      </c>
      <c r="E55" s="218">
        <f t="shared" si="9"/>
        <v>2942850</v>
      </c>
      <c r="F55" s="218">
        <v>3442850</v>
      </c>
      <c r="G55" s="221">
        <v>3441430</v>
      </c>
      <c r="H55" s="588">
        <f t="shared" si="1"/>
        <v>0.99958755101151664</v>
      </c>
    </row>
    <row r="56" spans="1:8" s="5" customFormat="1" ht="14.25" customHeight="1" x14ac:dyDescent="0.3">
      <c r="A56" s="266" t="s">
        <v>140</v>
      </c>
      <c r="B56" s="267" t="s">
        <v>141</v>
      </c>
      <c r="C56" s="289" t="s">
        <v>142</v>
      </c>
      <c r="D56" s="269">
        <f>'9.sz.mell.'!D56</f>
        <v>2250000</v>
      </c>
      <c r="E56" s="218">
        <f t="shared" si="9"/>
        <v>116609</v>
      </c>
      <c r="F56" s="218">
        <f>395289+1+1971319</f>
        <v>2366609</v>
      </c>
      <c r="G56" s="221">
        <f>395289+1+1267558</f>
        <v>1662848</v>
      </c>
      <c r="H56" s="588">
        <f t="shared" si="1"/>
        <v>0.7026289513814914</v>
      </c>
    </row>
    <row r="57" spans="1:8" s="5" customFormat="1" ht="15.75" customHeight="1" x14ac:dyDescent="0.3">
      <c r="A57" s="273" t="s">
        <v>143</v>
      </c>
      <c r="B57" s="290" t="s">
        <v>144</v>
      </c>
      <c r="C57" s="275" t="s">
        <v>145</v>
      </c>
      <c r="D57" s="212">
        <f>SUM(D46:D56)</f>
        <v>184636916</v>
      </c>
      <c r="E57" s="212">
        <f t="shared" ref="E57:G57" si="10">SUM(E46:E56)</f>
        <v>6784482</v>
      </c>
      <c r="F57" s="212">
        <f t="shared" si="10"/>
        <v>191421398</v>
      </c>
      <c r="G57" s="596">
        <f t="shared" si="10"/>
        <v>186513974</v>
      </c>
      <c r="H57" s="588">
        <f t="shared" si="1"/>
        <v>0.97436324229540938</v>
      </c>
    </row>
    <row r="58" spans="1:8" s="5" customFormat="1" ht="14.25" customHeight="1" x14ac:dyDescent="0.3">
      <c r="A58" s="291" t="s">
        <v>146</v>
      </c>
      <c r="B58" s="277" t="s">
        <v>147</v>
      </c>
      <c r="C58" s="289" t="s">
        <v>148</v>
      </c>
      <c r="D58" s="292">
        <f>'9.sz.mell.'!D58</f>
        <v>0</v>
      </c>
      <c r="E58" s="218"/>
      <c r="F58" s="218"/>
      <c r="G58" s="221"/>
      <c r="H58" s="588" t="s">
        <v>799</v>
      </c>
    </row>
    <row r="59" spans="1:8" s="5" customFormat="1" ht="14.25" customHeight="1" x14ac:dyDescent="0.3">
      <c r="A59" s="291" t="s">
        <v>149</v>
      </c>
      <c r="B59" s="277" t="s">
        <v>150</v>
      </c>
      <c r="C59" s="289" t="s">
        <v>151</v>
      </c>
      <c r="D59" s="292">
        <f>'9.sz.mell.'!D59</f>
        <v>0</v>
      </c>
      <c r="E59" s="218">
        <f>F59-D59</f>
        <v>15966184</v>
      </c>
      <c r="F59" s="218">
        <v>15966184</v>
      </c>
      <c r="G59" s="221">
        <v>15966184</v>
      </c>
      <c r="H59" s="588">
        <f t="shared" si="1"/>
        <v>1</v>
      </c>
    </row>
    <row r="60" spans="1:8" s="5" customFormat="1" ht="14.25" customHeight="1" x14ac:dyDescent="0.3">
      <c r="A60" s="291" t="s">
        <v>152</v>
      </c>
      <c r="B60" s="277" t="s">
        <v>153</v>
      </c>
      <c r="C60" s="289" t="s">
        <v>154</v>
      </c>
      <c r="D60" s="292">
        <f>'9.sz.mell.'!D60</f>
        <v>2160072</v>
      </c>
      <c r="E60" s="218">
        <f t="shared" ref="E60:E62" si="11">F60-D60</f>
        <v>1418065</v>
      </c>
      <c r="F60" s="218">
        <v>3578137</v>
      </c>
      <c r="G60" s="221">
        <v>3577393</v>
      </c>
      <c r="H60" s="588">
        <f t="shared" si="1"/>
        <v>0.99979207056633101</v>
      </c>
    </row>
    <row r="61" spans="1:8" s="5" customFormat="1" ht="14.25" customHeight="1" x14ac:dyDescent="0.3">
      <c r="A61" s="291" t="s">
        <v>155</v>
      </c>
      <c r="B61" s="277" t="s">
        <v>156</v>
      </c>
      <c r="C61" s="289" t="s">
        <v>157</v>
      </c>
      <c r="D61" s="292">
        <f>'9.sz.mell.'!D61</f>
        <v>0</v>
      </c>
      <c r="E61" s="218">
        <f t="shared" si="11"/>
        <v>0</v>
      </c>
      <c r="F61" s="218">
        <v>0</v>
      </c>
      <c r="G61" s="221"/>
      <c r="H61" s="588" t="s">
        <v>813</v>
      </c>
    </row>
    <row r="62" spans="1:8" s="5" customFormat="1" ht="14.25" customHeight="1" x14ac:dyDescent="0.3">
      <c r="A62" s="291" t="s">
        <v>158</v>
      </c>
      <c r="B62" s="267" t="s">
        <v>159</v>
      </c>
      <c r="C62" s="289" t="s">
        <v>160</v>
      </c>
      <c r="D62" s="292">
        <f>'9.sz.mell.'!D62</f>
        <v>0</v>
      </c>
      <c r="E62" s="218">
        <f t="shared" si="11"/>
        <v>0</v>
      </c>
      <c r="F62" s="218">
        <v>0</v>
      </c>
      <c r="G62" s="221"/>
      <c r="H62" s="588" t="s">
        <v>799</v>
      </c>
    </row>
    <row r="63" spans="1:8" s="5" customFormat="1" ht="14.25" customHeight="1" x14ac:dyDescent="0.3">
      <c r="A63" s="93" t="s">
        <v>161</v>
      </c>
      <c r="B63" s="290" t="s">
        <v>162</v>
      </c>
      <c r="C63" s="289" t="s">
        <v>163</v>
      </c>
      <c r="D63" s="276">
        <f>SUM(D58:D62)</f>
        <v>2160072</v>
      </c>
      <c r="E63" s="276">
        <f t="shared" ref="E63:G63" si="12">SUM(E58:E62)</f>
        <v>17384249</v>
      </c>
      <c r="F63" s="276">
        <f t="shared" si="12"/>
        <v>19544321</v>
      </c>
      <c r="G63" s="595">
        <f t="shared" si="12"/>
        <v>19543577</v>
      </c>
      <c r="H63" s="588">
        <f t="shared" si="1"/>
        <v>0.9999619326759932</v>
      </c>
    </row>
    <row r="64" spans="1:8" s="5" customFormat="1" ht="16.5" customHeight="1" x14ac:dyDescent="0.3">
      <c r="A64" s="266" t="s">
        <v>164</v>
      </c>
      <c r="B64" s="267" t="s">
        <v>165</v>
      </c>
      <c r="C64" s="268" t="s">
        <v>166</v>
      </c>
      <c r="D64" s="269"/>
      <c r="E64" s="218">
        <f>F64-D64</f>
        <v>0</v>
      </c>
      <c r="F64" s="218">
        <v>0</v>
      </c>
      <c r="G64" s="221"/>
      <c r="H64" s="588" t="s">
        <v>799</v>
      </c>
    </row>
    <row r="65" spans="1:10" s="5" customFormat="1" ht="17.25" customHeight="1" x14ac:dyDescent="0.3">
      <c r="A65" s="266" t="s">
        <v>167</v>
      </c>
      <c r="B65" s="267" t="s">
        <v>168</v>
      </c>
      <c r="C65" s="268" t="s">
        <v>169</v>
      </c>
      <c r="D65" s="269"/>
      <c r="E65" s="218">
        <f>F65-D65</f>
        <v>2358497</v>
      </c>
      <c r="F65" s="218">
        <v>2358497</v>
      </c>
      <c r="G65" s="221">
        <v>2355997</v>
      </c>
      <c r="H65" s="588">
        <f t="shared" si="1"/>
        <v>0.99894000289167206</v>
      </c>
    </row>
    <row r="66" spans="1:10" s="5" customFormat="1" ht="17.25" customHeight="1" x14ac:dyDescent="0.3">
      <c r="A66" s="93" t="s">
        <v>170</v>
      </c>
      <c r="B66" s="274" t="s">
        <v>171</v>
      </c>
      <c r="C66" s="275" t="s">
        <v>172</v>
      </c>
      <c r="D66" s="276">
        <f>SUM(D64:D65)</f>
        <v>0</v>
      </c>
      <c r="E66" s="276">
        <f t="shared" ref="E66:G66" si="13">SUM(E64:E65)</f>
        <v>2358497</v>
      </c>
      <c r="F66" s="276">
        <f t="shared" si="13"/>
        <v>2358497</v>
      </c>
      <c r="G66" s="595">
        <f t="shared" si="13"/>
        <v>2355997</v>
      </c>
      <c r="H66" s="588">
        <f t="shared" si="1"/>
        <v>0.99894000289167206</v>
      </c>
    </row>
    <row r="67" spans="1:10" s="5" customFormat="1" ht="16.5" customHeight="1" x14ac:dyDescent="0.3">
      <c r="A67" s="266" t="s">
        <v>173</v>
      </c>
      <c r="B67" s="267" t="s">
        <v>174</v>
      </c>
      <c r="C67" s="268" t="s">
        <v>175</v>
      </c>
      <c r="D67" s="292"/>
      <c r="E67" s="218">
        <f>F67-D67</f>
        <v>1311275</v>
      </c>
      <c r="F67" s="218">
        <v>1311275</v>
      </c>
      <c r="G67" s="221">
        <v>1303598</v>
      </c>
      <c r="H67" s="588">
        <f t="shared" si="1"/>
        <v>0.99414539284284376</v>
      </c>
    </row>
    <row r="68" spans="1:10" s="5" customFormat="1" ht="14.25" customHeight="1" x14ac:dyDescent="0.3">
      <c r="A68" s="266" t="s">
        <v>176</v>
      </c>
      <c r="B68" s="267" t="s">
        <v>177</v>
      </c>
      <c r="C68" s="268" t="s">
        <v>178</v>
      </c>
      <c r="D68" s="292"/>
      <c r="E68" s="218"/>
      <c r="F68" s="218"/>
      <c r="G68" s="221"/>
      <c r="H68" s="588" t="s">
        <v>799</v>
      </c>
    </row>
    <row r="69" spans="1:10" s="5" customFormat="1" ht="15.75" customHeight="1" x14ac:dyDescent="0.3">
      <c r="A69" s="266" t="s">
        <v>179</v>
      </c>
      <c r="B69" s="274" t="s">
        <v>180</v>
      </c>
      <c r="C69" s="275" t="s">
        <v>181</v>
      </c>
      <c r="D69" s="212">
        <f>SUM(D67:D68)</f>
        <v>0</v>
      </c>
      <c r="E69" s="212">
        <f t="shared" ref="E69:G69" si="14">SUM(E67:E68)</f>
        <v>1311275</v>
      </c>
      <c r="F69" s="212">
        <f t="shared" si="14"/>
        <v>1311275</v>
      </c>
      <c r="G69" s="596">
        <f t="shared" si="14"/>
        <v>1303598</v>
      </c>
      <c r="H69" s="588">
        <f t="shared" si="1"/>
        <v>0.99414539284284376</v>
      </c>
    </row>
    <row r="70" spans="1:10" s="5" customFormat="1" ht="21" customHeight="1" x14ac:dyDescent="0.3">
      <c r="A70" s="93" t="s">
        <v>182</v>
      </c>
      <c r="B70" s="290" t="s">
        <v>183</v>
      </c>
      <c r="C70" s="211" t="s">
        <v>184</v>
      </c>
      <c r="D70" s="95">
        <f>SUM(D22+D31+D45+D57+D63+D66+D69)</f>
        <v>1945688506</v>
      </c>
      <c r="E70" s="95">
        <f t="shared" ref="E70:G70" si="15">SUM(E22+E31+E45+E57+E63+E66+E69)</f>
        <v>2999016116</v>
      </c>
      <c r="F70" s="95">
        <f t="shared" si="15"/>
        <v>4944704622</v>
      </c>
      <c r="G70" s="594">
        <f t="shared" si="15"/>
        <v>4935849800</v>
      </c>
      <c r="H70" s="588">
        <f t="shared" si="1"/>
        <v>0.99820923135416362</v>
      </c>
    </row>
    <row r="71" spans="1:10" s="5" customFormat="1" ht="14.25" customHeight="1" x14ac:dyDescent="0.3">
      <c r="A71" s="266" t="s">
        <v>185</v>
      </c>
      <c r="B71" s="267" t="s">
        <v>186</v>
      </c>
      <c r="C71" s="268" t="s">
        <v>187</v>
      </c>
      <c r="D71" s="293"/>
      <c r="E71" s="218"/>
      <c r="F71" s="218"/>
      <c r="G71" s="221"/>
      <c r="H71" s="588" t="s">
        <v>799</v>
      </c>
    </row>
    <row r="72" spans="1:10" s="5" customFormat="1" ht="14.25" customHeight="1" x14ac:dyDescent="0.3">
      <c r="A72" s="266" t="s">
        <v>188</v>
      </c>
      <c r="B72" s="749" t="s">
        <v>189</v>
      </c>
      <c r="C72" s="750" t="s">
        <v>190</v>
      </c>
      <c r="D72" s="751">
        <f>SUM(D73:D74)</f>
        <v>304494626</v>
      </c>
      <c r="E72" s="752">
        <f>F72-D72</f>
        <v>107029296</v>
      </c>
      <c r="F72" s="752">
        <v>411523922</v>
      </c>
      <c r="G72" s="744">
        <v>411523922</v>
      </c>
      <c r="H72" s="588">
        <f t="shared" ref="H72:H74" si="16">G72/F72</f>
        <v>1</v>
      </c>
    </row>
    <row r="73" spans="1:10" s="5" customFormat="1" ht="14.25" customHeight="1" x14ac:dyDescent="0.3">
      <c r="A73" s="266" t="s">
        <v>191</v>
      </c>
      <c r="B73" s="753" t="s">
        <v>192</v>
      </c>
      <c r="C73" s="750" t="s">
        <v>193</v>
      </c>
      <c r="D73" s="754">
        <v>274494626</v>
      </c>
      <c r="E73" s="752">
        <f t="shared" ref="E73:E75" si="17">F73-D73</f>
        <v>100954986</v>
      </c>
      <c r="F73" s="752">
        <v>375449612</v>
      </c>
      <c r="G73" s="744">
        <v>375449612</v>
      </c>
      <c r="H73" s="588">
        <f t="shared" si="16"/>
        <v>1</v>
      </c>
    </row>
    <row r="74" spans="1:10" s="5" customFormat="1" ht="14.25" customHeight="1" x14ac:dyDescent="0.3">
      <c r="A74" s="266" t="s">
        <v>194</v>
      </c>
      <c r="B74" s="755" t="s">
        <v>195</v>
      </c>
      <c r="C74" s="750" t="s">
        <v>196</v>
      </c>
      <c r="D74" s="754">
        <v>30000000</v>
      </c>
      <c r="E74" s="752">
        <f t="shared" si="17"/>
        <v>6074310</v>
      </c>
      <c r="F74" s="752">
        <v>36074310</v>
      </c>
      <c r="G74" s="744">
        <v>36074310</v>
      </c>
      <c r="H74" s="588">
        <f t="shared" si="16"/>
        <v>1</v>
      </c>
    </row>
    <row r="75" spans="1:10" s="5" customFormat="1" ht="14.25" customHeight="1" x14ac:dyDescent="0.3">
      <c r="A75" s="266" t="s">
        <v>197</v>
      </c>
      <c r="B75" s="756" t="s">
        <v>946</v>
      </c>
      <c r="C75" s="750" t="s">
        <v>947</v>
      </c>
      <c r="D75" s="754"/>
      <c r="E75" s="752">
        <f t="shared" si="17"/>
        <v>31792796</v>
      </c>
      <c r="F75" s="752">
        <v>31792796</v>
      </c>
      <c r="G75" s="744">
        <v>31792796</v>
      </c>
      <c r="H75" s="588" t="s">
        <v>799</v>
      </c>
    </row>
    <row r="76" spans="1:10" s="5" customFormat="1" ht="14.25" customHeight="1" x14ac:dyDescent="0.3">
      <c r="A76" s="93" t="s">
        <v>200</v>
      </c>
      <c r="B76" s="296" t="s">
        <v>717</v>
      </c>
      <c r="C76" s="297" t="s">
        <v>199</v>
      </c>
      <c r="D76" s="95">
        <f>SUM(D71+D72+D75)</f>
        <v>304494626</v>
      </c>
      <c r="E76" s="95">
        <f t="shared" ref="E76:G76" si="18">SUM(E71+E72+E75)</f>
        <v>138822092</v>
      </c>
      <c r="F76" s="95">
        <f t="shared" si="18"/>
        <v>443316718</v>
      </c>
      <c r="G76" s="95">
        <f t="shared" si="18"/>
        <v>443316718</v>
      </c>
      <c r="H76" s="588">
        <f t="shared" ref="H76:H77" si="19">G76/F76</f>
        <v>1</v>
      </c>
    </row>
    <row r="77" spans="1:10" s="5" customFormat="1" ht="18.75" customHeight="1" x14ac:dyDescent="0.3">
      <c r="A77" s="93" t="s">
        <v>716</v>
      </c>
      <c r="B77" s="296" t="s">
        <v>718</v>
      </c>
      <c r="C77" s="297" t="s">
        <v>719</v>
      </c>
      <c r="D77" s="95">
        <f>SUM(D76,D70)</f>
        <v>2250183132</v>
      </c>
      <c r="E77" s="95">
        <f>SUM(E76,E70)</f>
        <v>3137838208</v>
      </c>
      <c r="F77" s="95">
        <f t="shared" ref="F77:G77" si="20">SUM(F76,F70)</f>
        <v>5388021340</v>
      </c>
      <c r="G77" s="95">
        <f t="shared" si="20"/>
        <v>5379166518</v>
      </c>
      <c r="H77" s="588">
        <f t="shared" si="19"/>
        <v>0.99835657258180055</v>
      </c>
      <c r="J77" s="773"/>
    </row>
    <row r="78" spans="1:10" ht="17.25" customHeight="1" x14ac:dyDescent="0.35">
      <c r="A78" s="1015"/>
      <c r="B78" s="1015"/>
      <c r="C78" s="1015"/>
      <c r="D78" s="1015"/>
    </row>
    <row r="79" spans="1:10" s="6" customFormat="1" ht="16.5" customHeight="1" x14ac:dyDescent="0.35">
      <c r="A79" s="1015" t="s">
        <v>202</v>
      </c>
      <c r="B79" s="1015"/>
      <c r="C79" s="1015"/>
      <c r="D79" s="1015"/>
      <c r="E79" s="219"/>
      <c r="F79" s="219"/>
      <c r="G79" s="597"/>
      <c r="H79" s="589"/>
    </row>
    <row r="80" spans="1:10" ht="38.15" customHeight="1" x14ac:dyDescent="0.35">
      <c r="A80" s="78" t="s">
        <v>2</v>
      </c>
      <c r="B80" s="78" t="s">
        <v>203</v>
      </c>
      <c r="C80" s="78" t="s">
        <v>4</v>
      </c>
      <c r="D80" s="87" t="str">
        <f>+D4</f>
        <v>2017. évi eredeti előirányzat</v>
      </c>
      <c r="E80" s="216" t="s">
        <v>959</v>
      </c>
      <c r="F80" s="217" t="s">
        <v>796</v>
      </c>
      <c r="G80" s="217" t="s">
        <v>823</v>
      </c>
      <c r="H80" s="217" t="s">
        <v>824</v>
      </c>
    </row>
    <row r="81" spans="1:8" s="4" customFormat="1" ht="12" customHeight="1" x14ac:dyDescent="0.3">
      <c r="A81" s="78" t="s">
        <v>6</v>
      </c>
      <c r="B81" s="78" t="s">
        <v>7</v>
      </c>
      <c r="C81" s="78" t="s">
        <v>8</v>
      </c>
      <c r="D81" s="78" t="s">
        <v>9</v>
      </c>
      <c r="E81" s="220" t="s">
        <v>269</v>
      </c>
      <c r="F81" s="220" t="s">
        <v>472</v>
      </c>
      <c r="G81" s="598" t="s">
        <v>794</v>
      </c>
      <c r="H81" s="591" t="s">
        <v>797</v>
      </c>
    </row>
    <row r="82" spans="1:8" ht="15.75" customHeight="1" x14ac:dyDescent="0.35">
      <c r="A82" s="291" t="s">
        <v>10</v>
      </c>
      <c r="B82" s="279" t="s">
        <v>204</v>
      </c>
      <c r="C82" s="280" t="s">
        <v>205</v>
      </c>
      <c r="D82" s="269">
        <f>'9.sz.mell.'!D86+'10.sz.mell'!G47+'11.sz.mell'!F47</f>
        <v>323812114</v>
      </c>
      <c r="E82" s="221">
        <f>F82-D82</f>
        <v>197661855</v>
      </c>
      <c r="F82" s="221">
        <v>521473969</v>
      </c>
      <c r="G82" s="221">
        <v>453688351</v>
      </c>
      <c r="H82" s="588">
        <f>G82/F82</f>
        <v>0.87001150195476007</v>
      </c>
    </row>
    <row r="83" spans="1:8" ht="15.75" customHeight="1" x14ac:dyDescent="0.35">
      <c r="A83" s="291" t="s">
        <v>13</v>
      </c>
      <c r="B83" s="279" t="s">
        <v>206</v>
      </c>
      <c r="C83" s="280" t="s">
        <v>207</v>
      </c>
      <c r="D83" s="269">
        <f>'9.sz.mell.'!D87+'10.sz.mell'!G48+'11.sz.mell'!F48</f>
        <v>73417889</v>
      </c>
      <c r="E83" s="221">
        <f t="shared" ref="E83:E95" si="21">F83-D83</f>
        <v>22006307</v>
      </c>
      <c r="F83" s="221">
        <v>95424196</v>
      </c>
      <c r="G83" s="221">
        <v>81933305</v>
      </c>
      <c r="H83" s="588">
        <f t="shared" ref="H83:H113" si="22">G83/F83</f>
        <v>0.85862190549658912</v>
      </c>
    </row>
    <row r="84" spans="1:8" ht="15.75" customHeight="1" x14ac:dyDescent="0.35">
      <c r="A84" s="291" t="s">
        <v>16</v>
      </c>
      <c r="B84" s="279" t="s">
        <v>208</v>
      </c>
      <c r="C84" s="280" t="s">
        <v>209</v>
      </c>
      <c r="D84" s="269">
        <v>574940083</v>
      </c>
      <c r="E84" s="221">
        <f t="shared" si="21"/>
        <v>1714814810</v>
      </c>
      <c r="F84" s="221">
        <v>2289754893</v>
      </c>
      <c r="G84" s="221">
        <v>617366654</v>
      </c>
      <c r="H84" s="588">
        <f t="shared" si="22"/>
        <v>0.26962128387075357</v>
      </c>
    </row>
    <row r="85" spans="1:8" ht="15.75" customHeight="1" x14ac:dyDescent="0.35">
      <c r="A85" s="291" t="s">
        <v>19</v>
      </c>
      <c r="B85" s="279" t="s">
        <v>210</v>
      </c>
      <c r="C85" s="280" t="s">
        <v>211</v>
      </c>
      <c r="D85" s="269">
        <f>'9.sz.mell.'!D89+'10.sz.mell'!G50+'11.sz.mell'!F50</f>
        <v>66820160</v>
      </c>
      <c r="E85" s="221">
        <f t="shared" si="21"/>
        <v>20217934</v>
      </c>
      <c r="F85" s="221">
        <v>87038094</v>
      </c>
      <c r="G85" s="221">
        <v>86882306</v>
      </c>
      <c r="H85" s="588">
        <f t="shared" si="22"/>
        <v>0.99821011705518281</v>
      </c>
    </row>
    <row r="86" spans="1:8" ht="15.75" customHeight="1" x14ac:dyDescent="0.35">
      <c r="A86" s="291" t="s">
        <v>22</v>
      </c>
      <c r="B86" s="279" t="s">
        <v>212</v>
      </c>
      <c r="C86" s="280" t="s">
        <v>213</v>
      </c>
      <c r="D86" s="269">
        <f>SUM(D87:D93)</f>
        <v>965514977</v>
      </c>
      <c r="E86" s="221">
        <f t="shared" si="21"/>
        <v>136499523</v>
      </c>
      <c r="F86" s="221">
        <v>1102014500</v>
      </c>
      <c r="G86" s="221">
        <v>962359564</v>
      </c>
      <c r="H86" s="588">
        <f t="shared" si="22"/>
        <v>0.87327305039997205</v>
      </c>
    </row>
    <row r="87" spans="1:8" ht="15.75" customHeight="1" x14ac:dyDescent="0.35">
      <c r="A87" s="291" t="s">
        <v>25</v>
      </c>
      <c r="B87" s="232" t="s">
        <v>214</v>
      </c>
      <c r="C87" s="298" t="s">
        <v>215</v>
      </c>
      <c r="D87" s="284">
        <f>'9.sz.mell.'!D91</f>
        <v>11554719</v>
      </c>
      <c r="E87" s="221">
        <f t="shared" si="21"/>
        <v>5774084</v>
      </c>
      <c r="F87" s="221">
        <v>17328803</v>
      </c>
      <c r="G87" s="221">
        <v>17328803</v>
      </c>
      <c r="H87" s="588">
        <f t="shared" si="22"/>
        <v>1</v>
      </c>
    </row>
    <row r="88" spans="1:8" ht="15.75" customHeight="1" x14ac:dyDescent="0.35">
      <c r="A88" s="291" t="s">
        <v>28</v>
      </c>
      <c r="B88" s="299" t="s">
        <v>216</v>
      </c>
      <c r="C88" s="300" t="s">
        <v>217</v>
      </c>
      <c r="D88" s="284">
        <f>'9.sz.mell.'!D92</f>
        <v>0</v>
      </c>
      <c r="E88" s="221">
        <f t="shared" si="21"/>
        <v>0</v>
      </c>
      <c r="F88" s="221"/>
      <c r="G88" s="221"/>
      <c r="H88" s="588"/>
    </row>
    <row r="89" spans="1:8" ht="15.75" customHeight="1" x14ac:dyDescent="0.35">
      <c r="A89" s="291" t="s">
        <v>31</v>
      </c>
      <c r="B89" s="299" t="s">
        <v>218</v>
      </c>
      <c r="C89" s="300" t="s">
        <v>219</v>
      </c>
      <c r="D89" s="284">
        <f>'9.sz.mell.'!D93</f>
        <v>0</v>
      </c>
      <c r="E89" s="221">
        <f t="shared" si="21"/>
        <v>0</v>
      </c>
      <c r="F89" s="221"/>
      <c r="G89" s="221"/>
      <c r="H89" s="588"/>
    </row>
    <row r="90" spans="1:8" ht="15.75" customHeight="1" x14ac:dyDescent="0.35">
      <c r="A90" s="291" t="s">
        <v>34</v>
      </c>
      <c r="B90" s="301" t="s">
        <v>220</v>
      </c>
      <c r="C90" s="300" t="s">
        <v>221</v>
      </c>
      <c r="D90" s="284">
        <f>'9.sz.mell.'!D94</f>
        <v>435516731</v>
      </c>
      <c r="E90" s="221">
        <f t="shared" si="21"/>
        <v>67483756</v>
      </c>
      <c r="F90" s="221">
        <v>503000487</v>
      </c>
      <c r="G90" s="221">
        <v>485873368</v>
      </c>
      <c r="H90" s="588">
        <f t="shared" si="22"/>
        <v>0.96595009459702574</v>
      </c>
    </row>
    <row r="91" spans="1:8" ht="15.75" customHeight="1" x14ac:dyDescent="0.35">
      <c r="A91" s="291" t="s">
        <v>37</v>
      </c>
      <c r="B91" s="299" t="s">
        <v>222</v>
      </c>
      <c r="C91" s="300" t="s">
        <v>223</v>
      </c>
      <c r="D91" s="284">
        <f>'9.sz.mell.'!D95</f>
        <v>0</v>
      </c>
      <c r="E91" s="221">
        <f t="shared" si="21"/>
        <v>0</v>
      </c>
      <c r="F91" s="221"/>
      <c r="G91" s="221"/>
      <c r="H91" s="588"/>
    </row>
    <row r="92" spans="1:8" ht="15.75" customHeight="1" x14ac:dyDescent="0.35">
      <c r="A92" s="291" t="s">
        <v>39</v>
      </c>
      <c r="B92" s="299" t="s">
        <v>224</v>
      </c>
      <c r="C92" s="300" t="s">
        <v>225</v>
      </c>
      <c r="D92" s="284">
        <v>431297184</v>
      </c>
      <c r="E92" s="221">
        <f t="shared" si="21"/>
        <v>37381094</v>
      </c>
      <c r="F92" s="221">
        <v>468678278</v>
      </c>
      <c r="G92" s="221">
        <v>459157393</v>
      </c>
      <c r="H92" s="588">
        <f t="shared" si="22"/>
        <v>0.97968567043339694</v>
      </c>
    </row>
    <row r="93" spans="1:8" ht="15.75" customHeight="1" x14ac:dyDescent="0.35">
      <c r="A93" s="291" t="s">
        <v>41</v>
      </c>
      <c r="B93" s="299" t="s">
        <v>226</v>
      </c>
      <c r="C93" s="300" t="s">
        <v>227</v>
      </c>
      <c r="D93" s="284">
        <v>87146343</v>
      </c>
      <c r="E93" s="221">
        <f t="shared" si="21"/>
        <v>25860589</v>
      </c>
      <c r="F93" s="221">
        <v>113006932</v>
      </c>
      <c r="G93" s="221"/>
      <c r="H93" s="588">
        <f t="shared" si="22"/>
        <v>0</v>
      </c>
    </row>
    <row r="94" spans="1:8" ht="15.75" customHeight="1" x14ac:dyDescent="0.35">
      <c r="A94" s="291" t="s">
        <v>43</v>
      </c>
      <c r="B94" s="299" t="s">
        <v>228</v>
      </c>
      <c r="C94" s="298" t="s">
        <v>227</v>
      </c>
      <c r="D94" s="284">
        <f>'9.sz.mell.'!D98</f>
        <v>70000000</v>
      </c>
      <c r="E94" s="221">
        <f t="shared" si="21"/>
        <v>27973671</v>
      </c>
      <c r="F94" s="221">
        <v>97973671</v>
      </c>
      <c r="G94" s="221"/>
      <c r="H94" s="588">
        <f t="shared" si="22"/>
        <v>0</v>
      </c>
    </row>
    <row r="95" spans="1:8" ht="15.75" customHeight="1" x14ac:dyDescent="0.35">
      <c r="A95" s="291" t="s">
        <v>45</v>
      </c>
      <c r="B95" s="302" t="s">
        <v>229</v>
      </c>
      <c r="C95" s="298" t="s">
        <v>227</v>
      </c>
      <c r="D95" s="284">
        <v>17146343</v>
      </c>
      <c r="E95" s="221">
        <f t="shared" si="21"/>
        <v>0</v>
      </c>
      <c r="F95" s="221">
        <v>17146343</v>
      </c>
      <c r="G95" s="221"/>
      <c r="H95" s="588">
        <f t="shared" si="22"/>
        <v>0</v>
      </c>
    </row>
    <row r="96" spans="1:8" ht="15.75" customHeight="1" x14ac:dyDescent="0.35">
      <c r="A96" s="303" t="s">
        <v>47</v>
      </c>
      <c r="B96" s="304" t="s">
        <v>466</v>
      </c>
      <c r="C96" s="87" t="s">
        <v>230</v>
      </c>
      <c r="D96" s="212">
        <f>SUM(D82:D86)</f>
        <v>2004505223</v>
      </c>
      <c r="E96" s="212">
        <f t="shared" ref="E96:G96" si="23">SUM(E82:E86)</f>
        <v>2091200429</v>
      </c>
      <c r="F96" s="212">
        <f t="shared" si="23"/>
        <v>4095705652</v>
      </c>
      <c r="G96" s="212">
        <f t="shared" si="23"/>
        <v>2202230180</v>
      </c>
      <c r="H96" s="588">
        <f t="shared" si="22"/>
        <v>0.53769249236077676</v>
      </c>
    </row>
    <row r="97" spans="1:8" ht="16.5" customHeight="1" x14ac:dyDescent="0.35">
      <c r="A97" s="291" t="s">
        <v>49</v>
      </c>
      <c r="B97" s="279" t="s">
        <v>231</v>
      </c>
      <c r="C97" s="280" t="s">
        <v>232</v>
      </c>
      <c r="D97" s="269">
        <v>62504500</v>
      </c>
      <c r="E97" s="221">
        <f>F97-D97</f>
        <v>968668305</v>
      </c>
      <c r="F97" s="221">
        <v>1031172805</v>
      </c>
      <c r="G97" s="221">
        <v>75832435</v>
      </c>
      <c r="H97" s="588">
        <f t="shared" si="22"/>
        <v>7.3539987315705047E-2</v>
      </c>
    </row>
    <row r="98" spans="1:8" ht="16.5" customHeight="1" x14ac:dyDescent="0.35">
      <c r="A98" s="291" t="s">
        <v>51</v>
      </c>
      <c r="B98" s="279" t="s">
        <v>233</v>
      </c>
      <c r="C98" s="280" t="s">
        <v>234</v>
      </c>
      <c r="D98" s="269">
        <v>123810571</v>
      </c>
      <c r="E98" s="221">
        <f t="shared" ref="E98:E105" si="24">F98-D98</f>
        <v>57138826</v>
      </c>
      <c r="F98" s="221">
        <v>180949397</v>
      </c>
      <c r="G98" s="221">
        <v>126942757</v>
      </c>
      <c r="H98" s="588">
        <f t="shared" si="22"/>
        <v>0.70153733090362269</v>
      </c>
    </row>
    <row r="99" spans="1:8" ht="16.5" customHeight="1" x14ac:dyDescent="0.35">
      <c r="A99" s="291" t="s">
        <v>54</v>
      </c>
      <c r="B99" s="267" t="s">
        <v>235</v>
      </c>
      <c r="C99" s="268" t="s">
        <v>236</v>
      </c>
      <c r="D99" s="269">
        <f>SUM(D100:D105)</f>
        <v>5000000</v>
      </c>
      <c r="E99" s="221">
        <f t="shared" si="24"/>
        <v>17730648</v>
      </c>
      <c r="F99" s="221">
        <v>22730648</v>
      </c>
      <c r="G99" s="221">
        <v>15424342</v>
      </c>
      <c r="H99" s="588">
        <f t="shared" si="22"/>
        <v>0.67857027217173926</v>
      </c>
    </row>
    <row r="100" spans="1:8" ht="16.5" customHeight="1" x14ac:dyDescent="0.35">
      <c r="A100" s="291" t="s">
        <v>57</v>
      </c>
      <c r="B100" s="305" t="s">
        <v>237</v>
      </c>
      <c r="C100" s="283" t="s">
        <v>238</v>
      </c>
      <c r="D100" s="271">
        <f>'9.sz.mell.'!D104</f>
        <v>0</v>
      </c>
      <c r="E100" s="221">
        <f t="shared" si="24"/>
        <v>0</v>
      </c>
      <c r="F100" s="221"/>
      <c r="G100" s="221"/>
      <c r="H100" s="588"/>
    </row>
    <row r="101" spans="1:8" ht="16.5" customHeight="1" x14ac:dyDescent="0.35">
      <c r="A101" s="291" t="s">
        <v>60</v>
      </c>
      <c r="B101" s="306" t="s">
        <v>218</v>
      </c>
      <c r="C101" s="283" t="s">
        <v>239</v>
      </c>
      <c r="D101" s="271">
        <f>'9.sz.mell.'!D105</f>
        <v>0</v>
      </c>
      <c r="E101" s="221">
        <f t="shared" si="24"/>
        <v>0</v>
      </c>
      <c r="F101" s="221"/>
      <c r="G101" s="221"/>
      <c r="H101" s="588"/>
    </row>
    <row r="102" spans="1:8" ht="16.5" customHeight="1" x14ac:dyDescent="0.35">
      <c r="A102" s="291" t="s">
        <v>62</v>
      </c>
      <c r="B102" s="306" t="s">
        <v>240</v>
      </c>
      <c r="C102" s="283" t="s">
        <v>241</v>
      </c>
      <c r="D102" s="271">
        <f>'9.sz.mell.'!D106</f>
        <v>0</v>
      </c>
      <c r="E102" s="221">
        <f t="shared" si="24"/>
        <v>0</v>
      </c>
      <c r="F102" s="221"/>
      <c r="G102" s="221"/>
      <c r="H102" s="588"/>
    </row>
    <row r="103" spans="1:8" ht="16.5" customHeight="1" x14ac:dyDescent="0.35">
      <c r="A103" s="291" t="s">
        <v>64</v>
      </c>
      <c r="B103" s="306" t="s">
        <v>242</v>
      </c>
      <c r="C103" s="283" t="s">
        <v>243</v>
      </c>
      <c r="D103" s="271">
        <f>'9.sz.mell.'!D107</f>
        <v>0</v>
      </c>
      <c r="E103" s="221">
        <f t="shared" si="24"/>
        <v>0</v>
      </c>
      <c r="F103" s="221"/>
      <c r="G103" s="221"/>
      <c r="H103" s="588"/>
    </row>
    <row r="104" spans="1:8" ht="16.5" customHeight="1" x14ac:dyDescent="0.35">
      <c r="A104" s="291" t="s">
        <v>66</v>
      </c>
      <c r="B104" s="306" t="s">
        <v>244</v>
      </c>
      <c r="C104" s="283" t="s">
        <v>245</v>
      </c>
      <c r="D104" s="271">
        <f>'9.sz.mell.'!D108</f>
        <v>5000000</v>
      </c>
      <c r="E104" s="221">
        <f t="shared" si="24"/>
        <v>-5000000</v>
      </c>
      <c r="F104" s="221">
        <v>0</v>
      </c>
      <c r="G104" s="221">
        <v>0</v>
      </c>
      <c r="H104" s="588" t="s">
        <v>799</v>
      </c>
    </row>
    <row r="105" spans="1:8" ht="16.5" customHeight="1" x14ac:dyDescent="0.35">
      <c r="A105" s="291" t="s">
        <v>68</v>
      </c>
      <c r="B105" s="306" t="s">
        <v>246</v>
      </c>
      <c r="C105" s="283" t="s">
        <v>247</v>
      </c>
      <c r="D105" s="271">
        <f>'9.sz.mell.'!D109</f>
        <v>0</v>
      </c>
      <c r="E105" s="221">
        <f t="shared" si="24"/>
        <v>22730648</v>
      </c>
      <c r="F105" s="221">
        <v>22730648</v>
      </c>
      <c r="G105" s="221">
        <v>15424342</v>
      </c>
      <c r="H105" s="588">
        <f t="shared" si="22"/>
        <v>0.67857027217173926</v>
      </c>
    </row>
    <row r="106" spans="1:8" ht="16.5" customHeight="1" x14ac:dyDescent="0.35">
      <c r="A106" s="303" t="s">
        <v>70</v>
      </c>
      <c r="B106" s="304" t="s">
        <v>465</v>
      </c>
      <c r="C106" s="87" t="s">
        <v>248</v>
      </c>
      <c r="D106" s="95">
        <f>+D97+D98+D99</f>
        <v>191315071</v>
      </c>
      <c r="E106" s="95">
        <f t="shared" ref="E106:G106" si="25">+E97+E98+E99</f>
        <v>1043537779</v>
      </c>
      <c r="F106" s="95">
        <f t="shared" si="25"/>
        <v>1234852850</v>
      </c>
      <c r="G106" s="594">
        <f t="shared" si="25"/>
        <v>218199534</v>
      </c>
      <c r="H106" s="588">
        <f t="shared" si="22"/>
        <v>0.17670083848452064</v>
      </c>
    </row>
    <row r="107" spans="1:8" ht="23.25" customHeight="1" x14ac:dyDescent="0.35">
      <c r="A107" s="93" t="s">
        <v>72</v>
      </c>
      <c r="B107" s="290" t="s">
        <v>249</v>
      </c>
      <c r="C107" s="87" t="s">
        <v>250</v>
      </c>
      <c r="D107" s="276">
        <f>SUM(D96+D106)</f>
        <v>2195820294</v>
      </c>
      <c r="E107" s="276">
        <f t="shared" ref="E107:G107" si="26">SUM(E96+E106)</f>
        <v>3134738208</v>
      </c>
      <c r="F107" s="276">
        <f t="shared" si="26"/>
        <v>5330558502</v>
      </c>
      <c r="G107" s="595">
        <f t="shared" si="26"/>
        <v>2420429714</v>
      </c>
      <c r="H107" s="588">
        <f t="shared" si="22"/>
        <v>0.45406681365411644</v>
      </c>
    </row>
    <row r="108" spans="1:8" ht="16.5" customHeight="1" x14ac:dyDescent="0.35">
      <c r="A108" s="291" t="s">
        <v>75</v>
      </c>
      <c r="B108" s="228" t="s">
        <v>251</v>
      </c>
      <c r="C108" s="307" t="s">
        <v>252</v>
      </c>
      <c r="D108" s="293">
        <f>'9.sz.mell.'!D112</f>
        <v>23997938</v>
      </c>
      <c r="E108" s="221">
        <f>F108-D108</f>
        <v>3100000</v>
      </c>
      <c r="F108" s="221">
        <v>27097938</v>
      </c>
      <c r="G108" s="221">
        <v>27091108</v>
      </c>
      <c r="H108" s="588">
        <f t="shared" si="22"/>
        <v>0.99974795130168204</v>
      </c>
    </row>
    <row r="109" spans="1:8" ht="16.5" customHeight="1" x14ac:dyDescent="0.35">
      <c r="A109" s="291" t="s">
        <v>78</v>
      </c>
      <c r="B109" s="229" t="s">
        <v>253</v>
      </c>
      <c r="C109" s="280" t="s">
        <v>254</v>
      </c>
      <c r="D109" s="293">
        <f>'9.sz.mell.'!D113</f>
        <v>0</v>
      </c>
      <c r="E109" s="221">
        <f t="shared" ref="E109:E110" si="27">F109-D109</f>
        <v>0</v>
      </c>
      <c r="F109" s="221"/>
      <c r="G109" s="221"/>
      <c r="H109" s="588" t="s">
        <v>799</v>
      </c>
    </row>
    <row r="110" spans="1:8" ht="16.5" customHeight="1" x14ac:dyDescent="0.35">
      <c r="A110" s="308" t="s">
        <v>81</v>
      </c>
      <c r="B110" s="229" t="s">
        <v>255</v>
      </c>
      <c r="C110" s="280" t="s">
        <v>256</v>
      </c>
      <c r="D110" s="293">
        <f>'9.sz.mell.'!D114</f>
        <v>30364900</v>
      </c>
      <c r="E110" s="221">
        <f t="shared" si="27"/>
        <v>0</v>
      </c>
      <c r="F110" s="221">
        <v>30364900</v>
      </c>
      <c r="G110" s="221">
        <v>30364900</v>
      </c>
      <c r="H110" s="588">
        <f t="shared" si="22"/>
        <v>1</v>
      </c>
    </row>
    <row r="111" spans="1:8" ht="16.5" customHeight="1" x14ac:dyDescent="0.35">
      <c r="A111" s="291" t="s">
        <v>83</v>
      </c>
      <c r="B111" s="229" t="s">
        <v>257</v>
      </c>
      <c r="C111" s="280" t="s">
        <v>258</v>
      </c>
      <c r="D111" s="269"/>
      <c r="E111" s="221">
        <f>F111-D111</f>
        <v>0</v>
      </c>
      <c r="F111" s="221"/>
      <c r="G111" s="221"/>
      <c r="H111" s="588" t="s">
        <v>799</v>
      </c>
    </row>
    <row r="112" spans="1:8" ht="24.75" customHeight="1" x14ac:dyDescent="0.35">
      <c r="A112" s="309" t="s">
        <v>85</v>
      </c>
      <c r="B112" s="84" t="s">
        <v>259</v>
      </c>
      <c r="C112" s="87" t="s">
        <v>260</v>
      </c>
      <c r="D112" s="310">
        <f>SUM(D108:D111)</f>
        <v>54362838</v>
      </c>
      <c r="E112" s="310">
        <f t="shared" ref="E112:G112" si="28">SUM(E108:E111)</f>
        <v>3100000</v>
      </c>
      <c r="F112" s="310">
        <f t="shared" si="28"/>
        <v>57462838</v>
      </c>
      <c r="G112" s="310">
        <f t="shared" si="28"/>
        <v>57456008</v>
      </c>
      <c r="H112" s="588">
        <f t="shared" si="22"/>
        <v>0.99988114057297339</v>
      </c>
    </row>
    <row r="113" spans="1:8" s="5" customFormat="1" ht="27.75" customHeight="1" x14ac:dyDescent="0.3">
      <c r="A113" s="211">
        <v>32</v>
      </c>
      <c r="B113" s="274" t="s">
        <v>261</v>
      </c>
      <c r="C113" s="311" t="s">
        <v>262</v>
      </c>
      <c r="D113" s="310">
        <f>D107+D112</f>
        <v>2250183132</v>
      </c>
      <c r="E113" s="310">
        <f t="shared" ref="E113:G113" si="29">E107+E112</f>
        <v>3137838208</v>
      </c>
      <c r="F113" s="310">
        <f t="shared" si="29"/>
        <v>5388021340</v>
      </c>
      <c r="G113" s="310">
        <f t="shared" si="29"/>
        <v>2477885722</v>
      </c>
      <c r="H113" s="757">
        <f t="shared" si="22"/>
        <v>0.4598878819585373</v>
      </c>
    </row>
    <row r="114" spans="1:8" ht="16.5" customHeight="1" x14ac:dyDescent="0.35">
      <c r="H114" s="635" t="s">
        <v>799</v>
      </c>
    </row>
    <row r="115" spans="1:8" ht="30.75" customHeight="1" x14ac:dyDescent="0.35">
      <c r="A115" s="1016" t="s">
        <v>263</v>
      </c>
      <c r="B115" s="1016"/>
      <c r="C115" s="1016"/>
      <c r="D115" s="1016"/>
    </row>
    <row r="116" spans="1:8" ht="15" customHeight="1" x14ac:dyDescent="0.35">
      <c r="A116" s="1014"/>
      <c r="B116" s="1014"/>
      <c r="C116" s="2"/>
      <c r="D116" s="10"/>
    </row>
    <row r="117" spans="1:8" ht="29.25" customHeight="1" x14ac:dyDescent="0.35">
      <c r="A117" s="211">
        <v>1</v>
      </c>
      <c r="B117" s="1013" t="s">
        <v>264</v>
      </c>
      <c r="C117" s="1013"/>
      <c r="D117" s="312">
        <f>D70-D107</f>
        <v>-250131788</v>
      </c>
      <c r="E117" s="312">
        <f t="shared" ref="E117:G117" si="30">E70-E107</f>
        <v>-135722092</v>
      </c>
      <c r="F117" s="312">
        <f t="shared" si="30"/>
        <v>-385853880</v>
      </c>
      <c r="G117" s="312">
        <f t="shared" si="30"/>
        <v>2515420086</v>
      </c>
      <c r="H117" s="592" t="s">
        <v>799</v>
      </c>
    </row>
    <row r="118" spans="1:8" ht="29.25" customHeight="1" x14ac:dyDescent="0.35">
      <c r="A118" s="211" t="s">
        <v>13</v>
      </c>
      <c r="B118" s="1013" t="s">
        <v>795</v>
      </c>
      <c r="C118" s="1013"/>
      <c r="D118" s="312">
        <f>D76-D112</f>
        <v>250131788</v>
      </c>
      <c r="E118" s="312">
        <f t="shared" ref="E118:G118" si="31">E76-E112</f>
        <v>135722092</v>
      </c>
      <c r="F118" s="312">
        <f t="shared" si="31"/>
        <v>385853880</v>
      </c>
      <c r="G118" s="312">
        <f t="shared" si="31"/>
        <v>385860710</v>
      </c>
      <c r="H118" s="592" t="s">
        <v>799</v>
      </c>
    </row>
  </sheetData>
  <mergeCells count="9">
    <mergeCell ref="A1:H1"/>
    <mergeCell ref="B117:C117"/>
    <mergeCell ref="B118:C118"/>
    <mergeCell ref="A116:B116"/>
    <mergeCell ref="A79:D79"/>
    <mergeCell ref="A3:B3"/>
    <mergeCell ref="A78:D78"/>
    <mergeCell ref="A115:D115"/>
    <mergeCell ref="A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headerFooter alignWithMargins="0">
    <oddHeader>&amp;R&amp;"Times New Roman CE,Félkövér dőlt"&amp;11 1. melléklet a 7/2018. (V.31.) önkormányzati rendelethez</oddHeader>
  </headerFooter>
  <rowBreaks count="1" manualBreakCount="1">
    <brk id="77" max="11" man="1"/>
  </rowBreaks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Layout" zoomScaleNormal="100" workbookViewId="0">
      <selection sqref="A1:K1"/>
    </sheetView>
  </sheetViews>
  <sheetFormatPr defaultRowHeight="13" x14ac:dyDescent="0.3"/>
  <cols>
    <col min="1" max="1" width="5.796875" style="136" customWidth="1"/>
    <col min="2" max="2" width="15.296875" style="79" customWidth="1"/>
    <col min="3" max="4" width="9.5" style="79" customWidth="1"/>
    <col min="5" max="5" width="22.19921875" style="79" customWidth="1"/>
    <col min="6" max="7" width="9.296875" style="79"/>
    <col min="8" max="8" width="23.5" style="79" customWidth="1"/>
    <col min="9" max="9" width="23.69921875" style="79" customWidth="1"/>
    <col min="10" max="10" width="9.296875" style="79"/>
    <col min="11" max="11" width="13.5" style="79" customWidth="1"/>
    <col min="12" max="256" width="9.296875" style="79"/>
    <col min="257" max="257" width="5.796875" style="79" customWidth="1"/>
    <col min="258" max="258" width="54.796875" style="79" customWidth="1"/>
    <col min="259" max="260" width="17.69921875" style="79" customWidth="1"/>
    <col min="261" max="512" width="9.296875" style="79"/>
    <col min="513" max="513" width="5.796875" style="79" customWidth="1"/>
    <col min="514" max="514" width="54.796875" style="79" customWidth="1"/>
    <col min="515" max="516" width="17.69921875" style="79" customWidth="1"/>
    <col min="517" max="768" width="9.296875" style="79"/>
    <col min="769" max="769" width="5.796875" style="79" customWidth="1"/>
    <col min="770" max="770" width="54.796875" style="79" customWidth="1"/>
    <col min="771" max="772" width="17.69921875" style="79" customWidth="1"/>
    <col min="773" max="1024" width="9.296875" style="79"/>
    <col min="1025" max="1025" width="5.796875" style="79" customWidth="1"/>
    <col min="1026" max="1026" width="54.796875" style="79" customWidth="1"/>
    <col min="1027" max="1028" width="17.69921875" style="79" customWidth="1"/>
    <col min="1029" max="1280" width="9.296875" style="79"/>
    <col min="1281" max="1281" width="5.796875" style="79" customWidth="1"/>
    <col min="1282" max="1282" width="54.796875" style="79" customWidth="1"/>
    <col min="1283" max="1284" width="17.69921875" style="79" customWidth="1"/>
    <col min="1285" max="1536" width="9.296875" style="79"/>
    <col min="1537" max="1537" width="5.796875" style="79" customWidth="1"/>
    <col min="1538" max="1538" width="54.796875" style="79" customWidth="1"/>
    <col min="1539" max="1540" width="17.69921875" style="79" customWidth="1"/>
    <col min="1541" max="1792" width="9.296875" style="79"/>
    <col min="1793" max="1793" width="5.796875" style="79" customWidth="1"/>
    <col min="1794" max="1794" width="54.796875" style="79" customWidth="1"/>
    <col min="1795" max="1796" width="17.69921875" style="79" customWidth="1"/>
    <col min="1797" max="2048" width="9.296875" style="79"/>
    <col min="2049" max="2049" width="5.796875" style="79" customWidth="1"/>
    <col min="2050" max="2050" width="54.796875" style="79" customWidth="1"/>
    <col min="2051" max="2052" width="17.69921875" style="79" customWidth="1"/>
    <col min="2053" max="2304" width="9.296875" style="79"/>
    <col min="2305" max="2305" width="5.796875" style="79" customWidth="1"/>
    <col min="2306" max="2306" width="54.796875" style="79" customWidth="1"/>
    <col min="2307" max="2308" width="17.69921875" style="79" customWidth="1"/>
    <col min="2309" max="2560" width="9.296875" style="79"/>
    <col min="2561" max="2561" width="5.796875" style="79" customWidth="1"/>
    <col min="2562" max="2562" width="54.796875" style="79" customWidth="1"/>
    <col min="2563" max="2564" width="17.69921875" style="79" customWidth="1"/>
    <col min="2565" max="2816" width="9.296875" style="79"/>
    <col min="2817" max="2817" width="5.796875" style="79" customWidth="1"/>
    <col min="2818" max="2818" width="54.796875" style="79" customWidth="1"/>
    <col min="2819" max="2820" width="17.69921875" style="79" customWidth="1"/>
    <col min="2821" max="3072" width="9.296875" style="79"/>
    <col min="3073" max="3073" width="5.796875" style="79" customWidth="1"/>
    <col min="3074" max="3074" width="54.796875" style="79" customWidth="1"/>
    <col min="3075" max="3076" width="17.69921875" style="79" customWidth="1"/>
    <col min="3077" max="3328" width="9.296875" style="79"/>
    <col min="3329" max="3329" width="5.796875" style="79" customWidth="1"/>
    <col min="3330" max="3330" width="54.796875" style="79" customWidth="1"/>
    <col min="3331" max="3332" width="17.69921875" style="79" customWidth="1"/>
    <col min="3333" max="3584" width="9.296875" style="79"/>
    <col min="3585" max="3585" width="5.796875" style="79" customWidth="1"/>
    <col min="3586" max="3586" width="54.796875" style="79" customWidth="1"/>
    <col min="3587" max="3588" width="17.69921875" style="79" customWidth="1"/>
    <col min="3589" max="3840" width="9.296875" style="79"/>
    <col min="3841" max="3841" width="5.796875" style="79" customWidth="1"/>
    <col min="3842" max="3842" width="54.796875" style="79" customWidth="1"/>
    <col min="3843" max="3844" width="17.69921875" style="79" customWidth="1"/>
    <col min="3845" max="4096" width="9.296875" style="79"/>
    <col min="4097" max="4097" width="5.796875" style="79" customWidth="1"/>
    <col min="4098" max="4098" width="54.796875" style="79" customWidth="1"/>
    <col min="4099" max="4100" width="17.69921875" style="79" customWidth="1"/>
    <col min="4101" max="4352" width="9.296875" style="79"/>
    <col min="4353" max="4353" width="5.796875" style="79" customWidth="1"/>
    <col min="4354" max="4354" width="54.796875" style="79" customWidth="1"/>
    <col min="4355" max="4356" width="17.69921875" style="79" customWidth="1"/>
    <col min="4357" max="4608" width="9.296875" style="79"/>
    <col min="4609" max="4609" width="5.796875" style="79" customWidth="1"/>
    <col min="4610" max="4610" width="54.796875" style="79" customWidth="1"/>
    <col min="4611" max="4612" width="17.69921875" style="79" customWidth="1"/>
    <col min="4613" max="4864" width="9.296875" style="79"/>
    <col min="4865" max="4865" width="5.796875" style="79" customWidth="1"/>
    <col min="4866" max="4866" width="54.796875" style="79" customWidth="1"/>
    <col min="4867" max="4868" width="17.69921875" style="79" customWidth="1"/>
    <col min="4869" max="5120" width="9.296875" style="79"/>
    <col min="5121" max="5121" width="5.796875" style="79" customWidth="1"/>
    <col min="5122" max="5122" width="54.796875" style="79" customWidth="1"/>
    <col min="5123" max="5124" width="17.69921875" style="79" customWidth="1"/>
    <col min="5125" max="5376" width="9.296875" style="79"/>
    <col min="5377" max="5377" width="5.796875" style="79" customWidth="1"/>
    <col min="5378" max="5378" width="54.796875" style="79" customWidth="1"/>
    <col min="5379" max="5380" width="17.69921875" style="79" customWidth="1"/>
    <col min="5381" max="5632" width="9.296875" style="79"/>
    <col min="5633" max="5633" width="5.796875" style="79" customWidth="1"/>
    <col min="5634" max="5634" width="54.796875" style="79" customWidth="1"/>
    <col min="5635" max="5636" width="17.69921875" style="79" customWidth="1"/>
    <col min="5637" max="5888" width="9.296875" style="79"/>
    <col min="5889" max="5889" width="5.796875" style="79" customWidth="1"/>
    <col min="5890" max="5890" width="54.796875" style="79" customWidth="1"/>
    <col min="5891" max="5892" width="17.69921875" style="79" customWidth="1"/>
    <col min="5893" max="6144" width="9.296875" style="79"/>
    <col min="6145" max="6145" width="5.796875" style="79" customWidth="1"/>
    <col min="6146" max="6146" width="54.796875" style="79" customWidth="1"/>
    <col min="6147" max="6148" width="17.69921875" style="79" customWidth="1"/>
    <col min="6149" max="6400" width="9.296875" style="79"/>
    <col min="6401" max="6401" width="5.796875" style="79" customWidth="1"/>
    <col min="6402" max="6402" width="54.796875" style="79" customWidth="1"/>
    <col min="6403" max="6404" width="17.69921875" style="79" customWidth="1"/>
    <col min="6405" max="6656" width="9.296875" style="79"/>
    <col min="6657" max="6657" width="5.796875" style="79" customWidth="1"/>
    <col min="6658" max="6658" width="54.796875" style="79" customWidth="1"/>
    <col min="6659" max="6660" width="17.69921875" style="79" customWidth="1"/>
    <col min="6661" max="6912" width="9.296875" style="79"/>
    <col min="6913" max="6913" width="5.796875" style="79" customWidth="1"/>
    <col min="6914" max="6914" width="54.796875" style="79" customWidth="1"/>
    <col min="6915" max="6916" width="17.69921875" style="79" customWidth="1"/>
    <col min="6917" max="7168" width="9.296875" style="79"/>
    <col min="7169" max="7169" width="5.796875" style="79" customWidth="1"/>
    <col min="7170" max="7170" width="54.796875" style="79" customWidth="1"/>
    <col min="7171" max="7172" width="17.69921875" style="79" customWidth="1"/>
    <col min="7173" max="7424" width="9.296875" style="79"/>
    <col min="7425" max="7425" width="5.796875" style="79" customWidth="1"/>
    <col min="7426" max="7426" width="54.796875" style="79" customWidth="1"/>
    <col min="7427" max="7428" width="17.69921875" style="79" customWidth="1"/>
    <col min="7429" max="7680" width="9.296875" style="79"/>
    <col min="7681" max="7681" width="5.796875" style="79" customWidth="1"/>
    <col min="7682" max="7682" width="54.796875" style="79" customWidth="1"/>
    <col min="7683" max="7684" width="17.69921875" style="79" customWidth="1"/>
    <col min="7685" max="7936" width="9.296875" style="79"/>
    <col min="7937" max="7937" width="5.796875" style="79" customWidth="1"/>
    <col min="7938" max="7938" width="54.796875" style="79" customWidth="1"/>
    <col min="7939" max="7940" width="17.69921875" style="79" customWidth="1"/>
    <col min="7941" max="8192" width="9.296875" style="79"/>
    <col min="8193" max="8193" width="5.796875" style="79" customWidth="1"/>
    <col min="8194" max="8194" width="54.796875" style="79" customWidth="1"/>
    <col min="8195" max="8196" width="17.69921875" style="79" customWidth="1"/>
    <col min="8197" max="8448" width="9.296875" style="79"/>
    <col min="8449" max="8449" width="5.796875" style="79" customWidth="1"/>
    <col min="8450" max="8450" width="54.796875" style="79" customWidth="1"/>
    <col min="8451" max="8452" width="17.69921875" style="79" customWidth="1"/>
    <col min="8453" max="8704" width="9.296875" style="79"/>
    <col min="8705" max="8705" width="5.796875" style="79" customWidth="1"/>
    <col min="8706" max="8706" width="54.796875" style="79" customWidth="1"/>
    <col min="8707" max="8708" width="17.69921875" style="79" customWidth="1"/>
    <col min="8709" max="8960" width="9.296875" style="79"/>
    <col min="8961" max="8961" width="5.796875" style="79" customWidth="1"/>
    <col min="8962" max="8962" width="54.796875" style="79" customWidth="1"/>
    <col min="8963" max="8964" width="17.69921875" style="79" customWidth="1"/>
    <col min="8965" max="9216" width="9.296875" style="79"/>
    <col min="9217" max="9217" width="5.796875" style="79" customWidth="1"/>
    <col min="9218" max="9218" width="54.796875" style="79" customWidth="1"/>
    <col min="9219" max="9220" width="17.69921875" style="79" customWidth="1"/>
    <col min="9221" max="9472" width="9.296875" style="79"/>
    <col min="9473" max="9473" width="5.796875" style="79" customWidth="1"/>
    <col min="9474" max="9474" width="54.796875" style="79" customWidth="1"/>
    <col min="9475" max="9476" width="17.69921875" style="79" customWidth="1"/>
    <col min="9477" max="9728" width="9.296875" style="79"/>
    <col min="9729" max="9729" width="5.796875" style="79" customWidth="1"/>
    <col min="9730" max="9730" width="54.796875" style="79" customWidth="1"/>
    <col min="9731" max="9732" width="17.69921875" style="79" customWidth="1"/>
    <col min="9733" max="9984" width="9.296875" style="79"/>
    <col min="9985" max="9985" width="5.796875" style="79" customWidth="1"/>
    <col min="9986" max="9986" width="54.796875" style="79" customWidth="1"/>
    <col min="9987" max="9988" width="17.69921875" style="79" customWidth="1"/>
    <col min="9989" max="10240" width="9.296875" style="79"/>
    <col min="10241" max="10241" width="5.796875" style="79" customWidth="1"/>
    <col min="10242" max="10242" width="54.796875" style="79" customWidth="1"/>
    <col min="10243" max="10244" width="17.69921875" style="79" customWidth="1"/>
    <col min="10245" max="10496" width="9.296875" style="79"/>
    <col min="10497" max="10497" width="5.796875" style="79" customWidth="1"/>
    <col min="10498" max="10498" width="54.796875" style="79" customWidth="1"/>
    <col min="10499" max="10500" width="17.69921875" style="79" customWidth="1"/>
    <col min="10501" max="10752" width="9.296875" style="79"/>
    <col min="10753" max="10753" width="5.796875" style="79" customWidth="1"/>
    <col min="10754" max="10754" width="54.796875" style="79" customWidth="1"/>
    <col min="10755" max="10756" width="17.69921875" style="79" customWidth="1"/>
    <col min="10757" max="11008" width="9.296875" style="79"/>
    <col min="11009" max="11009" width="5.796875" style="79" customWidth="1"/>
    <col min="11010" max="11010" width="54.796875" style="79" customWidth="1"/>
    <col min="11011" max="11012" width="17.69921875" style="79" customWidth="1"/>
    <col min="11013" max="11264" width="9.296875" style="79"/>
    <col min="11265" max="11265" width="5.796875" style="79" customWidth="1"/>
    <col min="11266" max="11266" width="54.796875" style="79" customWidth="1"/>
    <col min="11267" max="11268" width="17.69921875" style="79" customWidth="1"/>
    <col min="11269" max="11520" width="9.296875" style="79"/>
    <col min="11521" max="11521" width="5.796875" style="79" customWidth="1"/>
    <col min="11522" max="11522" width="54.796875" style="79" customWidth="1"/>
    <col min="11523" max="11524" width="17.69921875" style="79" customWidth="1"/>
    <col min="11525" max="11776" width="9.296875" style="79"/>
    <col min="11777" max="11777" width="5.796875" style="79" customWidth="1"/>
    <col min="11778" max="11778" width="54.796875" style="79" customWidth="1"/>
    <col min="11779" max="11780" width="17.69921875" style="79" customWidth="1"/>
    <col min="11781" max="12032" width="9.296875" style="79"/>
    <col min="12033" max="12033" width="5.796875" style="79" customWidth="1"/>
    <col min="12034" max="12034" width="54.796875" style="79" customWidth="1"/>
    <col min="12035" max="12036" width="17.69921875" style="79" customWidth="1"/>
    <col min="12037" max="12288" width="9.296875" style="79"/>
    <col min="12289" max="12289" width="5.796875" style="79" customWidth="1"/>
    <col min="12290" max="12290" width="54.796875" style="79" customWidth="1"/>
    <col min="12291" max="12292" width="17.69921875" style="79" customWidth="1"/>
    <col min="12293" max="12544" width="9.296875" style="79"/>
    <col min="12545" max="12545" width="5.796875" style="79" customWidth="1"/>
    <col min="12546" max="12546" width="54.796875" style="79" customWidth="1"/>
    <col min="12547" max="12548" width="17.69921875" style="79" customWidth="1"/>
    <col min="12549" max="12800" width="9.296875" style="79"/>
    <col min="12801" max="12801" width="5.796875" style="79" customWidth="1"/>
    <col min="12802" max="12802" width="54.796875" style="79" customWidth="1"/>
    <col min="12803" max="12804" width="17.69921875" style="79" customWidth="1"/>
    <col min="12805" max="13056" width="9.296875" style="79"/>
    <col min="13057" max="13057" width="5.796875" style="79" customWidth="1"/>
    <col min="13058" max="13058" width="54.796875" style="79" customWidth="1"/>
    <col min="13059" max="13060" width="17.69921875" style="79" customWidth="1"/>
    <col min="13061" max="13312" width="9.296875" style="79"/>
    <col min="13313" max="13313" width="5.796875" style="79" customWidth="1"/>
    <col min="13314" max="13314" width="54.796875" style="79" customWidth="1"/>
    <col min="13315" max="13316" width="17.69921875" style="79" customWidth="1"/>
    <col min="13317" max="13568" width="9.296875" style="79"/>
    <col min="13569" max="13569" width="5.796875" style="79" customWidth="1"/>
    <col min="13570" max="13570" width="54.796875" style="79" customWidth="1"/>
    <col min="13571" max="13572" width="17.69921875" style="79" customWidth="1"/>
    <col min="13573" max="13824" width="9.296875" style="79"/>
    <col min="13825" max="13825" width="5.796875" style="79" customWidth="1"/>
    <col min="13826" max="13826" width="54.796875" style="79" customWidth="1"/>
    <col min="13827" max="13828" width="17.69921875" style="79" customWidth="1"/>
    <col min="13829" max="14080" width="9.296875" style="79"/>
    <col min="14081" max="14081" width="5.796875" style="79" customWidth="1"/>
    <col min="14082" max="14082" width="54.796875" style="79" customWidth="1"/>
    <col min="14083" max="14084" width="17.69921875" style="79" customWidth="1"/>
    <col min="14085" max="14336" width="9.296875" style="79"/>
    <col min="14337" max="14337" width="5.796875" style="79" customWidth="1"/>
    <col min="14338" max="14338" width="54.796875" style="79" customWidth="1"/>
    <col min="14339" max="14340" width="17.69921875" style="79" customWidth="1"/>
    <col min="14341" max="14592" width="9.296875" style="79"/>
    <col min="14593" max="14593" width="5.796875" style="79" customWidth="1"/>
    <col min="14594" max="14594" width="54.796875" style="79" customWidth="1"/>
    <col min="14595" max="14596" width="17.69921875" style="79" customWidth="1"/>
    <col min="14597" max="14848" width="9.296875" style="79"/>
    <col min="14849" max="14849" width="5.796875" style="79" customWidth="1"/>
    <col min="14850" max="14850" width="54.796875" style="79" customWidth="1"/>
    <col min="14851" max="14852" width="17.69921875" style="79" customWidth="1"/>
    <col min="14853" max="15104" width="9.296875" style="79"/>
    <col min="15105" max="15105" width="5.796875" style="79" customWidth="1"/>
    <col min="15106" max="15106" width="54.796875" style="79" customWidth="1"/>
    <col min="15107" max="15108" width="17.69921875" style="79" customWidth="1"/>
    <col min="15109" max="15360" width="9.296875" style="79"/>
    <col min="15361" max="15361" width="5.796875" style="79" customWidth="1"/>
    <col min="15362" max="15362" width="54.796875" style="79" customWidth="1"/>
    <col min="15363" max="15364" width="17.69921875" style="79" customWidth="1"/>
    <col min="15365" max="15616" width="9.296875" style="79"/>
    <col min="15617" max="15617" width="5.796875" style="79" customWidth="1"/>
    <col min="15618" max="15618" width="54.796875" style="79" customWidth="1"/>
    <col min="15619" max="15620" width="17.69921875" style="79" customWidth="1"/>
    <col min="15621" max="15872" width="9.296875" style="79"/>
    <col min="15873" max="15873" width="5.796875" style="79" customWidth="1"/>
    <col min="15874" max="15874" width="54.796875" style="79" customWidth="1"/>
    <col min="15875" max="15876" width="17.69921875" style="79" customWidth="1"/>
    <col min="15877" max="16128" width="9.296875" style="79"/>
    <col min="16129" max="16129" width="5.796875" style="79" customWidth="1"/>
    <col min="16130" max="16130" width="54.796875" style="79" customWidth="1"/>
    <col min="16131" max="16132" width="17.69921875" style="79" customWidth="1"/>
    <col min="16133" max="16384" width="9.296875" style="79"/>
  </cols>
  <sheetData>
    <row r="1" spans="1:11" ht="44.25" customHeight="1" x14ac:dyDescent="0.3">
      <c r="A1" s="1085" t="s">
        <v>638</v>
      </c>
      <c r="B1" s="1085"/>
      <c r="C1" s="1085"/>
      <c r="D1" s="1085"/>
      <c r="E1" s="1085"/>
      <c r="F1" s="1085"/>
      <c r="G1" s="1085"/>
      <c r="H1" s="1085"/>
      <c r="I1" s="1085"/>
      <c r="J1" s="1085"/>
      <c r="K1" s="1085"/>
    </row>
    <row r="2" spans="1:11" x14ac:dyDescent="0.3">
      <c r="A2" s="178"/>
      <c r="B2" s="178"/>
      <c r="C2" s="178"/>
      <c r="D2" s="178"/>
      <c r="E2" s="178"/>
      <c r="F2" s="178"/>
      <c r="G2" s="178"/>
      <c r="H2" s="178"/>
      <c r="I2" s="178"/>
      <c r="J2" s="1086" t="s">
        <v>671</v>
      </c>
      <c r="K2" s="1086"/>
    </row>
    <row r="3" spans="1:11" ht="27" customHeight="1" x14ac:dyDescent="0.3">
      <c r="A3" s="1087" t="s">
        <v>404</v>
      </c>
      <c r="B3" s="1087" t="s">
        <v>672</v>
      </c>
      <c r="C3" s="1087"/>
      <c r="D3" s="1087"/>
      <c r="E3" s="1087" t="s">
        <v>673</v>
      </c>
      <c r="F3" s="1087"/>
      <c r="G3" s="1087"/>
      <c r="H3" s="1087" t="s">
        <v>674</v>
      </c>
      <c r="I3" s="1087"/>
      <c r="J3" s="1087"/>
      <c r="K3" s="1088" t="s">
        <v>405</v>
      </c>
    </row>
    <row r="4" spans="1:11" ht="26" x14ac:dyDescent="0.3">
      <c r="A4" s="1087"/>
      <c r="B4" s="452" t="s">
        <v>675</v>
      </c>
      <c r="C4" s="452" t="s">
        <v>676</v>
      </c>
      <c r="D4" s="452" t="s">
        <v>677</v>
      </c>
      <c r="E4" s="452" t="s">
        <v>675</v>
      </c>
      <c r="F4" s="452" t="s">
        <v>676</v>
      </c>
      <c r="G4" s="452" t="s">
        <v>677</v>
      </c>
      <c r="H4" s="452" t="s">
        <v>675</v>
      </c>
      <c r="I4" s="452" t="s">
        <v>676</v>
      </c>
      <c r="J4" s="452" t="s">
        <v>677</v>
      </c>
      <c r="K4" s="1088"/>
    </row>
    <row r="5" spans="1:11" ht="33.75" customHeight="1" x14ac:dyDescent="0.3">
      <c r="A5" s="453" t="s">
        <v>10</v>
      </c>
      <c r="B5" s="454" t="s">
        <v>678</v>
      </c>
      <c r="C5" s="454"/>
      <c r="D5" s="454"/>
      <c r="E5" s="455" t="s">
        <v>679</v>
      </c>
      <c r="F5" s="456" t="s">
        <v>680</v>
      </c>
      <c r="G5" s="457">
        <v>7568</v>
      </c>
      <c r="H5" s="455" t="s">
        <v>681</v>
      </c>
      <c r="I5" s="458" t="s">
        <v>682</v>
      </c>
      <c r="J5" s="457">
        <v>2496</v>
      </c>
      <c r="K5" s="457">
        <f>SUM(J5,G5)</f>
        <v>10064</v>
      </c>
    </row>
    <row r="6" spans="1:11" ht="33.75" customHeight="1" x14ac:dyDescent="0.3">
      <c r="A6" s="1079" t="s">
        <v>13</v>
      </c>
      <c r="B6" s="1081" t="s">
        <v>683</v>
      </c>
      <c r="C6" s="1083"/>
      <c r="D6" s="1083"/>
      <c r="E6" s="459" t="s">
        <v>684</v>
      </c>
      <c r="F6" s="456">
        <v>50</v>
      </c>
      <c r="G6" s="457">
        <v>1651</v>
      </c>
      <c r="H6" s="460"/>
      <c r="I6" s="460"/>
      <c r="J6" s="461"/>
      <c r="K6" s="457">
        <f>SUM(G6:J6)</f>
        <v>1651</v>
      </c>
    </row>
    <row r="7" spans="1:11" ht="33.75" customHeight="1" x14ac:dyDescent="0.3">
      <c r="A7" s="1080"/>
      <c r="B7" s="1082"/>
      <c r="C7" s="1084"/>
      <c r="D7" s="1084"/>
      <c r="E7" s="459" t="s">
        <v>685</v>
      </c>
      <c r="F7" s="456">
        <v>50</v>
      </c>
      <c r="G7" s="457">
        <v>7824</v>
      </c>
      <c r="H7" s="460"/>
      <c r="I7" s="460"/>
      <c r="J7" s="461"/>
      <c r="K7" s="457">
        <f t="shared" ref="K7:K8" si="0">SUM(G7:J7)</f>
        <v>7824</v>
      </c>
    </row>
    <row r="8" spans="1:11" ht="33.75" customHeight="1" x14ac:dyDescent="0.3">
      <c r="A8" s="1080"/>
      <c r="B8" s="1082"/>
      <c r="C8" s="1084"/>
      <c r="D8" s="1084"/>
      <c r="E8" s="459" t="s">
        <v>686</v>
      </c>
      <c r="F8" s="456">
        <v>50</v>
      </c>
      <c r="G8" s="457">
        <v>644</v>
      </c>
      <c r="H8" s="460"/>
      <c r="I8" s="460"/>
      <c r="J8" s="461"/>
      <c r="K8" s="457">
        <f t="shared" si="0"/>
        <v>644</v>
      </c>
    </row>
    <row r="9" spans="1:11" ht="36.75" customHeight="1" x14ac:dyDescent="0.3">
      <c r="A9" s="453" t="s">
        <v>16</v>
      </c>
      <c r="B9" s="462" t="s">
        <v>687</v>
      </c>
      <c r="C9" s="453"/>
      <c r="D9" s="453"/>
      <c r="E9" s="463" t="s">
        <v>688</v>
      </c>
      <c r="F9" s="456">
        <v>25</v>
      </c>
      <c r="G9" s="457">
        <v>2937</v>
      </c>
      <c r="H9" s="463" t="s">
        <v>689</v>
      </c>
      <c r="I9" s="455" t="s">
        <v>690</v>
      </c>
      <c r="J9" s="457">
        <v>3000</v>
      </c>
      <c r="K9" s="457">
        <f>SUM(G9+J9)</f>
        <v>5937</v>
      </c>
    </row>
    <row r="10" spans="1:11" ht="27" customHeight="1" x14ac:dyDescent="0.3">
      <c r="A10" s="464"/>
      <c r="B10" s="464" t="s">
        <v>535</v>
      </c>
      <c r="C10" s="464"/>
      <c r="D10" s="464"/>
      <c r="E10" s="464"/>
      <c r="F10" s="464"/>
      <c r="G10" s="465">
        <f>SUM(G5:G9)</f>
        <v>20624</v>
      </c>
      <c r="H10" s="466"/>
      <c r="I10" s="466"/>
      <c r="J10" s="465">
        <f>SUM(J5:J9)</f>
        <v>5496</v>
      </c>
      <c r="K10" s="465">
        <f>SUM(K5:K9)</f>
        <v>26120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13. melléklet a 7/2018. (V.31.)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view="pageLayout" topLeftCell="J1" zoomScaleNormal="100" workbookViewId="0">
      <selection activeCell="L32" sqref="L32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089" t="s">
        <v>586</v>
      </c>
      <c r="B1" s="1090"/>
      <c r="C1" s="1090"/>
      <c r="D1" s="1090"/>
      <c r="E1" s="1090"/>
      <c r="F1" s="1090"/>
      <c r="G1" s="1090"/>
      <c r="H1" s="1090"/>
    </row>
    <row r="2" spans="1:8" ht="12.75" customHeight="1" x14ac:dyDescent="0.3">
      <c r="A2" s="143"/>
      <c r="B2" s="144"/>
      <c r="C2" s="144"/>
      <c r="D2" s="144"/>
      <c r="E2" s="144"/>
      <c r="F2" s="144"/>
      <c r="G2" s="144"/>
      <c r="H2" s="145" t="s">
        <v>581</v>
      </c>
    </row>
    <row r="3" spans="1:8" ht="57" customHeight="1" x14ac:dyDescent="0.3">
      <c r="A3" s="188" t="s">
        <v>404</v>
      </c>
      <c r="B3" s="189" t="s">
        <v>582</v>
      </c>
      <c r="C3" s="189" t="s">
        <v>587</v>
      </c>
      <c r="D3" s="189" t="s">
        <v>583</v>
      </c>
      <c r="E3" s="189" t="s">
        <v>584</v>
      </c>
      <c r="F3" s="189" t="s">
        <v>585</v>
      </c>
      <c r="G3" s="189" t="s">
        <v>588</v>
      </c>
      <c r="H3" s="190" t="s">
        <v>405</v>
      </c>
    </row>
    <row r="4" spans="1:8" ht="48" customHeight="1" x14ac:dyDescent="0.3">
      <c r="A4" s="180" t="s">
        <v>10</v>
      </c>
      <c r="B4" s="181" t="s">
        <v>427</v>
      </c>
      <c r="C4" s="191"/>
      <c r="D4" s="191">
        <v>6.75</v>
      </c>
      <c r="E4" s="191">
        <v>0</v>
      </c>
      <c r="F4" s="191"/>
      <c r="G4" s="191">
        <v>3</v>
      </c>
      <c r="H4" s="193">
        <f>SUM(C4:G4)</f>
        <v>9.75</v>
      </c>
    </row>
    <row r="5" spans="1:8" ht="48" customHeight="1" x14ac:dyDescent="0.3">
      <c r="A5" s="182" t="s">
        <v>13</v>
      </c>
      <c r="B5" s="183" t="s">
        <v>400</v>
      </c>
      <c r="C5" s="192">
        <v>50</v>
      </c>
      <c r="D5" s="192"/>
      <c r="E5" s="192"/>
      <c r="F5" s="192">
        <v>7</v>
      </c>
      <c r="G5" s="192"/>
      <c r="H5" s="194">
        <f>SUM(C5:G5)</f>
        <v>57</v>
      </c>
    </row>
    <row r="6" spans="1:8" ht="48" customHeight="1" x14ac:dyDescent="0.3">
      <c r="A6" s="184" t="s">
        <v>16</v>
      </c>
      <c r="B6" s="185" t="s">
        <v>381</v>
      </c>
      <c r="C6" s="195"/>
      <c r="D6" s="196"/>
      <c r="E6" s="196"/>
      <c r="F6" s="196">
        <v>5</v>
      </c>
      <c r="G6" s="196">
        <v>207</v>
      </c>
      <c r="H6" s="193">
        <f>SUM(C6:G6)</f>
        <v>212</v>
      </c>
    </row>
    <row r="7" spans="1:8" ht="48" customHeight="1" x14ac:dyDescent="0.3">
      <c r="A7" s="186"/>
      <c r="B7" s="187" t="s">
        <v>405</v>
      </c>
      <c r="C7" s="197">
        <f>SUM(C4:C6)</f>
        <v>50</v>
      </c>
      <c r="D7" s="197">
        <f t="shared" ref="D7:G7" si="0">SUM(D4:D6)</f>
        <v>6.75</v>
      </c>
      <c r="E7" s="197">
        <f t="shared" si="0"/>
        <v>0</v>
      </c>
      <c r="F7" s="197">
        <f t="shared" si="0"/>
        <v>12</v>
      </c>
      <c r="G7" s="197">
        <f t="shared" si="0"/>
        <v>210</v>
      </c>
      <c r="H7" s="198">
        <f>SUM(H4:H6)</f>
        <v>278.75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7/2018. (V.31.)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Layout" zoomScaleNormal="100" workbookViewId="0">
      <selection sqref="A1:C1"/>
    </sheetView>
  </sheetViews>
  <sheetFormatPr defaultColWidth="9.296875" defaultRowHeight="14" x14ac:dyDescent="0.3"/>
  <cols>
    <col min="1" max="1" width="11.5" style="123" customWidth="1"/>
    <col min="2" max="2" width="59.5" style="122" customWidth="1"/>
    <col min="3" max="3" width="23.69921875" style="135" customWidth="1"/>
    <col min="4" max="6" width="17.796875" style="122" customWidth="1"/>
    <col min="7" max="8" width="19" style="122" customWidth="1"/>
    <col min="9" max="16384" width="9.296875" style="122"/>
  </cols>
  <sheetData>
    <row r="1" spans="1:5" ht="42" customHeight="1" x14ac:dyDescent="0.3">
      <c r="A1" s="1091" t="s">
        <v>623</v>
      </c>
      <c r="B1" s="1092"/>
      <c r="C1" s="1092"/>
    </row>
    <row r="2" spans="1:5" ht="15" customHeight="1" x14ac:dyDescent="0.3">
      <c r="C2" s="124"/>
    </row>
    <row r="3" spans="1:5" s="125" customFormat="1" ht="25.5" customHeight="1" x14ac:dyDescent="0.3">
      <c r="A3" s="1093" t="s">
        <v>552</v>
      </c>
      <c r="B3" s="1093"/>
      <c r="C3" s="1093"/>
    </row>
    <row r="4" spans="1:5" x14ac:dyDescent="0.3">
      <c r="A4" s="126"/>
      <c r="B4" s="127"/>
      <c r="C4" s="128" t="s">
        <v>1</v>
      </c>
    </row>
    <row r="5" spans="1:5" s="129" customFormat="1" ht="27.75" customHeight="1" x14ac:dyDescent="0.3">
      <c r="A5" s="467" t="s">
        <v>554</v>
      </c>
      <c r="B5" s="467" t="s">
        <v>555</v>
      </c>
      <c r="C5" s="468" t="s">
        <v>560</v>
      </c>
    </row>
    <row r="6" spans="1:5" ht="34.5" customHeight="1" x14ac:dyDescent="0.3">
      <c r="A6" s="469" t="s">
        <v>10</v>
      </c>
      <c r="B6" s="470" t="s">
        <v>556</v>
      </c>
      <c r="C6" s="471">
        <v>20000000</v>
      </c>
    </row>
    <row r="7" spans="1:5" ht="25.5" customHeight="1" x14ac:dyDescent="0.3">
      <c r="A7" s="469" t="s">
        <v>13</v>
      </c>
      <c r="B7" s="472" t="s">
        <v>557</v>
      </c>
      <c r="C7" s="471">
        <v>77973671</v>
      </c>
    </row>
    <row r="8" spans="1:5" s="130" customFormat="1" ht="25.5" customHeight="1" x14ac:dyDescent="0.3">
      <c r="A8" s="467" t="s">
        <v>16</v>
      </c>
      <c r="B8" s="473" t="s">
        <v>405</v>
      </c>
      <c r="C8" s="474">
        <f>SUM(C6:C7)</f>
        <v>97973671</v>
      </c>
    </row>
    <row r="10" spans="1:5" s="125" customFormat="1" ht="25.5" customHeight="1" x14ac:dyDescent="0.3">
      <c r="A10" s="1093" t="s">
        <v>558</v>
      </c>
      <c r="B10" s="1093"/>
      <c r="C10" s="1093"/>
    </row>
    <row r="11" spans="1:5" x14ac:dyDescent="0.3">
      <c r="A11" s="126"/>
      <c r="B11" s="127"/>
      <c r="C11" s="131"/>
    </row>
    <row r="12" spans="1:5" s="129" customFormat="1" ht="27.75" customHeight="1" x14ac:dyDescent="0.3">
      <c r="A12" s="467" t="s">
        <v>554</v>
      </c>
      <c r="B12" s="467" t="s">
        <v>555</v>
      </c>
      <c r="C12" s="468" t="s">
        <v>560</v>
      </c>
    </row>
    <row r="13" spans="1:5" ht="50.25" customHeight="1" x14ac:dyDescent="0.3">
      <c r="A13" s="469" t="s">
        <v>10</v>
      </c>
      <c r="B13" s="475" t="s">
        <v>691</v>
      </c>
      <c r="C13" s="471">
        <v>17146343</v>
      </c>
      <c r="E13" s="132"/>
    </row>
    <row r="14" spans="1:5" ht="25.5" customHeight="1" x14ac:dyDescent="0.3">
      <c r="A14" s="467" t="s">
        <v>13</v>
      </c>
      <c r="B14" s="476" t="s">
        <v>405</v>
      </c>
      <c r="C14" s="477">
        <f>SUM(C13:C13)</f>
        <v>17146343</v>
      </c>
    </row>
    <row r="15" spans="1:5" ht="25.5" customHeight="1" x14ac:dyDescent="0.3">
      <c r="A15" s="467" t="s">
        <v>16</v>
      </c>
      <c r="B15" s="478" t="s">
        <v>559</v>
      </c>
      <c r="C15" s="477">
        <f>SUM(C8+C14)</f>
        <v>115120014</v>
      </c>
    </row>
    <row r="16" spans="1:5" ht="17.5" x14ac:dyDescent="0.35">
      <c r="A16" s="133"/>
      <c r="B16" s="134"/>
      <c r="C16" s="134"/>
      <c r="D16" s="134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7/2018. (V.31.)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Layout" zoomScaleNormal="100" workbookViewId="0">
      <selection sqref="A1:F1"/>
    </sheetView>
  </sheetViews>
  <sheetFormatPr defaultRowHeight="15.5" x14ac:dyDescent="0.35"/>
  <cols>
    <col min="1" max="1" width="7" style="8" customWidth="1"/>
    <col min="2" max="2" width="58.69921875" style="8" customWidth="1"/>
    <col min="3" max="3" width="15.19921875" style="9" customWidth="1"/>
    <col min="4" max="6" width="15.19921875" style="8" customWidth="1"/>
    <col min="7" max="7" width="9" style="1" customWidth="1"/>
    <col min="8" max="9" width="9.296875" style="1"/>
    <col min="10" max="10" width="14.69921875" style="1" bestFit="1" customWidth="1"/>
    <col min="11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094" t="s">
        <v>610</v>
      </c>
      <c r="B1" s="1095"/>
      <c r="C1" s="1095"/>
      <c r="D1" s="1095"/>
      <c r="E1" s="1095"/>
      <c r="F1" s="1095"/>
    </row>
    <row r="3" spans="1:6" ht="16" customHeight="1" x14ac:dyDescent="0.35">
      <c r="A3" s="1015" t="s">
        <v>561</v>
      </c>
      <c r="B3" s="1015"/>
      <c r="C3" s="1015"/>
      <c r="D3" s="1015"/>
      <c r="E3" s="1015"/>
      <c r="F3" s="1015"/>
    </row>
    <row r="4" spans="1:6" ht="16" customHeight="1" x14ac:dyDescent="0.35">
      <c r="A4" s="1014"/>
      <c r="B4" s="1014"/>
      <c r="D4" s="103"/>
      <c r="E4" s="103"/>
      <c r="F4" s="3" t="s">
        <v>1</v>
      </c>
    </row>
    <row r="5" spans="1:6" ht="31.5" customHeight="1" x14ac:dyDescent="0.35">
      <c r="A5" s="87" t="s">
        <v>2</v>
      </c>
      <c r="B5" s="87" t="s">
        <v>3</v>
      </c>
      <c r="C5" s="87" t="s">
        <v>562</v>
      </c>
      <c r="D5" s="87" t="s">
        <v>563</v>
      </c>
      <c r="E5" s="87" t="s">
        <v>564</v>
      </c>
      <c r="F5" s="87" t="s">
        <v>565</v>
      </c>
    </row>
    <row r="6" spans="1:6" s="4" customFormat="1" ht="12" customHeight="1" x14ac:dyDescent="0.25">
      <c r="A6" s="479" t="s">
        <v>6</v>
      </c>
      <c r="B6" s="479" t="s">
        <v>7</v>
      </c>
      <c r="C6" s="479" t="s">
        <v>8</v>
      </c>
      <c r="D6" s="479" t="s">
        <v>9</v>
      </c>
      <c r="E6" s="479" t="s">
        <v>269</v>
      </c>
      <c r="F6" s="479" t="s">
        <v>472</v>
      </c>
    </row>
    <row r="7" spans="1:6" s="213" customFormat="1" ht="23.25" customHeight="1" x14ac:dyDescent="0.3">
      <c r="A7" s="480" t="s">
        <v>10</v>
      </c>
      <c r="B7" s="481" t="s">
        <v>566</v>
      </c>
      <c r="C7" s="482">
        <v>1336669690</v>
      </c>
      <c r="D7" s="482">
        <v>1050000000</v>
      </c>
      <c r="E7" s="482">
        <f t="shared" ref="E7" si="0">D7*110%</f>
        <v>1155000000</v>
      </c>
      <c r="F7" s="482">
        <v>1160000000</v>
      </c>
    </row>
    <row r="8" spans="1:6" s="213" customFormat="1" ht="23.25" customHeight="1" x14ac:dyDescent="0.3">
      <c r="A8" s="480" t="s">
        <v>13</v>
      </c>
      <c r="B8" s="483" t="s">
        <v>567</v>
      </c>
      <c r="C8" s="482">
        <v>2590419970</v>
      </c>
      <c r="D8" s="482"/>
      <c r="E8" s="482"/>
      <c r="F8" s="482"/>
    </row>
    <row r="9" spans="1:6" s="213" customFormat="1" ht="23.25" customHeight="1" x14ac:dyDescent="0.3">
      <c r="A9" s="480" t="s">
        <v>16</v>
      </c>
      <c r="B9" s="483" t="s">
        <v>108</v>
      </c>
      <c r="C9" s="482">
        <v>804522844</v>
      </c>
      <c r="D9" s="482">
        <v>780000000</v>
      </c>
      <c r="E9" s="482">
        <v>780000000</v>
      </c>
      <c r="F9" s="482">
        <v>800000000</v>
      </c>
    </row>
    <row r="10" spans="1:6" s="213" customFormat="1" ht="23.25" customHeight="1" x14ac:dyDescent="0.3">
      <c r="A10" s="480" t="s">
        <v>19</v>
      </c>
      <c r="B10" s="483" t="s">
        <v>568</v>
      </c>
      <c r="C10" s="482">
        <v>189878025</v>
      </c>
      <c r="D10" s="482">
        <v>190000000</v>
      </c>
      <c r="E10" s="482">
        <v>193000000</v>
      </c>
      <c r="F10" s="482">
        <v>198000000</v>
      </c>
    </row>
    <row r="11" spans="1:6" s="213" customFormat="1" ht="23.25" customHeight="1" x14ac:dyDescent="0.3">
      <c r="A11" s="480" t="s">
        <v>22</v>
      </c>
      <c r="B11" s="483" t="s">
        <v>453</v>
      </c>
      <c r="C11" s="482">
        <v>19544321</v>
      </c>
      <c r="D11" s="482">
        <v>900030</v>
      </c>
      <c r="E11" s="482"/>
      <c r="F11" s="482"/>
    </row>
    <row r="12" spans="1:6" s="213" customFormat="1" ht="23.25" customHeight="1" x14ac:dyDescent="0.3">
      <c r="A12" s="480" t="s">
        <v>25</v>
      </c>
      <c r="B12" s="483" t="s">
        <v>569</v>
      </c>
      <c r="C12" s="482">
        <v>2358497</v>
      </c>
      <c r="D12" s="482"/>
      <c r="E12" s="482"/>
      <c r="F12" s="482"/>
    </row>
    <row r="13" spans="1:6" s="213" customFormat="1" ht="23.25" customHeight="1" x14ac:dyDescent="0.3">
      <c r="A13" s="480" t="s">
        <v>28</v>
      </c>
      <c r="B13" s="481" t="s">
        <v>570</v>
      </c>
      <c r="C13" s="482">
        <v>1311275</v>
      </c>
      <c r="D13" s="482"/>
      <c r="E13" s="482"/>
      <c r="F13" s="482"/>
    </row>
    <row r="14" spans="1:6" s="213" customFormat="1" ht="14" x14ac:dyDescent="0.3">
      <c r="A14" s="480" t="s">
        <v>31</v>
      </c>
      <c r="B14" s="483" t="s">
        <v>724</v>
      </c>
      <c r="C14" s="484">
        <f>SUM(C7:C13)</f>
        <v>4944704622</v>
      </c>
      <c r="D14" s="484">
        <f>SUM(D7:D13)</f>
        <v>2020900030</v>
      </c>
      <c r="E14" s="484">
        <f>SUM(E7:E13)</f>
        <v>2128000000</v>
      </c>
      <c r="F14" s="484">
        <f>SUM(F7:F13)</f>
        <v>2158000000</v>
      </c>
    </row>
    <row r="15" spans="1:6" s="213" customFormat="1" ht="23.25" customHeight="1" x14ac:dyDescent="0.3">
      <c r="A15" s="480" t="s">
        <v>34</v>
      </c>
      <c r="B15" s="483" t="s">
        <v>571</v>
      </c>
      <c r="C15" s="485">
        <v>443316718</v>
      </c>
      <c r="D15" s="485">
        <v>80000000</v>
      </c>
      <c r="E15" s="485">
        <v>10000000</v>
      </c>
      <c r="F15" s="485">
        <v>10000000</v>
      </c>
    </row>
    <row r="16" spans="1:6" s="5" customFormat="1" ht="27" customHeight="1" x14ac:dyDescent="0.3">
      <c r="A16" s="87" t="s">
        <v>37</v>
      </c>
      <c r="B16" s="94" t="s">
        <v>572</v>
      </c>
      <c r="C16" s="95">
        <f>+C14+C15</f>
        <v>5388021340</v>
      </c>
      <c r="D16" s="95">
        <f>+D14+D15</f>
        <v>2100900030</v>
      </c>
      <c r="E16" s="95">
        <f>+E14+E15</f>
        <v>2138000000</v>
      </c>
      <c r="F16" s="95">
        <f>+F14+F15</f>
        <v>2168000000</v>
      </c>
    </row>
    <row r="17" spans="1:7" s="5" customFormat="1" ht="12" customHeight="1" x14ac:dyDescent="0.3">
      <c r="A17" s="137"/>
      <c r="B17" s="138"/>
      <c r="C17" s="139"/>
      <c r="D17" s="140"/>
      <c r="E17" s="140"/>
      <c r="F17" s="141"/>
    </row>
    <row r="18" spans="1:7" s="5" customFormat="1" ht="24" customHeight="1" x14ac:dyDescent="0.3">
      <c r="A18" s="1015" t="s">
        <v>508</v>
      </c>
      <c r="B18" s="1015"/>
      <c r="C18" s="1015"/>
      <c r="D18" s="1015"/>
      <c r="E18" s="1015"/>
      <c r="F18" s="1015"/>
    </row>
    <row r="19" spans="1:7" s="5" customFormat="1" ht="12" customHeight="1" x14ac:dyDescent="0.3">
      <c r="A19" s="1096"/>
      <c r="B19" s="1096"/>
      <c r="C19" s="9"/>
      <c r="D19" s="103"/>
      <c r="E19" s="103"/>
      <c r="F19" s="3" t="s">
        <v>420</v>
      </c>
    </row>
    <row r="20" spans="1:7" s="5" customFormat="1" ht="31.5" customHeight="1" x14ac:dyDescent="0.3">
      <c r="A20" s="87" t="s">
        <v>2</v>
      </c>
      <c r="B20" s="87" t="s">
        <v>3</v>
      </c>
      <c r="C20" s="87" t="s">
        <v>562</v>
      </c>
      <c r="D20" s="87" t="s">
        <v>563</v>
      </c>
      <c r="E20" s="87" t="s">
        <v>564</v>
      </c>
      <c r="F20" s="87" t="s">
        <v>565</v>
      </c>
      <c r="G20" s="142"/>
    </row>
    <row r="21" spans="1:7" s="5" customFormat="1" ht="12" customHeight="1" x14ac:dyDescent="0.3">
      <c r="A21" s="479" t="s">
        <v>6</v>
      </c>
      <c r="B21" s="479" t="s">
        <v>7</v>
      </c>
      <c r="C21" s="479" t="s">
        <v>8</v>
      </c>
      <c r="D21" s="479" t="s">
        <v>9</v>
      </c>
      <c r="E21" s="479" t="s">
        <v>269</v>
      </c>
      <c r="F21" s="479" t="s">
        <v>472</v>
      </c>
      <c r="G21" s="142"/>
    </row>
    <row r="22" spans="1:7" s="5" customFormat="1" ht="23.25" customHeight="1" x14ac:dyDescent="0.3">
      <c r="A22" s="308" t="s">
        <v>10</v>
      </c>
      <c r="B22" s="486" t="s">
        <v>573</v>
      </c>
      <c r="C22" s="269">
        <v>4095705652</v>
      </c>
      <c r="D22" s="269">
        <v>2050521569</v>
      </c>
      <c r="E22" s="269">
        <v>2086215320</v>
      </c>
      <c r="F22" s="269">
        <v>2128000000</v>
      </c>
      <c r="G22" s="142"/>
    </row>
    <row r="23" spans="1:7" ht="23.25" customHeight="1" x14ac:dyDescent="0.35">
      <c r="A23" s="308" t="s">
        <v>13</v>
      </c>
      <c r="B23" s="432" t="s">
        <v>574</v>
      </c>
      <c r="C23" s="281">
        <f>+C24+C25+C26</f>
        <v>1234852850</v>
      </c>
      <c r="D23" s="281">
        <f>+D24+D25+D26</f>
        <v>25000000</v>
      </c>
      <c r="E23" s="281">
        <f>+E24+E25+E26</f>
        <v>50000000</v>
      </c>
      <c r="F23" s="281">
        <f>+F24+F25+F26</f>
        <v>40000000</v>
      </c>
    </row>
    <row r="24" spans="1:7" ht="23.25" customHeight="1" x14ac:dyDescent="0.35">
      <c r="A24" s="291" t="s">
        <v>575</v>
      </c>
      <c r="B24" s="308" t="s">
        <v>231</v>
      </c>
      <c r="C24" s="269">
        <v>1031172805</v>
      </c>
      <c r="D24" s="269">
        <v>10000000</v>
      </c>
      <c r="E24" s="269">
        <v>20000000</v>
      </c>
      <c r="F24" s="269">
        <v>20000000</v>
      </c>
    </row>
    <row r="25" spans="1:7" ht="23.25" customHeight="1" x14ac:dyDescent="0.35">
      <c r="A25" s="291" t="s">
        <v>576</v>
      </c>
      <c r="B25" s="308" t="s">
        <v>233</v>
      </c>
      <c r="C25" s="269">
        <v>180949397</v>
      </c>
      <c r="D25" s="269">
        <v>10000000</v>
      </c>
      <c r="E25" s="269">
        <v>25000000</v>
      </c>
      <c r="F25" s="269">
        <v>15000000</v>
      </c>
    </row>
    <row r="26" spans="1:7" ht="23.25" customHeight="1" x14ac:dyDescent="0.35">
      <c r="A26" s="291" t="s">
        <v>577</v>
      </c>
      <c r="B26" s="487" t="s">
        <v>235</v>
      </c>
      <c r="C26" s="269">
        <v>22730648</v>
      </c>
      <c r="D26" s="269">
        <v>5000000</v>
      </c>
      <c r="E26" s="269">
        <v>5000000</v>
      </c>
      <c r="F26" s="269">
        <v>5000000</v>
      </c>
    </row>
    <row r="27" spans="1:7" ht="23.25" customHeight="1" x14ac:dyDescent="0.35">
      <c r="A27" s="308" t="s">
        <v>16</v>
      </c>
      <c r="B27" s="434" t="s">
        <v>578</v>
      </c>
      <c r="C27" s="293">
        <f>+C22+C23</f>
        <v>5330558502</v>
      </c>
      <c r="D27" s="293">
        <f>+D22+D23</f>
        <v>2075521569</v>
      </c>
      <c r="E27" s="293">
        <f>+E22+E23</f>
        <v>2136215320</v>
      </c>
      <c r="F27" s="293">
        <f>+F22+F23</f>
        <v>2168000000</v>
      </c>
    </row>
    <row r="28" spans="1:7" ht="23.25" customHeight="1" x14ac:dyDescent="0.35">
      <c r="A28" s="308" t="s">
        <v>19</v>
      </c>
      <c r="B28" s="434" t="s">
        <v>579</v>
      </c>
      <c r="C28" s="488">
        <v>57462838</v>
      </c>
      <c r="D28" s="488">
        <v>25378461</v>
      </c>
      <c r="E28" s="488">
        <v>1784680</v>
      </c>
      <c r="F28" s="488"/>
      <c r="G28" s="7"/>
    </row>
    <row r="29" spans="1:7" s="5" customFormat="1" ht="23.25" customHeight="1" x14ac:dyDescent="0.3">
      <c r="A29" s="311" t="s">
        <v>22</v>
      </c>
      <c r="B29" s="311" t="s">
        <v>580</v>
      </c>
      <c r="C29" s="310">
        <f>+C27+C28</f>
        <v>5388021340</v>
      </c>
      <c r="D29" s="310">
        <f>+D27+D28</f>
        <v>2100900030</v>
      </c>
      <c r="E29" s="310">
        <f>+E27+E28</f>
        <v>2138000000</v>
      </c>
      <c r="F29" s="310">
        <f>+F27+F28</f>
        <v>2168000000</v>
      </c>
    </row>
    <row r="30" spans="1:7" x14ac:dyDescent="0.35">
      <c r="C30" s="8"/>
    </row>
    <row r="31" spans="1:7" x14ac:dyDescent="0.35">
      <c r="C31" s="8"/>
    </row>
    <row r="32" spans="1:7" x14ac:dyDescent="0.35">
      <c r="C32" s="8"/>
    </row>
    <row r="33" spans="3:8" ht="16.5" customHeight="1" x14ac:dyDescent="0.35">
      <c r="C33" s="8"/>
    </row>
    <row r="34" spans="3:8" x14ac:dyDescent="0.35">
      <c r="C34" s="8"/>
    </row>
    <row r="35" spans="3:8" x14ac:dyDescent="0.35">
      <c r="C35" s="8"/>
    </row>
    <row r="36" spans="3:8" s="8" customFormat="1" x14ac:dyDescent="0.35">
      <c r="G36" s="1"/>
      <c r="H36" s="1"/>
    </row>
    <row r="37" spans="3:8" s="8" customFormat="1" x14ac:dyDescent="0.35">
      <c r="G37" s="1"/>
      <c r="H37" s="1"/>
    </row>
    <row r="38" spans="3:8" s="8" customFormat="1" x14ac:dyDescent="0.35">
      <c r="G38" s="1"/>
      <c r="H38" s="1"/>
    </row>
    <row r="39" spans="3:8" s="8" customFormat="1" x14ac:dyDescent="0.35">
      <c r="G39" s="1"/>
      <c r="H39" s="1"/>
    </row>
    <row r="40" spans="3:8" s="8" customFormat="1" x14ac:dyDescent="0.35">
      <c r="G40" s="1"/>
      <c r="H40" s="1"/>
    </row>
    <row r="41" spans="3:8" s="8" customFormat="1" x14ac:dyDescent="0.35">
      <c r="G41" s="1"/>
      <c r="H41" s="1"/>
    </row>
    <row r="42" spans="3:8" s="8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7/2018. (V.31.)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view="pageLayout" zoomScaleNormal="100" workbookViewId="0">
      <selection activeCell="G8" sqref="G8"/>
    </sheetView>
  </sheetViews>
  <sheetFormatPr defaultColWidth="9.296875" defaultRowHeight="14" x14ac:dyDescent="0.3"/>
  <cols>
    <col min="1" max="1" width="41.296875" style="113" customWidth="1"/>
    <col min="2" max="2" width="19.69921875" style="113" customWidth="1"/>
    <col min="3" max="3" width="16.69921875" style="113" customWidth="1"/>
    <col min="4" max="11" width="16" style="113" customWidth="1"/>
    <col min="12" max="12" width="17.796875" style="113" customWidth="1"/>
    <col min="13" max="16384" width="9.296875" style="113"/>
  </cols>
  <sheetData>
    <row r="1" spans="1:12" ht="56.25" customHeight="1" x14ac:dyDescent="0.3">
      <c r="A1" s="1097" t="s">
        <v>639</v>
      </c>
      <c r="B1" s="1097"/>
      <c r="C1" s="1097"/>
      <c r="D1" s="1097"/>
      <c r="E1" s="1097"/>
      <c r="F1" s="1097"/>
      <c r="G1" s="1097"/>
      <c r="H1" s="1097"/>
      <c r="I1" s="1097"/>
      <c r="J1" s="1097"/>
      <c r="K1" s="1097"/>
    </row>
    <row r="2" spans="1:12" ht="18.75" customHeight="1" x14ac:dyDescent="0.3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x14ac:dyDescent="0.3">
      <c r="A3" s="115"/>
      <c r="B3" s="115"/>
      <c r="C3" s="115"/>
      <c r="D3" s="115"/>
      <c r="E3" s="115"/>
      <c r="F3" s="115"/>
      <c r="G3" s="115"/>
      <c r="H3" s="115"/>
      <c r="I3" s="115"/>
      <c r="J3" s="1098" t="s">
        <v>1</v>
      </c>
      <c r="K3" s="1098"/>
    </row>
    <row r="4" spans="1:12" s="116" customFormat="1" ht="71.25" customHeight="1" x14ac:dyDescent="0.3">
      <c r="A4" s="1099" t="s">
        <v>543</v>
      </c>
      <c r="B4" s="1099" t="s">
        <v>544</v>
      </c>
      <c r="C4" s="1099" t="s">
        <v>545</v>
      </c>
      <c r="D4" s="1099" t="s">
        <v>1172</v>
      </c>
      <c r="E4" s="1099"/>
      <c r="F4" s="1099" t="s">
        <v>1171</v>
      </c>
      <c r="G4" s="1099"/>
      <c r="H4" s="1100" t="s">
        <v>546</v>
      </c>
      <c r="I4" s="1101"/>
      <c r="J4" s="1099" t="s">
        <v>547</v>
      </c>
      <c r="K4" s="1099"/>
    </row>
    <row r="5" spans="1:12" s="117" customFormat="1" x14ac:dyDescent="0.3">
      <c r="A5" s="1099"/>
      <c r="B5" s="1099"/>
      <c r="C5" s="1099"/>
      <c r="D5" s="489" t="s">
        <v>548</v>
      </c>
      <c r="E5" s="489" t="s">
        <v>549</v>
      </c>
      <c r="F5" s="489" t="s">
        <v>548</v>
      </c>
      <c r="G5" s="489" t="s">
        <v>549</v>
      </c>
      <c r="H5" s="489" t="s">
        <v>548</v>
      </c>
      <c r="I5" s="489" t="s">
        <v>549</v>
      </c>
      <c r="J5" s="489" t="s">
        <v>548</v>
      </c>
      <c r="K5" s="489" t="s">
        <v>549</v>
      </c>
    </row>
    <row r="6" spans="1:12" ht="56" x14ac:dyDescent="0.3">
      <c r="A6" s="490" t="s">
        <v>596</v>
      </c>
      <c r="B6" s="491">
        <v>72959000</v>
      </c>
      <c r="C6" s="492" t="s">
        <v>550</v>
      </c>
      <c r="D6" s="491">
        <v>18239752</v>
      </c>
      <c r="E6" s="491">
        <v>1094385</v>
      </c>
      <c r="F6" s="491">
        <v>18239752</v>
      </c>
      <c r="G6" s="491">
        <v>1094385</v>
      </c>
      <c r="H6" s="491">
        <v>18239744</v>
      </c>
      <c r="I6" s="491">
        <v>660668</v>
      </c>
      <c r="J6" s="491">
        <v>0</v>
      </c>
      <c r="K6" s="491">
        <v>0</v>
      </c>
    </row>
    <row r="7" spans="1:12" s="119" customFormat="1" ht="56" x14ac:dyDescent="0.3">
      <c r="A7" s="490" t="s">
        <v>597</v>
      </c>
      <c r="B7" s="491">
        <v>23200831</v>
      </c>
      <c r="C7" s="492" t="s">
        <v>551</v>
      </c>
      <c r="D7" s="491">
        <f>7138717-1380531</f>
        <v>5758186</v>
      </c>
      <c r="E7" s="491">
        <v>853103</v>
      </c>
      <c r="F7" s="491">
        <v>8851356</v>
      </c>
      <c r="G7" s="491">
        <v>1311371</v>
      </c>
      <c r="H7" s="491">
        <v>7138717</v>
      </c>
      <c r="I7" s="491">
        <v>329700</v>
      </c>
      <c r="J7" s="491">
        <v>1784680</v>
      </c>
      <c r="K7" s="491">
        <f>J7*0.05</f>
        <v>89234</v>
      </c>
      <c r="L7" s="118"/>
    </row>
    <row r="8" spans="1:12" s="121" customFormat="1" ht="26.25" customHeight="1" x14ac:dyDescent="0.3">
      <c r="A8" s="171" t="s">
        <v>405</v>
      </c>
      <c r="B8" s="493">
        <f>SUM(B6:B7)</f>
        <v>96159831</v>
      </c>
      <c r="C8" s="120"/>
      <c r="D8" s="493">
        <f t="shared" ref="D8:K8" si="0">SUM(D6:D7)</f>
        <v>23997938</v>
      </c>
      <c r="E8" s="493">
        <f t="shared" si="0"/>
        <v>1947488</v>
      </c>
      <c r="F8" s="493">
        <f t="shared" ref="F8:G8" si="1">SUM(F6:F7)</f>
        <v>27091108</v>
      </c>
      <c r="G8" s="493">
        <f t="shared" si="1"/>
        <v>2405756</v>
      </c>
      <c r="H8" s="493">
        <f t="shared" si="0"/>
        <v>25378461</v>
      </c>
      <c r="I8" s="493">
        <f t="shared" si="0"/>
        <v>990368</v>
      </c>
      <c r="J8" s="493">
        <f t="shared" si="0"/>
        <v>1784680</v>
      </c>
      <c r="K8" s="493">
        <f t="shared" si="0"/>
        <v>89234</v>
      </c>
    </row>
    <row r="9" spans="1:12" x14ac:dyDescent="0.3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</row>
    <row r="10" spans="1:12" x14ac:dyDescent="0.3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</row>
    <row r="11" spans="1:12" x14ac:dyDescent="0.3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</row>
    <row r="12" spans="1:12" x14ac:dyDescent="0.3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</row>
    <row r="13" spans="1:12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</row>
    <row r="14" spans="1:12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</row>
    <row r="15" spans="1:12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</row>
    <row r="16" spans="1:12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</row>
    <row r="17" spans="1:1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</row>
    <row r="18" spans="1:1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</row>
    <row r="19" spans="1:1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</row>
    <row r="20" spans="1:1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</row>
    <row r="21" spans="1:1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</row>
    <row r="22" spans="1:1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</row>
    <row r="23" spans="1:1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</row>
  </sheetData>
  <mergeCells count="9">
    <mergeCell ref="A1:K1"/>
    <mergeCell ref="J3:K3"/>
    <mergeCell ref="A4:A5"/>
    <mergeCell ref="B4:B5"/>
    <mergeCell ref="C4:C5"/>
    <mergeCell ref="D4:E4"/>
    <mergeCell ref="H4:I4"/>
    <mergeCell ref="J4:K4"/>
    <mergeCell ref="F4:G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74" orientation="landscape" r:id="rId1"/>
  <headerFooter>
    <oddHeader>&amp;R&amp;"Times New Roman CE,Félkövér dőlt"&amp;11 17. melléklet a 7/2018. (V.31.)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view="pageLayout" zoomScaleNormal="100" workbookViewId="0">
      <selection activeCell="D9" sqref="D9"/>
    </sheetView>
  </sheetViews>
  <sheetFormatPr defaultColWidth="9.296875" defaultRowHeight="14" x14ac:dyDescent="0.3"/>
  <cols>
    <col min="1" max="1" width="8" style="152" customWidth="1"/>
    <col min="2" max="2" width="86.19921875" style="152" customWidth="1"/>
    <col min="3" max="4" width="21.5" style="152" customWidth="1"/>
    <col min="5" max="16384" width="9.296875" style="152"/>
  </cols>
  <sheetData>
    <row r="1" spans="1:4" s="151" customFormat="1" ht="60" customHeight="1" x14ac:dyDescent="0.3">
      <c r="A1" s="1102" t="s">
        <v>640</v>
      </c>
      <c r="B1" s="1102"/>
      <c r="C1" s="1102"/>
    </row>
    <row r="2" spans="1:4" x14ac:dyDescent="0.3">
      <c r="C2" s="172"/>
      <c r="D2" s="172" t="s">
        <v>1</v>
      </c>
    </row>
    <row r="3" spans="1:4" ht="33.75" customHeight="1" x14ac:dyDescent="0.3">
      <c r="A3" s="494" t="s">
        <v>601</v>
      </c>
      <c r="B3" s="179" t="s">
        <v>267</v>
      </c>
      <c r="C3" s="179" t="s">
        <v>434</v>
      </c>
      <c r="D3" s="179" t="s">
        <v>1173</v>
      </c>
    </row>
    <row r="4" spans="1:4" ht="22.5" customHeight="1" x14ac:dyDescent="0.3">
      <c r="A4" s="495" t="s">
        <v>10</v>
      </c>
      <c r="B4" s="496" t="s">
        <v>692</v>
      </c>
      <c r="C4" s="497">
        <v>800554297</v>
      </c>
      <c r="D4" s="497">
        <v>800319746</v>
      </c>
    </row>
    <row r="5" spans="1:4" ht="22.5" customHeight="1" x14ac:dyDescent="0.3">
      <c r="A5" s="495" t="s">
        <v>13</v>
      </c>
      <c r="B5" s="496" t="s">
        <v>693</v>
      </c>
      <c r="C5" s="497">
        <v>18082367</v>
      </c>
      <c r="D5" s="497">
        <v>18047286</v>
      </c>
    </row>
    <row r="6" spans="1:4" ht="22.5" customHeight="1" x14ac:dyDescent="0.3">
      <c r="A6" s="495" t="s">
        <v>16</v>
      </c>
      <c r="B6" s="496" t="s">
        <v>694</v>
      </c>
      <c r="C6" s="497"/>
      <c r="D6" s="497"/>
    </row>
    <row r="7" spans="1:4" ht="31.5" customHeight="1" x14ac:dyDescent="0.3">
      <c r="A7" s="495" t="s">
        <v>19</v>
      </c>
      <c r="B7" s="496" t="s">
        <v>695</v>
      </c>
      <c r="C7" s="497">
        <v>19544321</v>
      </c>
      <c r="D7" s="497">
        <v>19543577</v>
      </c>
    </row>
    <row r="8" spans="1:4" ht="22.5" customHeight="1" x14ac:dyDescent="0.3">
      <c r="A8" s="495" t="s">
        <v>22</v>
      </c>
      <c r="B8" s="496" t="s">
        <v>696</v>
      </c>
      <c r="C8" s="497">
        <v>3968547</v>
      </c>
      <c r="D8" s="497">
        <v>3799055</v>
      </c>
    </row>
    <row r="9" spans="1:4" ht="28.5" customHeight="1" x14ac:dyDescent="0.3">
      <c r="A9" s="495" t="s">
        <v>25</v>
      </c>
      <c r="B9" s="496" t="s">
        <v>697</v>
      </c>
      <c r="C9" s="497"/>
      <c r="D9" s="497"/>
    </row>
    <row r="10" spans="1:4" s="151" customFormat="1" ht="22.5" customHeight="1" x14ac:dyDescent="0.3">
      <c r="A10" s="179" t="s">
        <v>28</v>
      </c>
      <c r="B10" s="498" t="s">
        <v>698</v>
      </c>
      <c r="C10" s="499">
        <f>SUM(C4:C9)</f>
        <v>842149532</v>
      </c>
      <c r="D10" s="499">
        <f>SUM(D4:D9)</f>
        <v>841709664</v>
      </c>
    </row>
    <row r="11" spans="1:4" s="151" customFormat="1" ht="22.5" customHeight="1" x14ac:dyDescent="0.3">
      <c r="A11" s="495" t="s">
        <v>31</v>
      </c>
      <c r="B11" s="498" t="s">
        <v>699</v>
      </c>
      <c r="C11" s="499">
        <f t="shared" ref="C11" si="0">C10/2</f>
        <v>421074766</v>
      </c>
      <c r="D11" s="499">
        <f t="shared" ref="D11" si="1">D10/2</f>
        <v>420854832</v>
      </c>
    </row>
    <row r="12" spans="1:4" s="151" customFormat="1" ht="27" customHeight="1" x14ac:dyDescent="0.3">
      <c r="A12" s="495" t="s">
        <v>34</v>
      </c>
      <c r="B12" s="496" t="s">
        <v>700</v>
      </c>
      <c r="C12" s="497">
        <v>23997938</v>
      </c>
      <c r="D12" s="497">
        <v>27091108</v>
      </c>
    </row>
    <row r="13" spans="1:4" ht="34.5" customHeight="1" x14ac:dyDescent="0.3">
      <c r="A13" s="495" t="s">
        <v>37</v>
      </c>
      <c r="B13" s="496" t="s">
        <v>701</v>
      </c>
      <c r="C13" s="497"/>
      <c r="D13" s="497"/>
    </row>
    <row r="14" spans="1:4" ht="34.5" customHeight="1" x14ac:dyDescent="0.3">
      <c r="A14" s="495" t="s">
        <v>39</v>
      </c>
      <c r="B14" s="496" t="s">
        <v>702</v>
      </c>
      <c r="C14" s="497"/>
      <c r="D14" s="497"/>
    </row>
    <row r="15" spans="1:4" ht="34.5" customHeight="1" x14ac:dyDescent="0.3">
      <c r="A15" s="495" t="s">
        <v>41</v>
      </c>
      <c r="B15" s="496" t="s">
        <v>703</v>
      </c>
      <c r="C15" s="497"/>
      <c r="D15" s="497"/>
    </row>
    <row r="16" spans="1:4" ht="34.5" customHeight="1" x14ac:dyDescent="0.3">
      <c r="A16" s="495" t="s">
        <v>43</v>
      </c>
      <c r="B16" s="496" t="s">
        <v>704</v>
      </c>
      <c r="C16" s="497"/>
      <c r="D16" s="497"/>
    </row>
    <row r="17" spans="1:4" ht="34.5" customHeight="1" x14ac:dyDescent="0.3">
      <c r="A17" s="495" t="s">
        <v>45</v>
      </c>
      <c r="B17" s="496" t="s">
        <v>705</v>
      </c>
      <c r="C17" s="497"/>
      <c r="D17" s="497"/>
    </row>
    <row r="18" spans="1:4" ht="34.5" customHeight="1" x14ac:dyDescent="0.3">
      <c r="A18" s="495" t="s">
        <v>47</v>
      </c>
      <c r="B18" s="496" t="s">
        <v>706</v>
      </c>
      <c r="C18" s="497"/>
      <c r="D18" s="497"/>
    </row>
    <row r="19" spans="1:4" ht="34.5" customHeight="1" x14ac:dyDescent="0.3">
      <c r="A19" s="495" t="s">
        <v>49</v>
      </c>
      <c r="B19" s="498" t="s">
        <v>707</v>
      </c>
      <c r="C19" s="497">
        <f>SUM(C12:C18)</f>
        <v>23997938</v>
      </c>
      <c r="D19" s="497">
        <f>SUM(D12:D18)</f>
        <v>27091108</v>
      </c>
    </row>
    <row r="20" spans="1:4" s="151" customFormat="1" ht="24" customHeight="1" x14ac:dyDescent="0.3">
      <c r="A20" s="495" t="s">
        <v>51</v>
      </c>
      <c r="B20" s="498" t="s">
        <v>708</v>
      </c>
      <c r="C20" s="500">
        <f>C11-C19</f>
        <v>397076828</v>
      </c>
      <c r="D20" s="500">
        <f>D11-D19</f>
        <v>393763724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75" orientation="portrait" horizontalDpi="4294967293" verticalDpi="4294967293" r:id="rId1"/>
  <headerFooter>
    <oddHeader>&amp;R&amp;"Times New Roman,Félkövér dőlt"&amp;11 18. melléklet a 7/2018. (V.31.)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view="pageLayout" zoomScaleNormal="100" workbookViewId="0">
      <selection sqref="A1:E1"/>
    </sheetView>
  </sheetViews>
  <sheetFormatPr defaultRowHeight="14.5" x14ac:dyDescent="0.35"/>
  <cols>
    <col min="1" max="1" width="7.296875" style="153" customWidth="1"/>
    <col min="2" max="2" width="45.19921875" style="153" customWidth="1"/>
    <col min="3" max="5" width="22.796875" style="160" customWidth="1"/>
    <col min="6" max="6" width="9.296875" style="153"/>
    <col min="7" max="7" width="12.796875" style="153" bestFit="1" customWidth="1"/>
    <col min="8" max="256" width="9.296875" style="153"/>
    <col min="257" max="257" width="5" style="153" customWidth="1"/>
    <col min="258" max="258" width="76.296875" style="153" customWidth="1"/>
    <col min="259" max="259" width="17.19921875" style="153" customWidth="1"/>
    <col min="260" max="260" width="19.19921875" style="153" customWidth="1"/>
    <col min="261" max="261" width="17.19921875" style="153" customWidth="1"/>
    <col min="262" max="262" width="9.296875" style="153"/>
    <col min="263" max="263" width="12.796875" style="153" bestFit="1" customWidth="1"/>
    <col min="264" max="512" width="9.296875" style="153"/>
    <col min="513" max="513" width="5" style="153" customWidth="1"/>
    <col min="514" max="514" width="76.296875" style="153" customWidth="1"/>
    <col min="515" max="515" width="17.19921875" style="153" customWidth="1"/>
    <col min="516" max="516" width="19.19921875" style="153" customWidth="1"/>
    <col min="517" max="517" width="17.19921875" style="153" customWidth="1"/>
    <col min="518" max="518" width="9.296875" style="153"/>
    <col min="519" max="519" width="12.796875" style="153" bestFit="1" customWidth="1"/>
    <col min="520" max="768" width="9.296875" style="153"/>
    <col min="769" max="769" width="5" style="153" customWidth="1"/>
    <col min="770" max="770" width="76.296875" style="153" customWidth="1"/>
    <col min="771" max="771" width="17.19921875" style="153" customWidth="1"/>
    <col min="772" max="772" width="19.19921875" style="153" customWidth="1"/>
    <col min="773" max="773" width="17.19921875" style="153" customWidth="1"/>
    <col min="774" max="774" width="9.296875" style="153"/>
    <col min="775" max="775" width="12.796875" style="153" bestFit="1" customWidth="1"/>
    <col min="776" max="1024" width="9.296875" style="153"/>
    <col min="1025" max="1025" width="5" style="153" customWidth="1"/>
    <col min="1026" max="1026" width="76.296875" style="153" customWidth="1"/>
    <col min="1027" max="1027" width="17.19921875" style="153" customWidth="1"/>
    <col min="1028" max="1028" width="19.19921875" style="153" customWidth="1"/>
    <col min="1029" max="1029" width="17.19921875" style="153" customWidth="1"/>
    <col min="1030" max="1030" width="9.296875" style="153"/>
    <col min="1031" max="1031" width="12.796875" style="153" bestFit="1" customWidth="1"/>
    <col min="1032" max="1280" width="9.296875" style="153"/>
    <col min="1281" max="1281" width="5" style="153" customWidth="1"/>
    <col min="1282" max="1282" width="76.296875" style="153" customWidth="1"/>
    <col min="1283" max="1283" width="17.19921875" style="153" customWidth="1"/>
    <col min="1284" max="1284" width="19.19921875" style="153" customWidth="1"/>
    <col min="1285" max="1285" width="17.19921875" style="153" customWidth="1"/>
    <col min="1286" max="1286" width="9.296875" style="153"/>
    <col min="1287" max="1287" width="12.796875" style="153" bestFit="1" customWidth="1"/>
    <col min="1288" max="1536" width="9.296875" style="153"/>
    <col min="1537" max="1537" width="5" style="153" customWidth="1"/>
    <col min="1538" max="1538" width="76.296875" style="153" customWidth="1"/>
    <col min="1539" max="1539" width="17.19921875" style="153" customWidth="1"/>
    <col min="1540" max="1540" width="19.19921875" style="153" customWidth="1"/>
    <col min="1541" max="1541" width="17.19921875" style="153" customWidth="1"/>
    <col min="1542" max="1542" width="9.296875" style="153"/>
    <col min="1543" max="1543" width="12.796875" style="153" bestFit="1" customWidth="1"/>
    <col min="1544" max="1792" width="9.296875" style="153"/>
    <col min="1793" max="1793" width="5" style="153" customWidth="1"/>
    <col min="1794" max="1794" width="76.296875" style="153" customWidth="1"/>
    <col min="1795" max="1795" width="17.19921875" style="153" customWidth="1"/>
    <col min="1796" max="1796" width="19.19921875" style="153" customWidth="1"/>
    <col min="1797" max="1797" width="17.19921875" style="153" customWidth="1"/>
    <col min="1798" max="1798" width="9.296875" style="153"/>
    <col min="1799" max="1799" width="12.796875" style="153" bestFit="1" customWidth="1"/>
    <col min="1800" max="2048" width="9.296875" style="153"/>
    <col min="2049" max="2049" width="5" style="153" customWidth="1"/>
    <col min="2050" max="2050" width="76.296875" style="153" customWidth="1"/>
    <col min="2051" max="2051" width="17.19921875" style="153" customWidth="1"/>
    <col min="2052" max="2052" width="19.19921875" style="153" customWidth="1"/>
    <col min="2053" max="2053" width="17.19921875" style="153" customWidth="1"/>
    <col min="2054" max="2054" width="9.296875" style="153"/>
    <col min="2055" max="2055" width="12.796875" style="153" bestFit="1" customWidth="1"/>
    <col min="2056" max="2304" width="9.296875" style="153"/>
    <col min="2305" max="2305" width="5" style="153" customWidth="1"/>
    <col min="2306" max="2306" width="76.296875" style="153" customWidth="1"/>
    <col min="2307" max="2307" width="17.19921875" style="153" customWidth="1"/>
    <col min="2308" max="2308" width="19.19921875" style="153" customWidth="1"/>
    <col min="2309" max="2309" width="17.19921875" style="153" customWidth="1"/>
    <col min="2310" max="2310" width="9.296875" style="153"/>
    <col min="2311" max="2311" width="12.796875" style="153" bestFit="1" customWidth="1"/>
    <col min="2312" max="2560" width="9.296875" style="153"/>
    <col min="2561" max="2561" width="5" style="153" customWidth="1"/>
    <col min="2562" max="2562" width="76.296875" style="153" customWidth="1"/>
    <col min="2563" max="2563" width="17.19921875" style="153" customWidth="1"/>
    <col min="2564" max="2564" width="19.19921875" style="153" customWidth="1"/>
    <col min="2565" max="2565" width="17.19921875" style="153" customWidth="1"/>
    <col min="2566" max="2566" width="9.296875" style="153"/>
    <col min="2567" max="2567" width="12.796875" style="153" bestFit="1" customWidth="1"/>
    <col min="2568" max="2816" width="9.296875" style="153"/>
    <col min="2817" max="2817" width="5" style="153" customWidth="1"/>
    <col min="2818" max="2818" width="76.296875" style="153" customWidth="1"/>
    <col min="2819" max="2819" width="17.19921875" style="153" customWidth="1"/>
    <col min="2820" max="2820" width="19.19921875" style="153" customWidth="1"/>
    <col min="2821" max="2821" width="17.19921875" style="153" customWidth="1"/>
    <col min="2822" max="2822" width="9.296875" style="153"/>
    <col min="2823" max="2823" width="12.796875" style="153" bestFit="1" customWidth="1"/>
    <col min="2824" max="3072" width="9.296875" style="153"/>
    <col min="3073" max="3073" width="5" style="153" customWidth="1"/>
    <col min="3074" max="3074" width="76.296875" style="153" customWidth="1"/>
    <col min="3075" max="3075" width="17.19921875" style="153" customWidth="1"/>
    <col min="3076" max="3076" width="19.19921875" style="153" customWidth="1"/>
    <col min="3077" max="3077" width="17.19921875" style="153" customWidth="1"/>
    <col min="3078" max="3078" width="9.296875" style="153"/>
    <col min="3079" max="3079" width="12.796875" style="153" bestFit="1" customWidth="1"/>
    <col min="3080" max="3328" width="9.296875" style="153"/>
    <col min="3329" max="3329" width="5" style="153" customWidth="1"/>
    <col min="3330" max="3330" width="76.296875" style="153" customWidth="1"/>
    <col min="3331" max="3331" width="17.19921875" style="153" customWidth="1"/>
    <col min="3332" max="3332" width="19.19921875" style="153" customWidth="1"/>
    <col min="3333" max="3333" width="17.19921875" style="153" customWidth="1"/>
    <col min="3334" max="3334" width="9.296875" style="153"/>
    <col min="3335" max="3335" width="12.796875" style="153" bestFit="1" customWidth="1"/>
    <col min="3336" max="3584" width="9.296875" style="153"/>
    <col min="3585" max="3585" width="5" style="153" customWidth="1"/>
    <col min="3586" max="3586" width="76.296875" style="153" customWidth="1"/>
    <col min="3587" max="3587" width="17.19921875" style="153" customWidth="1"/>
    <col min="3588" max="3588" width="19.19921875" style="153" customWidth="1"/>
    <col min="3589" max="3589" width="17.19921875" style="153" customWidth="1"/>
    <col min="3590" max="3590" width="9.296875" style="153"/>
    <col min="3591" max="3591" width="12.796875" style="153" bestFit="1" customWidth="1"/>
    <col min="3592" max="3840" width="9.296875" style="153"/>
    <col min="3841" max="3841" width="5" style="153" customWidth="1"/>
    <col min="3842" max="3842" width="76.296875" style="153" customWidth="1"/>
    <col min="3843" max="3843" width="17.19921875" style="153" customWidth="1"/>
    <col min="3844" max="3844" width="19.19921875" style="153" customWidth="1"/>
    <col min="3845" max="3845" width="17.19921875" style="153" customWidth="1"/>
    <col min="3846" max="3846" width="9.296875" style="153"/>
    <col min="3847" max="3847" width="12.796875" style="153" bestFit="1" customWidth="1"/>
    <col min="3848" max="4096" width="9.296875" style="153"/>
    <col min="4097" max="4097" width="5" style="153" customWidth="1"/>
    <col min="4098" max="4098" width="76.296875" style="153" customWidth="1"/>
    <col min="4099" max="4099" width="17.19921875" style="153" customWidth="1"/>
    <col min="4100" max="4100" width="19.19921875" style="153" customWidth="1"/>
    <col min="4101" max="4101" width="17.19921875" style="153" customWidth="1"/>
    <col min="4102" max="4102" width="9.296875" style="153"/>
    <col min="4103" max="4103" width="12.796875" style="153" bestFit="1" customWidth="1"/>
    <col min="4104" max="4352" width="9.296875" style="153"/>
    <col min="4353" max="4353" width="5" style="153" customWidth="1"/>
    <col min="4354" max="4354" width="76.296875" style="153" customWidth="1"/>
    <col min="4355" max="4355" width="17.19921875" style="153" customWidth="1"/>
    <col min="4356" max="4356" width="19.19921875" style="153" customWidth="1"/>
    <col min="4357" max="4357" width="17.19921875" style="153" customWidth="1"/>
    <col min="4358" max="4358" width="9.296875" style="153"/>
    <col min="4359" max="4359" width="12.796875" style="153" bestFit="1" customWidth="1"/>
    <col min="4360" max="4608" width="9.296875" style="153"/>
    <col min="4609" max="4609" width="5" style="153" customWidth="1"/>
    <col min="4610" max="4610" width="76.296875" style="153" customWidth="1"/>
    <col min="4611" max="4611" width="17.19921875" style="153" customWidth="1"/>
    <col min="4612" max="4612" width="19.19921875" style="153" customWidth="1"/>
    <col min="4613" max="4613" width="17.19921875" style="153" customWidth="1"/>
    <col min="4614" max="4614" width="9.296875" style="153"/>
    <col min="4615" max="4615" width="12.796875" style="153" bestFit="1" customWidth="1"/>
    <col min="4616" max="4864" width="9.296875" style="153"/>
    <col min="4865" max="4865" width="5" style="153" customWidth="1"/>
    <col min="4866" max="4866" width="76.296875" style="153" customWidth="1"/>
    <col min="4867" max="4867" width="17.19921875" style="153" customWidth="1"/>
    <col min="4868" max="4868" width="19.19921875" style="153" customWidth="1"/>
    <col min="4869" max="4869" width="17.19921875" style="153" customWidth="1"/>
    <col min="4870" max="4870" width="9.296875" style="153"/>
    <col min="4871" max="4871" width="12.796875" style="153" bestFit="1" customWidth="1"/>
    <col min="4872" max="5120" width="9.296875" style="153"/>
    <col min="5121" max="5121" width="5" style="153" customWidth="1"/>
    <col min="5122" max="5122" width="76.296875" style="153" customWidth="1"/>
    <col min="5123" max="5123" width="17.19921875" style="153" customWidth="1"/>
    <col min="5124" max="5124" width="19.19921875" style="153" customWidth="1"/>
    <col min="5125" max="5125" width="17.19921875" style="153" customWidth="1"/>
    <col min="5126" max="5126" width="9.296875" style="153"/>
    <col min="5127" max="5127" width="12.796875" style="153" bestFit="1" customWidth="1"/>
    <col min="5128" max="5376" width="9.296875" style="153"/>
    <col min="5377" max="5377" width="5" style="153" customWidth="1"/>
    <col min="5378" max="5378" width="76.296875" style="153" customWidth="1"/>
    <col min="5379" max="5379" width="17.19921875" style="153" customWidth="1"/>
    <col min="5380" max="5380" width="19.19921875" style="153" customWidth="1"/>
    <col min="5381" max="5381" width="17.19921875" style="153" customWidth="1"/>
    <col min="5382" max="5382" width="9.296875" style="153"/>
    <col min="5383" max="5383" width="12.796875" style="153" bestFit="1" customWidth="1"/>
    <col min="5384" max="5632" width="9.296875" style="153"/>
    <col min="5633" max="5633" width="5" style="153" customWidth="1"/>
    <col min="5634" max="5634" width="76.296875" style="153" customWidth="1"/>
    <col min="5635" max="5635" width="17.19921875" style="153" customWidth="1"/>
    <col min="5636" max="5636" width="19.19921875" style="153" customWidth="1"/>
    <col min="5637" max="5637" width="17.19921875" style="153" customWidth="1"/>
    <col min="5638" max="5638" width="9.296875" style="153"/>
    <col min="5639" max="5639" width="12.796875" style="153" bestFit="1" customWidth="1"/>
    <col min="5640" max="5888" width="9.296875" style="153"/>
    <col min="5889" max="5889" width="5" style="153" customWidth="1"/>
    <col min="5890" max="5890" width="76.296875" style="153" customWidth="1"/>
    <col min="5891" max="5891" width="17.19921875" style="153" customWidth="1"/>
    <col min="5892" max="5892" width="19.19921875" style="153" customWidth="1"/>
    <col min="5893" max="5893" width="17.19921875" style="153" customWidth="1"/>
    <col min="5894" max="5894" width="9.296875" style="153"/>
    <col min="5895" max="5895" width="12.796875" style="153" bestFit="1" customWidth="1"/>
    <col min="5896" max="6144" width="9.296875" style="153"/>
    <col min="6145" max="6145" width="5" style="153" customWidth="1"/>
    <col min="6146" max="6146" width="76.296875" style="153" customWidth="1"/>
    <col min="6147" max="6147" width="17.19921875" style="153" customWidth="1"/>
    <col min="6148" max="6148" width="19.19921875" style="153" customWidth="1"/>
    <col min="6149" max="6149" width="17.19921875" style="153" customWidth="1"/>
    <col min="6150" max="6150" width="9.296875" style="153"/>
    <col min="6151" max="6151" width="12.796875" style="153" bestFit="1" customWidth="1"/>
    <col min="6152" max="6400" width="9.296875" style="153"/>
    <col min="6401" max="6401" width="5" style="153" customWidth="1"/>
    <col min="6402" max="6402" width="76.296875" style="153" customWidth="1"/>
    <col min="6403" max="6403" width="17.19921875" style="153" customWidth="1"/>
    <col min="6404" max="6404" width="19.19921875" style="153" customWidth="1"/>
    <col min="6405" max="6405" width="17.19921875" style="153" customWidth="1"/>
    <col min="6406" max="6406" width="9.296875" style="153"/>
    <col min="6407" max="6407" width="12.796875" style="153" bestFit="1" customWidth="1"/>
    <col min="6408" max="6656" width="9.296875" style="153"/>
    <col min="6657" max="6657" width="5" style="153" customWidth="1"/>
    <col min="6658" max="6658" width="76.296875" style="153" customWidth="1"/>
    <col min="6659" max="6659" width="17.19921875" style="153" customWidth="1"/>
    <col min="6660" max="6660" width="19.19921875" style="153" customWidth="1"/>
    <col min="6661" max="6661" width="17.19921875" style="153" customWidth="1"/>
    <col min="6662" max="6662" width="9.296875" style="153"/>
    <col min="6663" max="6663" width="12.796875" style="153" bestFit="1" customWidth="1"/>
    <col min="6664" max="6912" width="9.296875" style="153"/>
    <col min="6913" max="6913" width="5" style="153" customWidth="1"/>
    <col min="6914" max="6914" width="76.296875" style="153" customWidth="1"/>
    <col min="6915" max="6915" width="17.19921875" style="153" customWidth="1"/>
    <col min="6916" max="6916" width="19.19921875" style="153" customWidth="1"/>
    <col min="6917" max="6917" width="17.19921875" style="153" customWidth="1"/>
    <col min="6918" max="6918" width="9.296875" style="153"/>
    <col min="6919" max="6919" width="12.796875" style="153" bestFit="1" customWidth="1"/>
    <col min="6920" max="7168" width="9.296875" style="153"/>
    <col min="7169" max="7169" width="5" style="153" customWidth="1"/>
    <col min="7170" max="7170" width="76.296875" style="153" customWidth="1"/>
    <col min="7171" max="7171" width="17.19921875" style="153" customWidth="1"/>
    <col min="7172" max="7172" width="19.19921875" style="153" customWidth="1"/>
    <col min="7173" max="7173" width="17.19921875" style="153" customWidth="1"/>
    <col min="7174" max="7174" width="9.296875" style="153"/>
    <col min="7175" max="7175" width="12.796875" style="153" bestFit="1" customWidth="1"/>
    <col min="7176" max="7424" width="9.296875" style="153"/>
    <col min="7425" max="7425" width="5" style="153" customWidth="1"/>
    <col min="7426" max="7426" width="76.296875" style="153" customWidth="1"/>
    <col min="7427" max="7427" width="17.19921875" style="153" customWidth="1"/>
    <col min="7428" max="7428" width="19.19921875" style="153" customWidth="1"/>
    <col min="7429" max="7429" width="17.19921875" style="153" customWidth="1"/>
    <col min="7430" max="7430" width="9.296875" style="153"/>
    <col min="7431" max="7431" width="12.796875" style="153" bestFit="1" customWidth="1"/>
    <col min="7432" max="7680" width="9.296875" style="153"/>
    <col min="7681" max="7681" width="5" style="153" customWidth="1"/>
    <col min="7682" max="7682" width="76.296875" style="153" customWidth="1"/>
    <col min="7683" max="7683" width="17.19921875" style="153" customWidth="1"/>
    <col min="7684" max="7684" width="19.19921875" style="153" customWidth="1"/>
    <col min="7685" max="7685" width="17.19921875" style="153" customWidth="1"/>
    <col min="7686" max="7686" width="9.296875" style="153"/>
    <col min="7687" max="7687" width="12.796875" style="153" bestFit="1" customWidth="1"/>
    <col min="7688" max="7936" width="9.296875" style="153"/>
    <col min="7937" max="7937" width="5" style="153" customWidth="1"/>
    <col min="7938" max="7938" width="76.296875" style="153" customWidth="1"/>
    <col min="7939" max="7939" width="17.19921875" style="153" customWidth="1"/>
    <col min="7940" max="7940" width="19.19921875" style="153" customWidth="1"/>
    <col min="7941" max="7941" width="17.19921875" style="153" customWidth="1"/>
    <col min="7942" max="7942" width="9.296875" style="153"/>
    <col min="7943" max="7943" width="12.796875" style="153" bestFit="1" customWidth="1"/>
    <col min="7944" max="8192" width="9.296875" style="153"/>
    <col min="8193" max="8193" width="5" style="153" customWidth="1"/>
    <col min="8194" max="8194" width="76.296875" style="153" customWidth="1"/>
    <col min="8195" max="8195" width="17.19921875" style="153" customWidth="1"/>
    <col min="8196" max="8196" width="19.19921875" style="153" customWidth="1"/>
    <col min="8197" max="8197" width="17.19921875" style="153" customWidth="1"/>
    <col min="8198" max="8198" width="9.296875" style="153"/>
    <col min="8199" max="8199" width="12.796875" style="153" bestFit="1" customWidth="1"/>
    <col min="8200" max="8448" width="9.296875" style="153"/>
    <col min="8449" max="8449" width="5" style="153" customWidth="1"/>
    <col min="8450" max="8450" width="76.296875" style="153" customWidth="1"/>
    <col min="8451" max="8451" width="17.19921875" style="153" customWidth="1"/>
    <col min="8452" max="8452" width="19.19921875" style="153" customWidth="1"/>
    <col min="8453" max="8453" width="17.19921875" style="153" customWidth="1"/>
    <col min="8454" max="8454" width="9.296875" style="153"/>
    <col min="8455" max="8455" width="12.796875" style="153" bestFit="1" customWidth="1"/>
    <col min="8456" max="8704" width="9.296875" style="153"/>
    <col min="8705" max="8705" width="5" style="153" customWidth="1"/>
    <col min="8706" max="8706" width="76.296875" style="153" customWidth="1"/>
    <col min="8707" max="8707" width="17.19921875" style="153" customWidth="1"/>
    <col min="8708" max="8708" width="19.19921875" style="153" customWidth="1"/>
    <col min="8709" max="8709" width="17.19921875" style="153" customWidth="1"/>
    <col min="8710" max="8710" width="9.296875" style="153"/>
    <col min="8711" max="8711" width="12.796875" style="153" bestFit="1" customWidth="1"/>
    <col min="8712" max="8960" width="9.296875" style="153"/>
    <col min="8961" max="8961" width="5" style="153" customWidth="1"/>
    <col min="8962" max="8962" width="76.296875" style="153" customWidth="1"/>
    <col min="8963" max="8963" width="17.19921875" style="153" customWidth="1"/>
    <col min="8964" max="8964" width="19.19921875" style="153" customWidth="1"/>
    <col min="8965" max="8965" width="17.19921875" style="153" customWidth="1"/>
    <col min="8966" max="8966" width="9.296875" style="153"/>
    <col min="8967" max="8967" width="12.796875" style="153" bestFit="1" customWidth="1"/>
    <col min="8968" max="9216" width="9.296875" style="153"/>
    <col min="9217" max="9217" width="5" style="153" customWidth="1"/>
    <col min="9218" max="9218" width="76.296875" style="153" customWidth="1"/>
    <col min="9219" max="9219" width="17.19921875" style="153" customWidth="1"/>
    <col min="9220" max="9220" width="19.19921875" style="153" customWidth="1"/>
    <col min="9221" max="9221" width="17.19921875" style="153" customWidth="1"/>
    <col min="9222" max="9222" width="9.296875" style="153"/>
    <col min="9223" max="9223" width="12.796875" style="153" bestFit="1" customWidth="1"/>
    <col min="9224" max="9472" width="9.296875" style="153"/>
    <col min="9473" max="9473" width="5" style="153" customWidth="1"/>
    <col min="9474" max="9474" width="76.296875" style="153" customWidth="1"/>
    <col min="9475" max="9475" width="17.19921875" style="153" customWidth="1"/>
    <col min="9476" max="9476" width="19.19921875" style="153" customWidth="1"/>
    <col min="9477" max="9477" width="17.19921875" style="153" customWidth="1"/>
    <col min="9478" max="9478" width="9.296875" style="153"/>
    <col min="9479" max="9479" width="12.796875" style="153" bestFit="1" customWidth="1"/>
    <col min="9480" max="9728" width="9.296875" style="153"/>
    <col min="9729" max="9729" width="5" style="153" customWidth="1"/>
    <col min="9730" max="9730" width="76.296875" style="153" customWidth="1"/>
    <col min="9731" max="9731" width="17.19921875" style="153" customWidth="1"/>
    <col min="9732" max="9732" width="19.19921875" style="153" customWidth="1"/>
    <col min="9733" max="9733" width="17.19921875" style="153" customWidth="1"/>
    <col min="9734" max="9734" width="9.296875" style="153"/>
    <col min="9735" max="9735" width="12.796875" style="153" bestFit="1" customWidth="1"/>
    <col min="9736" max="9984" width="9.296875" style="153"/>
    <col min="9985" max="9985" width="5" style="153" customWidth="1"/>
    <col min="9986" max="9986" width="76.296875" style="153" customWidth="1"/>
    <col min="9987" max="9987" width="17.19921875" style="153" customWidth="1"/>
    <col min="9988" max="9988" width="19.19921875" style="153" customWidth="1"/>
    <col min="9989" max="9989" width="17.19921875" style="153" customWidth="1"/>
    <col min="9990" max="9990" width="9.296875" style="153"/>
    <col min="9991" max="9991" width="12.796875" style="153" bestFit="1" customWidth="1"/>
    <col min="9992" max="10240" width="9.296875" style="153"/>
    <col min="10241" max="10241" width="5" style="153" customWidth="1"/>
    <col min="10242" max="10242" width="76.296875" style="153" customWidth="1"/>
    <col min="10243" max="10243" width="17.19921875" style="153" customWidth="1"/>
    <col min="10244" max="10244" width="19.19921875" style="153" customWidth="1"/>
    <col min="10245" max="10245" width="17.19921875" style="153" customWidth="1"/>
    <col min="10246" max="10246" width="9.296875" style="153"/>
    <col min="10247" max="10247" width="12.796875" style="153" bestFit="1" customWidth="1"/>
    <col min="10248" max="10496" width="9.296875" style="153"/>
    <col min="10497" max="10497" width="5" style="153" customWidth="1"/>
    <col min="10498" max="10498" width="76.296875" style="153" customWidth="1"/>
    <col min="10499" max="10499" width="17.19921875" style="153" customWidth="1"/>
    <col min="10500" max="10500" width="19.19921875" style="153" customWidth="1"/>
    <col min="10501" max="10501" width="17.19921875" style="153" customWidth="1"/>
    <col min="10502" max="10502" width="9.296875" style="153"/>
    <col min="10503" max="10503" width="12.796875" style="153" bestFit="1" customWidth="1"/>
    <col min="10504" max="10752" width="9.296875" style="153"/>
    <col min="10753" max="10753" width="5" style="153" customWidth="1"/>
    <col min="10754" max="10754" width="76.296875" style="153" customWidth="1"/>
    <col min="10755" max="10755" width="17.19921875" style="153" customWidth="1"/>
    <col min="10756" max="10756" width="19.19921875" style="153" customWidth="1"/>
    <col min="10757" max="10757" width="17.19921875" style="153" customWidth="1"/>
    <col min="10758" max="10758" width="9.296875" style="153"/>
    <col min="10759" max="10759" width="12.796875" style="153" bestFit="1" customWidth="1"/>
    <col min="10760" max="11008" width="9.296875" style="153"/>
    <col min="11009" max="11009" width="5" style="153" customWidth="1"/>
    <col min="11010" max="11010" width="76.296875" style="153" customWidth="1"/>
    <col min="11011" max="11011" width="17.19921875" style="153" customWidth="1"/>
    <col min="11012" max="11012" width="19.19921875" style="153" customWidth="1"/>
    <col min="11013" max="11013" width="17.19921875" style="153" customWidth="1"/>
    <col min="11014" max="11014" width="9.296875" style="153"/>
    <col min="11015" max="11015" width="12.796875" style="153" bestFit="1" customWidth="1"/>
    <col min="11016" max="11264" width="9.296875" style="153"/>
    <col min="11265" max="11265" width="5" style="153" customWidth="1"/>
    <col min="11266" max="11266" width="76.296875" style="153" customWidth="1"/>
    <col min="11267" max="11267" width="17.19921875" style="153" customWidth="1"/>
    <col min="11268" max="11268" width="19.19921875" style="153" customWidth="1"/>
    <col min="11269" max="11269" width="17.19921875" style="153" customWidth="1"/>
    <col min="11270" max="11270" width="9.296875" style="153"/>
    <col min="11271" max="11271" width="12.796875" style="153" bestFit="1" customWidth="1"/>
    <col min="11272" max="11520" width="9.296875" style="153"/>
    <col min="11521" max="11521" width="5" style="153" customWidth="1"/>
    <col min="11522" max="11522" width="76.296875" style="153" customWidth="1"/>
    <col min="11523" max="11523" width="17.19921875" style="153" customWidth="1"/>
    <col min="11524" max="11524" width="19.19921875" style="153" customWidth="1"/>
    <col min="11525" max="11525" width="17.19921875" style="153" customWidth="1"/>
    <col min="11526" max="11526" width="9.296875" style="153"/>
    <col min="11527" max="11527" width="12.796875" style="153" bestFit="1" customWidth="1"/>
    <col min="11528" max="11776" width="9.296875" style="153"/>
    <col min="11777" max="11777" width="5" style="153" customWidth="1"/>
    <col min="11778" max="11778" width="76.296875" style="153" customWidth="1"/>
    <col min="11779" max="11779" width="17.19921875" style="153" customWidth="1"/>
    <col min="11780" max="11780" width="19.19921875" style="153" customWidth="1"/>
    <col min="11781" max="11781" width="17.19921875" style="153" customWidth="1"/>
    <col min="11782" max="11782" width="9.296875" style="153"/>
    <col min="11783" max="11783" width="12.796875" style="153" bestFit="1" customWidth="1"/>
    <col min="11784" max="12032" width="9.296875" style="153"/>
    <col min="12033" max="12033" width="5" style="153" customWidth="1"/>
    <col min="12034" max="12034" width="76.296875" style="153" customWidth="1"/>
    <col min="12035" max="12035" width="17.19921875" style="153" customWidth="1"/>
    <col min="12036" max="12036" width="19.19921875" style="153" customWidth="1"/>
    <col min="12037" max="12037" width="17.19921875" style="153" customWidth="1"/>
    <col min="12038" max="12038" width="9.296875" style="153"/>
    <col min="12039" max="12039" width="12.796875" style="153" bestFit="1" customWidth="1"/>
    <col min="12040" max="12288" width="9.296875" style="153"/>
    <col min="12289" max="12289" width="5" style="153" customWidth="1"/>
    <col min="12290" max="12290" width="76.296875" style="153" customWidth="1"/>
    <col min="12291" max="12291" width="17.19921875" style="153" customWidth="1"/>
    <col min="12292" max="12292" width="19.19921875" style="153" customWidth="1"/>
    <col min="12293" max="12293" width="17.19921875" style="153" customWidth="1"/>
    <col min="12294" max="12294" width="9.296875" style="153"/>
    <col min="12295" max="12295" width="12.796875" style="153" bestFit="1" customWidth="1"/>
    <col min="12296" max="12544" width="9.296875" style="153"/>
    <col min="12545" max="12545" width="5" style="153" customWidth="1"/>
    <col min="12546" max="12546" width="76.296875" style="153" customWidth="1"/>
    <col min="12547" max="12547" width="17.19921875" style="153" customWidth="1"/>
    <col min="12548" max="12548" width="19.19921875" style="153" customWidth="1"/>
    <col min="12549" max="12549" width="17.19921875" style="153" customWidth="1"/>
    <col min="12550" max="12550" width="9.296875" style="153"/>
    <col min="12551" max="12551" width="12.796875" style="153" bestFit="1" customWidth="1"/>
    <col min="12552" max="12800" width="9.296875" style="153"/>
    <col min="12801" max="12801" width="5" style="153" customWidth="1"/>
    <col min="12802" max="12802" width="76.296875" style="153" customWidth="1"/>
    <col min="12803" max="12803" width="17.19921875" style="153" customWidth="1"/>
    <col min="12804" max="12804" width="19.19921875" style="153" customWidth="1"/>
    <col min="12805" max="12805" width="17.19921875" style="153" customWidth="1"/>
    <col min="12806" max="12806" width="9.296875" style="153"/>
    <col min="12807" max="12807" width="12.796875" style="153" bestFit="1" customWidth="1"/>
    <col min="12808" max="13056" width="9.296875" style="153"/>
    <col min="13057" max="13057" width="5" style="153" customWidth="1"/>
    <col min="13058" max="13058" width="76.296875" style="153" customWidth="1"/>
    <col min="13059" max="13059" width="17.19921875" style="153" customWidth="1"/>
    <col min="13060" max="13060" width="19.19921875" style="153" customWidth="1"/>
    <col min="13061" max="13061" width="17.19921875" style="153" customWidth="1"/>
    <col min="13062" max="13062" width="9.296875" style="153"/>
    <col min="13063" max="13063" width="12.796875" style="153" bestFit="1" customWidth="1"/>
    <col min="13064" max="13312" width="9.296875" style="153"/>
    <col min="13313" max="13313" width="5" style="153" customWidth="1"/>
    <col min="13314" max="13314" width="76.296875" style="153" customWidth="1"/>
    <col min="13315" max="13315" width="17.19921875" style="153" customWidth="1"/>
    <col min="13316" max="13316" width="19.19921875" style="153" customWidth="1"/>
    <col min="13317" max="13317" width="17.19921875" style="153" customWidth="1"/>
    <col min="13318" max="13318" width="9.296875" style="153"/>
    <col min="13319" max="13319" width="12.796875" style="153" bestFit="1" customWidth="1"/>
    <col min="13320" max="13568" width="9.296875" style="153"/>
    <col min="13569" max="13569" width="5" style="153" customWidth="1"/>
    <col min="13570" max="13570" width="76.296875" style="153" customWidth="1"/>
    <col min="13571" max="13571" width="17.19921875" style="153" customWidth="1"/>
    <col min="13572" max="13572" width="19.19921875" style="153" customWidth="1"/>
    <col min="13573" max="13573" width="17.19921875" style="153" customWidth="1"/>
    <col min="13574" max="13574" width="9.296875" style="153"/>
    <col min="13575" max="13575" width="12.796875" style="153" bestFit="1" customWidth="1"/>
    <col min="13576" max="13824" width="9.296875" style="153"/>
    <col min="13825" max="13825" width="5" style="153" customWidth="1"/>
    <col min="13826" max="13826" width="76.296875" style="153" customWidth="1"/>
    <col min="13827" max="13827" width="17.19921875" style="153" customWidth="1"/>
    <col min="13828" max="13828" width="19.19921875" style="153" customWidth="1"/>
    <col min="13829" max="13829" width="17.19921875" style="153" customWidth="1"/>
    <col min="13830" max="13830" width="9.296875" style="153"/>
    <col min="13831" max="13831" width="12.796875" style="153" bestFit="1" customWidth="1"/>
    <col min="13832" max="14080" width="9.296875" style="153"/>
    <col min="14081" max="14081" width="5" style="153" customWidth="1"/>
    <col min="14082" max="14082" width="76.296875" style="153" customWidth="1"/>
    <col min="14083" max="14083" width="17.19921875" style="153" customWidth="1"/>
    <col min="14084" max="14084" width="19.19921875" style="153" customWidth="1"/>
    <col min="14085" max="14085" width="17.19921875" style="153" customWidth="1"/>
    <col min="14086" max="14086" width="9.296875" style="153"/>
    <col min="14087" max="14087" width="12.796875" style="153" bestFit="1" customWidth="1"/>
    <col min="14088" max="14336" width="9.296875" style="153"/>
    <col min="14337" max="14337" width="5" style="153" customWidth="1"/>
    <col min="14338" max="14338" width="76.296875" style="153" customWidth="1"/>
    <col min="14339" max="14339" width="17.19921875" style="153" customWidth="1"/>
    <col min="14340" max="14340" width="19.19921875" style="153" customWidth="1"/>
    <col min="14341" max="14341" width="17.19921875" style="153" customWidth="1"/>
    <col min="14342" max="14342" width="9.296875" style="153"/>
    <col min="14343" max="14343" width="12.796875" style="153" bestFit="1" customWidth="1"/>
    <col min="14344" max="14592" width="9.296875" style="153"/>
    <col min="14593" max="14593" width="5" style="153" customWidth="1"/>
    <col min="14594" max="14594" width="76.296875" style="153" customWidth="1"/>
    <col min="14595" max="14595" width="17.19921875" style="153" customWidth="1"/>
    <col min="14596" max="14596" width="19.19921875" style="153" customWidth="1"/>
    <col min="14597" max="14597" width="17.19921875" style="153" customWidth="1"/>
    <col min="14598" max="14598" width="9.296875" style="153"/>
    <col min="14599" max="14599" width="12.796875" style="153" bestFit="1" customWidth="1"/>
    <col min="14600" max="14848" width="9.296875" style="153"/>
    <col min="14849" max="14849" width="5" style="153" customWidth="1"/>
    <col min="14850" max="14850" width="76.296875" style="153" customWidth="1"/>
    <col min="14851" max="14851" width="17.19921875" style="153" customWidth="1"/>
    <col min="14852" max="14852" width="19.19921875" style="153" customWidth="1"/>
    <col min="14853" max="14853" width="17.19921875" style="153" customWidth="1"/>
    <col min="14854" max="14854" width="9.296875" style="153"/>
    <col min="14855" max="14855" width="12.796875" style="153" bestFit="1" customWidth="1"/>
    <col min="14856" max="15104" width="9.296875" style="153"/>
    <col min="15105" max="15105" width="5" style="153" customWidth="1"/>
    <col min="15106" max="15106" width="76.296875" style="153" customWidth="1"/>
    <col min="15107" max="15107" width="17.19921875" style="153" customWidth="1"/>
    <col min="15108" max="15108" width="19.19921875" style="153" customWidth="1"/>
    <col min="15109" max="15109" width="17.19921875" style="153" customWidth="1"/>
    <col min="15110" max="15110" width="9.296875" style="153"/>
    <col min="15111" max="15111" width="12.796875" style="153" bestFit="1" customWidth="1"/>
    <col min="15112" max="15360" width="9.296875" style="153"/>
    <col min="15361" max="15361" width="5" style="153" customWidth="1"/>
    <col min="15362" max="15362" width="76.296875" style="153" customWidth="1"/>
    <col min="15363" max="15363" width="17.19921875" style="153" customWidth="1"/>
    <col min="15364" max="15364" width="19.19921875" style="153" customWidth="1"/>
    <col min="15365" max="15365" width="17.19921875" style="153" customWidth="1"/>
    <col min="15366" max="15366" width="9.296875" style="153"/>
    <col min="15367" max="15367" width="12.796875" style="153" bestFit="1" customWidth="1"/>
    <col min="15368" max="15616" width="9.296875" style="153"/>
    <col min="15617" max="15617" width="5" style="153" customWidth="1"/>
    <col min="15618" max="15618" width="76.296875" style="153" customWidth="1"/>
    <col min="15619" max="15619" width="17.19921875" style="153" customWidth="1"/>
    <col min="15620" max="15620" width="19.19921875" style="153" customWidth="1"/>
    <col min="15621" max="15621" width="17.19921875" style="153" customWidth="1"/>
    <col min="15622" max="15622" width="9.296875" style="153"/>
    <col min="15623" max="15623" width="12.796875" style="153" bestFit="1" customWidth="1"/>
    <col min="15624" max="15872" width="9.296875" style="153"/>
    <col min="15873" max="15873" width="5" style="153" customWidth="1"/>
    <col min="15874" max="15874" width="76.296875" style="153" customWidth="1"/>
    <col min="15875" max="15875" width="17.19921875" style="153" customWidth="1"/>
    <col min="15876" max="15876" width="19.19921875" style="153" customWidth="1"/>
    <col min="15877" max="15877" width="17.19921875" style="153" customWidth="1"/>
    <col min="15878" max="15878" width="9.296875" style="153"/>
    <col min="15879" max="15879" width="12.796875" style="153" bestFit="1" customWidth="1"/>
    <col min="15880" max="16128" width="9.296875" style="153"/>
    <col min="16129" max="16129" width="5" style="153" customWidth="1"/>
    <col min="16130" max="16130" width="76.296875" style="153" customWidth="1"/>
    <col min="16131" max="16131" width="17.19921875" style="153" customWidth="1"/>
    <col min="16132" max="16132" width="19.19921875" style="153" customWidth="1"/>
    <col min="16133" max="16133" width="17.19921875" style="153" customWidth="1"/>
    <col min="16134" max="16134" width="9.296875" style="153"/>
    <col min="16135" max="16135" width="12.796875" style="153" bestFit="1" customWidth="1"/>
    <col min="16136" max="16384" width="9.296875" style="153"/>
  </cols>
  <sheetData>
    <row r="1" spans="1:7" ht="36.75" customHeight="1" x14ac:dyDescent="0.35">
      <c r="A1" s="1103" t="s">
        <v>624</v>
      </c>
      <c r="B1" s="1103"/>
      <c r="C1" s="1103"/>
      <c r="D1" s="1103"/>
      <c r="E1" s="1103"/>
    </row>
    <row r="2" spans="1:7" ht="15" customHeight="1" x14ac:dyDescent="0.35">
      <c r="A2" s="150"/>
      <c r="B2" s="150"/>
      <c r="C2" s="150" t="s">
        <v>611</v>
      </c>
      <c r="D2" s="150"/>
      <c r="E2" s="150"/>
    </row>
    <row r="3" spans="1:7" x14ac:dyDescent="0.35">
      <c r="A3" s="34"/>
      <c r="B3" s="34"/>
      <c r="C3" s="154"/>
      <c r="D3" s="154"/>
      <c r="E3" s="161" t="s">
        <v>553</v>
      </c>
    </row>
    <row r="4" spans="1:7" s="155" customFormat="1" ht="56" x14ac:dyDescent="0.3">
      <c r="A4" s="501" t="s">
        <v>404</v>
      </c>
      <c r="B4" s="501" t="s">
        <v>602</v>
      </c>
      <c r="C4" s="502" t="s">
        <v>608</v>
      </c>
      <c r="D4" s="502" t="s">
        <v>609</v>
      </c>
      <c r="E4" s="502" t="s">
        <v>603</v>
      </c>
      <c r="G4" s="156"/>
    </row>
    <row r="5" spans="1:7" s="155" customFormat="1" ht="12" customHeight="1" x14ac:dyDescent="0.3">
      <c r="A5" s="503">
        <v>1</v>
      </c>
      <c r="B5" s="503">
        <v>2</v>
      </c>
      <c r="C5" s="504">
        <v>3</v>
      </c>
      <c r="D5" s="504">
        <v>4</v>
      </c>
      <c r="E5" s="504">
        <v>5</v>
      </c>
    </row>
    <row r="6" spans="1:7" s="155" customFormat="1" ht="18" customHeight="1" x14ac:dyDescent="0.3">
      <c r="A6" s="505" t="s">
        <v>10</v>
      </c>
      <c r="B6" s="506"/>
      <c r="C6" s="507">
        <v>0</v>
      </c>
      <c r="D6" s="507">
        <v>0</v>
      </c>
      <c r="E6" s="508"/>
    </row>
    <row r="7" spans="1:7" s="155" customFormat="1" ht="18" customHeight="1" x14ac:dyDescent="0.3">
      <c r="A7" s="505" t="s">
        <v>13</v>
      </c>
      <c r="B7" s="506"/>
      <c r="C7" s="507">
        <v>0</v>
      </c>
      <c r="D7" s="507">
        <v>0</v>
      </c>
      <c r="E7" s="508"/>
    </row>
    <row r="8" spans="1:7" s="155" customFormat="1" ht="18" customHeight="1" x14ac:dyDescent="0.3">
      <c r="A8" s="505" t="s">
        <v>16</v>
      </c>
      <c r="B8" s="509"/>
      <c r="C8" s="507"/>
      <c r="D8" s="507"/>
      <c r="E8" s="508"/>
    </row>
    <row r="9" spans="1:7" s="155" customFormat="1" ht="18" customHeight="1" x14ac:dyDescent="0.3">
      <c r="A9" s="505" t="s">
        <v>19</v>
      </c>
      <c r="B9" s="506"/>
      <c r="C9" s="510"/>
      <c r="D9" s="510"/>
      <c r="E9" s="508"/>
    </row>
    <row r="10" spans="1:7" s="155" customFormat="1" ht="18" customHeight="1" x14ac:dyDescent="0.3">
      <c r="A10" s="505" t="s">
        <v>22</v>
      </c>
      <c r="B10" s="511"/>
      <c r="C10" s="512"/>
      <c r="D10" s="512"/>
      <c r="E10" s="508"/>
    </row>
    <row r="11" spans="1:7" s="155" customFormat="1" ht="18" customHeight="1" x14ac:dyDescent="0.3">
      <c r="A11" s="505" t="s">
        <v>25</v>
      </c>
      <c r="B11" s="513"/>
      <c r="C11" s="510"/>
      <c r="D11" s="510"/>
      <c r="E11" s="508"/>
    </row>
    <row r="12" spans="1:7" s="155" customFormat="1" ht="18" customHeight="1" x14ac:dyDescent="0.3">
      <c r="A12" s="505" t="s">
        <v>28</v>
      </c>
      <c r="B12" s="513"/>
      <c r="C12" s="510"/>
      <c r="D12" s="510"/>
      <c r="E12" s="508"/>
    </row>
    <row r="13" spans="1:7" s="155" customFormat="1" ht="18" customHeight="1" x14ac:dyDescent="0.3">
      <c r="A13" s="505" t="s">
        <v>31</v>
      </c>
      <c r="B13" s="513"/>
      <c r="C13" s="510"/>
      <c r="D13" s="510"/>
      <c r="E13" s="508"/>
    </row>
    <row r="14" spans="1:7" s="155" customFormat="1" ht="18" customHeight="1" x14ac:dyDescent="0.3">
      <c r="A14" s="505" t="s">
        <v>34</v>
      </c>
      <c r="B14" s="513"/>
      <c r="C14" s="510"/>
      <c r="D14" s="510"/>
      <c r="E14" s="508"/>
    </row>
    <row r="15" spans="1:7" s="155" customFormat="1" ht="18" customHeight="1" x14ac:dyDescent="0.3">
      <c r="A15" s="505" t="s">
        <v>37</v>
      </c>
      <c r="B15" s="513"/>
      <c r="C15" s="510"/>
      <c r="D15" s="510"/>
      <c r="E15" s="508"/>
    </row>
    <row r="16" spans="1:7" s="155" customFormat="1" x14ac:dyDescent="0.3">
      <c r="A16" s="514" t="s">
        <v>39</v>
      </c>
      <c r="B16" s="515" t="s">
        <v>604</v>
      </c>
      <c r="C16" s="516">
        <f>SUM(C6:C15)</f>
        <v>0</v>
      </c>
      <c r="D16" s="516">
        <f>SUM(D6:D15)</f>
        <v>0</v>
      </c>
      <c r="E16" s="516">
        <f>SUM(E6:E15)</f>
        <v>0</v>
      </c>
    </row>
    <row r="17" spans="1:6" s="155" customFormat="1" x14ac:dyDescent="0.3">
      <c r="A17" s="505" t="s">
        <v>41</v>
      </c>
      <c r="B17" s="517"/>
      <c r="C17" s="518"/>
      <c r="D17" s="518"/>
      <c r="E17" s="508"/>
    </row>
    <row r="18" spans="1:6" s="155" customFormat="1" x14ac:dyDescent="0.3">
      <c r="A18" s="514" t="s">
        <v>43</v>
      </c>
      <c r="B18" s="515" t="s">
        <v>605</v>
      </c>
      <c r="C18" s="516">
        <f>SUM(C17:C17)</f>
        <v>0</v>
      </c>
      <c r="D18" s="516">
        <f>SUM(D17:D17)</f>
        <v>0</v>
      </c>
      <c r="E18" s="516">
        <f>SUM(E17:E17)</f>
        <v>0</v>
      </c>
    </row>
    <row r="19" spans="1:6" s="155" customFormat="1" x14ac:dyDescent="0.3">
      <c r="A19" s="505" t="s">
        <v>45</v>
      </c>
      <c r="B19" s="519"/>
      <c r="C19" s="518"/>
      <c r="D19" s="518"/>
      <c r="E19" s="508"/>
    </row>
    <row r="20" spans="1:6" s="155" customFormat="1" x14ac:dyDescent="0.3">
      <c r="A20" s="505" t="s">
        <v>47</v>
      </c>
      <c r="B20" s="519"/>
      <c r="C20" s="520"/>
      <c r="D20" s="520"/>
      <c r="E20" s="508"/>
    </row>
    <row r="21" spans="1:6" s="155" customFormat="1" x14ac:dyDescent="0.3">
      <c r="A21" s="505" t="s">
        <v>49</v>
      </c>
      <c r="B21" s="517"/>
      <c r="C21" s="518"/>
      <c r="D21" s="518"/>
      <c r="E21" s="508"/>
    </row>
    <row r="22" spans="1:6" s="155" customFormat="1" x14ac:dyDescent="0.3">
      <c r="A22" s="505" t="s">
        <v>51</v>
      </c>
      <c r="B22" s="517"/>
      <c r="C22" s="518"/>
      <c r="D22" s="518"/>
      <c r="E22" s="508"/>
    </row>
    <row r="23" spans="1:6" s="155" customFormat="1" x14ac:dyDescent="0.3">
      <c r="A23" s="505" t="s">
        <v>54</v>
      </c>
      <c r="B23" s="517"/>
      <c r="C23" s="521"/>
      <c r="D23" s="521"/>
      <c r="E23" s="508"/>
    </row>
    <row r="24" spans="1:6" s="155" customFormat="1" x14ac:dyDescent="0.3">
      <c r="A24" s="514" t="s">
        <v>57</v>
      </c>
      <c r="B24" s="515" t="s">
        <v>606</v>
      </c>
      <c r="C24" s="516">
        <f>SUM(C19:C23)</f>
        <v>0</v>
      </c>
      <c r="D24" s="516">
        <f>SUM(D19:D23)</f>
        <v>0</v>
      </c>
      <c r="E24" s="516">
        <f>SUM(E19:E23)</f>
        <v>0</v>
      </c>
    </row>
    <row r="25" spans="1:6" s="155" customFormat="1" ht="27" customHeight="1" x14ac:dyDescent="0.3">
      <c r="A25" s="514" t="s">
        <v>60</v>
      </c>
      <c r="B25" s="214" t="s">
        <v>607</v>
      </c>
      <c r="C25" s="522">
        <f>SUM(C24,C18,C16)</f>
        <v>0</v>
      </c>
      <c r="D25" s="522">
        <f>SUM(D24,D18,D16)</f>
        <v>0</v>
      </c>
      <c r="E25" s="522">
        <f>SUM(E24,E18,E16)</f>
        <v>0</v>
      </c>
    </row>
    <row r="28" spans="1:6" x14ac:dyDescent="0.35">
      <c r="A28" s="157"/>
      <c r="B28" s="158"/>
      <c r="C28" s="157"/>
      <c r="D28" s="157"/>
      <c r="E28" s="157"/>
    </row>
    <row r="29" spans="1:6" x14ac:dyDescent="0.35">
      <c r="A29" s="157"/>
      <c r="B29" s="158"/>
      <c r="C29" s="157"/>
      <c r="D29" s="157"/>
      <c r="E29" s="157"/>
    </row>
    <row r="30" spans="1:6" x14ac:dyDescent="0.35">
      <c r="A30" s="157"/>
      <c r="B30" s="158"/>
      <c r="C30" s="157"/>
      <c r="D30" s="157"/>
      <c r="E30" s="157"/>
      <c r="F30" s="159"/>
    </row>
    <row r="31" spans="1:6" x14ac:dyDescent="0.35">
      <c r="A31" s="157"/>
      <c r="B31" s="158"/>
      <c r="C31" s="157"/>
      <c r="D31" s="157"/>
      <c r="E31" s="157"/>
    </row>
    <row r="32" spans="1:6" x14ac:dyDescent="0.35">
      <c r="A32" s="157"/>
      <c r="B32" s="158"/>
      <c r="C32" s="157"/>
      <c r="D32" s="157"/>
      <c r="E32" s="157"/>
    </row>
    <row r="33" spans="1:5" x14ac:dyDescent="0.35">
      <c r="A33" s="157"/>
      <c r="B33" s="158"/>
      <c r="C33" s="157"/>
      <c r="D33" s="157"/>
      <c r="E33" s="157"/>
    </row>
    <row r="34" spans="1:5" x14ac:dyDescent="0.35">
      <c r="A34" s="157"/>
      <c r="B34" s="158"/>
      <c r="C34" s="157"/>
      <c r="D34" s="157"/>
      <c r="E34" s="157"/>
    </row>
    <row r="35" spans="1:5" x14ac:dyDescent="0.35">
      <c r="A35" s="157"/>
      <c r="B35" s="158"/>
      <c r="C35" s="157"/>
      <c r="D35" s="157"/>
      <c r="E35" s="157"/>
    </row>
    <row r="36" spans="1:5" x14ac:dyDescent="0.35">
      <c r="A36" s="157"/>
      <c r="B36" s="158"/>
      <c r="C36" s="157"/>
      <c r="D36" s="157"/>
      <c r="E36" s="157"/>
    </row>
    <row r="37" spans="1:5" x14ac:dyDescent="0.35">
      <c r="A37" s="157"/>
      <c r="B37" s="157"/>
      <c r="C37" s="157"/>
      <c r="D37" s="157"/>
      <c r="E37" s="157"/>
    </row>
    <row r="38" spans="1:5" x14ac:dyDescent="0.35">
      <c r="A38" s="157"/>
      <c r="B38" s="157"/>
      <c r="C38" s="157"/>
      <c r="D38" s="157"/>
      <c r="E38" s="157"/>
    </row>
    <row r="39" spans="1:5" x14ac:dyDescent="0.35">
      <c r="A39" s="157"/>
      <c r="B39" s="157"/>
      <c r="C39" s="157"/>
      <c r="D39" s="157"/>
      <c r="E39" s="157"/>
    </row>
    <row r="40" spans="1:5" x14ac:dyDescent="0.35">
      <c r="A40" s="157"/>
      <c r="B40" s="157"/>
      <c r="C40" s="157"/>
      <c r="D40" s="157"/>
      <c r="E40" s="157"/>
    </row>
    <row r="41" spans="1:5" x14ac:dyDescent="0.35">
      <c r="A41" s="157"/>
      <c r="B41" s="157"/>
      <c r="C41" s="157"/>
      <c r="D41" s="157"/>
      <c r="E41" s="157"/>
    </row>
    <row r="42" spans="1:5" x14ac:dyDescent="0.35">
      <c r="A42" s="157"/>
      <c r="B42" s="157"/>
      <c r="C42" s="157"/>
      <c r="D42" s="157"/>
      <c r="E42" s="157"/>
    </row>
    <row r="43" spans="1:5" x14ac:dyDescent="0.35">
      <c r="A43" s="157"/>
      <c r="B43" s="157"/>
      <c r="C43" s="157"/>
      <c r="D43" s="157"/>
      <c r="E43" s="157"/>
    </row>
    <row r="44" spans="1:5" x14ac:dyDescent="0.35">
      <c r="A44" s="157"/>
      <c r="B44" s="157"/>
      <c r="C44" s="157"/>
      <c r="D44" s="157"/>
      <c r="E44" s="157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3" firstPageNumber="53" fitToHeight="0" orientation="portrait" useFirstPageNumber="1" r:id="rId1"/>
  <headerFooter>
    <oddHeader>&amp;R&amp;"Times New Roman CE,Félkövér dőlt"&amp;11 19. melléklet a 7/2018. (V.31.)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3"/>
  <sheetViews>
    <sheetView view="pageLayout" zoomScaleNormal="100" workbookViewId="0"/>
  </sheetViews>
  <sheetFormatPr defaultRowHeight="14" x14ac:dyDescent="0.3"/>
  <cols>
    <col min="1" max="1" width="8" style="806" customWidth="1"/>
    <col min="2" max="2" width="67.5" style="806" customWidth="1"/>
    <col min="3" max="3" width="20.19921875" style="806" customWidth="1"/>
  </cols>
  <sheetData>
    <row r="2" spans="1:3" ht="17.5" x14ac:dyDescent="0.3">
      <c r="A2" s="1104" t="s">
        <v>1097</v>
      </c>
      <c r="B2" s="1104"/>
      <c r="C2" s="1104"/>
    </row>
    <row r="3" spans="1:3" x14ac:dyDescent="0.3">
      <c r="A3" s="807"/>
      <c r="B3" s="807"/>
      <c r="C3" s="808" t="s">
        <v>1</v>
      </c>
    </row>
    <row r="4" spans="1:3" ht="26" x14ac:dyDescent="0.3">
      <c r="A4" s="909" t="s">
        <v>404</v>
      </c>
      <c r="B4" s="910" t="s">
        <v>267</v>
      </c>
      <c r="C4" s="911" t="s">
        <v>961</v>
      </c>
    </row>
    <row r="5" spans="1:3" ht="13" x14ac:dyDescent="0.3">
      <c r="A5" s="912" t="s">
        <v>10</v>
      </c>
      <c r="B5" s="913" t="s">
        <v>962</v>
      </c>
      <c r="C5" s="914">
        <v>169066701</v>
      </c>
    </row>
    <row r="6" spans="1:3" ht="13" x14ac:dyDescent="0.3">
      <c r="A6" s="915" t="s">
        <v>13</v>
      </c>
      <c r="B6" s="916" t="s">
        <v>963</v>
      </c>
      <c r="C6" s="917">
        <v>672939</v>
      </c>
    </row>
    <row r="7" spans="1:3" ht="13" x14ac:dyDescent="0.3">
      <c r="A7" s="915" t="s">
        <v>16</v>
      </c>
      <c r="B7" s="916" t="s">
        <v>964</v>
      </c>
      <c r="C7" s="917">
        <v>0</v>
      </c>
    </row>
    <row r="8" spans="1:3" ht="13" x14ac:dyDescent="0.3">
      <c r="A8" s="912" t="s">
        <v>19</v>
      </c>
      <c r="B8" s="916" t="s">
        <v>965</v>
      </c>
      <c r="C8" s="917">
        <v>0</v>
      </c>
    </row>
    <row r="9" spans="1:3" ht="13" x14ac:dyDescent="0.3">
      <c r="A9" s="915" t="s">
        <v>22</v>
      </c>
      <c r="B9" s="916" t="s">
        <v>966</v>
      </c>
      <c r="C9" s="917">
        <v>0</v>
      </c>
    </row>
    <row r="10" spans="1:3" ht="13" x14ac:dyDescent="0.3">
      <c r="A10" s="915" t="s">
        <v>25</v>
      </c>
      <c r="B10" s="916" t="s">
        <v>967</v>
      </c>
      <c r="C10" s="917">
        <v>0</v>
      </c>
    </row>
    <row r="11" spans="1:3" ht="13" x14ac:dyDescent="0.3">
      <c r="A11" s="912" t="s">
        <v>28</v>
      </c>
      <c r="B11" s="916" t="s">
        <v>968</v>
      </c>
      <c r="C11" s="917">
        <v>0</v>
      </c>
    </row>
    <row r="12" spans="1:3" ht="13" x14ac:dyDescent="0.3">
      <c r="A12" s="915" t="s">
        <v>31</v>
      </c>
      <c r="B12" s="916" t="s">
        <v>969</v>
      </c>
      <c r="C12" s="917">
        <v>339566</v>
      </c>
    </row>
    <row r="13" spans="1:3" ht="13" x14ac:dyDescent="0.3">
      <c r="A13" s="915" t="s">
        <v>34</v>
      </c>
      <c r="B13" s="916" t="s">
        <v>970</v>
      </c>
      <c r="C13" s="917">
        <v>0</v>
      </c>
    </row>
    <row r="14" spans="1:3" ht="13" x14ac:dyDescent="0.3">
      <c r="A14" s="912" t="s">
        <v>37</v>
      </c>
      <c r="B14" s="916" t="s">
        <v>971</v>
      </c>
      <c r="C14" s="917">
        <v>1036662</v>
      </c>
    </row>
    <row r="15" spans="1:3" ht="13" x14ac:dyDescent="0.3">
      <c r="A15" s="915" t="s">
        <v>39</v>
      </c>
      <c r="B15" s="916" t="s">
        <v>972</v>
      </c>
      <c r="C15" s="917">
        <v>0</v>
      </c>
    </row>
    <row r="16" spans="1:3" ht="13" x14ac:dyDescent="0.3">
      <c r="A16" s="915" t="s">
        <v>41</v>
      </c>
      <c r="B16" s="916" t="s">
        <v>973</v>
      </c>
      <c r="C16" s="917">
        <v>0</v>
      </c>
    </row>
    <row r="17" spans="1:3" ht="13" x14ac:dyDescent="0.3">
      <c r="A17" s="912" t="s">
        <v>43</v>
      </c>
      <c r="B17" s="916" t="s">
        <v>974</v>
      </c>
      <c r="C17" s="917">
        <v>941064</v>
      </c>
    </row>
    <row r="18" spans="1:3" ht="13" x14ac:dyDescent="0.3">
      <c r="A18" s="915" t="s">
        <v>45</v>
      </c>
      <c r="B18" s="916" t="s">
        <v>975</v>
      </c>
      <c r="C18" s="917">
        <v>11653347</v>
      </c>
    </row>
    <row r="19" spans="1:3" ht="13" x14ac:dyDescent="0.3">
      <c r="A19" s="915" t="s">
        <v>47</v>
      </c>
      <c r="B19" s="916" t="s">
        <v>976</v>
      </c>
      <c r="C19" s="917">
        <v>1875794</v>
      </c>
    </row>
    <row r="20" spans="1:3" ht="13" x14ac:dyDescent="0.3">
      <c r="A20" s="912" t="s">
        <v>49</v>
      </c>
      <c r="B20" s="916" t="s">
        <v>977</v>
      </c>
      <c r="C20" s="917">
        <v>2029444</v>
      </c>
    </row>
    <row r="21" spans="1:3" ht="13" x14ac:dyDescent="0.3">
      <c r="A21" s="915" t="s">
        <v>51</v>
      </c>
      <c r="B21" s="916" t="s">
        <v>978</v>
      </c>
      <c r="C21" s="917">
        <v>0</v>
      </c>
    </row>
    <row r="22" spans="1:3" ht="13" x14ac:dyDescent="0.3">
      <c r="A22" s="915" t="s">
        <v>54</v>
      </c>
      <c r="B22" s="916" t="s">
        <v>979</v>
      </c>
      <c r="C22" s="917">
        <v>29617887</v>
      </c>
    </row>
    <row r="23" spans="1:3" ht="13" x14ac:dyDescent="0.3">
      <c r="A23" s="912" t="s">
        <v>57</v>
      </c>
      <c r="B23" s="916" t="s">
        <v>980</v>
      </c>
      <c r="C23" s="917">
        <v>0</v>
      </c>
    </row>
    <row r="24" spans="1:3" ht="13" x14ac:dyDescent="0.3">
      <c r="A24" s="915" t="s">
        <v>60</v>
      </c>
      <c r="B24" s="916" t="s">
        <v>981</v>
      </c>
      <c r="C24" s="917">
        <v>0</v>
      </c>
    </row>
    <row r="25" spans="1:3" ht="13" x14ac:dyDescent="0.3">
      <c r="A25" s="915" t="s">
        <v>62</v>
      </c>
      <c r="B25" s="916" t="s">
        <v>982</v>
      </c>
      <c r="C25" s="917">
        <v>0</v>
      </c>
    </row>
    <row r="26" spans="1:3" ht="13" x14ac:dyDescent="0.3">
      <c r="A26" s="912" t="s">
        <v>64</v>
      </c>
      <c r="B26" s="916" t="s">
        <v>983</v>
      </c>
      <c r="C26" s="917">
        <v>51766150</v>
      </c>
    </row>
    <row r="27" spans="1:3" ht="13" x14ac:dyDescent="0.3">
      <c r="A27" s="915" t="s">
        <v>66</v>
      </c>
      <c r="B27" s="916" t="s">
        <v>1158</v>
      </c>
      <c r="C27" s="917">
        <v>10000</v>
      </c>
    </row>
    <row r="28" spans="1:3" ht="13" x14ac:dyDescent="0.3">
      <c r="A28" s="915" t="s">
        <v>68</v>
      </c>
      <c r="B28" s="916" t="s">
        <v>1139</v>
      </c>
      <c r="C28" s="917">
        <v>55875875</v>
      </c>
    </row>
    <row r="29" spans="1:3" ht="13" x14ac:dyDescent="0.3">
      <c r="A29" s="912" t="s">
        <v>70</v>
      </c>
      <c r="B29" s="916" t="s">
        <v>1140</v>
      </c>
      <c r="C29" s="917">
        <v>276196750</v>
      </c>
    </row>
    <row r="30" spans="1:3" ht="13" x14ac:dyDescent="0.3">
      <c r="A30" s="915" t="s">
        <v>72</v>
      </c>
      <c r="B30" s="916" t="s">
        <v>1155</v>
      </c>
      <c r="C30" s="917">
        <v>56281660</v>
      </c>
    </row>
    <row r="31" spans="1:3" ht="13" x14ac:dyDescent="0.3">
      <c r="A31" s="915" t="s">
        <v>75</v>
      </c>
      <c r="B31" s="916" t="s">
        <v>1156</v>
      </c>
      <c r="C31" s="917">
        <v>488816098</v>
      </c>
    </row>
    <row r="32" spans="1:3" ht="13" x14ac:dyDescent="0.3">
      <c r="A32" s="912" t="s">
        <v>78</v>
      </c>
      <c r="B32" s="916" t="s">
        <v>1157</v>
      </c>
      <c r="C32" s="917">
        <v>439462900</v>
      </c>
    </row>
    <row r="33" spans="1:3" ht="13" x14ac:dyDescent="0.3">
      <c r="A33" s="915" t="s">
        <v>81</v>
      </c>
      <c r="B33" s="916" t="s">
        <v>1164</v>
      </c>
      <c r="C33" s="917">
        <v>84958500</v>
      </c>
    </row>
    <row r="34" spans="1:3" ht="13" x14ac:dyDescent="0.3">
      <c r="A34" s="915" t="s">
        <v>83</v>
      </c>
      <c r="B34" s="916" t="s">
        <v>1159</v>
      </c>
      <c r="C34" s="917">
        <v>299847600</v>
      </c>
    </row>
    <row r="35" spans="1:3" ht="13" x14ac:dyDescent="0.3">
      <c r="A35" s="912" t="s">
        <v>85</v>
      </c>
      <c r="B35" s="916" t="s">
        <v>1160</v>
      </c>
      <c r="C35" s="917">
        <v>400025148</v>
      </c>
    </row>
    <row r="36" spans="1:3" ht="13" x14ac:dyDescent="0.3">
      <c r="A36" s="915" t="s">
        <v>87</v>
      </c>
      <c r="B36" s="916" t="s">
        <v>1161</v>
      </c>
      <c r="C36" s="917">
        <v>138476957</v>
      </c>
    </row>
    <row r="37" spans="1:3" ht="13" x14ac:dyDescent="0.3">
      <c r="A37" s="915" t="s">
        <v>90</v>
      </c>
      <c r="B37" s="916" t="s">
        <v>1162</v>
      </c>
      <c r="C37" s="917">
        <v>176523043</v>
      </c>
    </row>
    <row r="38" spans="1:3" ht="13" x14ac:dyDescent="0.3">
      <c r="A38" s="912" t="s">
        <v>92</v>
      </c>
      <c r="B38" s="916" t="s">
        <v>1163</v>
      </c>
      <c r="C38" s="917">
        <v>79697560</v>
      </c>
    </row>
    <row r="39" spans="1:3" ht="13" x14ac:dyDescent="0.3">
      <c r="A39" s="915" t="s">
        <v>94</v>
      </c>
      <c r="B39" s="916" t="s">
        <v>984</v>
      </c>
      <c r="C39" s="917"/>
    </row>
    <row r="40" spans="1:3" ht="13" x14ac:dyDescent="0.3">
      <c r="A40" s="915" t="s">
        <v>97</v>
      </c>
      <c r="B40" s="916" t="s">
        <v>985</v>
      </c>
      <c r="C40" s="917">
        <v>71031230</v>
      </c>
    </row>
    <row r="41" spans="1:3" ht="13" x14ac:dyDescent="0.3">
      <c r="A41" s="912" t="s">
        <v>100</v>
      </c>
      <c r="B41" s="916" t="s">
        <v>986</v>
      </c>
      <c r="C41" s="917">
        <v>850584</v>
      </c>
    </row>
    <row r="42" spans="1:3" ht="13" x14ac:dyDescent="0.3">
      <c r="A42" s="915" t="s">
        <v>102</v>
      </c>
      <c r="B42" s="916" t="s">
        <v>987</v>
      </c>
      <c r="C42" s="917">
        <v>0</v>
      </c>
    </row>
    <row r="43" spans="1:3" ht="13" x14ac:dyDescent="0.3">
      <c r="A43" s="915" t="s">
        <v>104</v>
      </c>
      <c r="B43" s="916" t="s">
        <v>988</v>
      </c>
      <c r="C43" s="917">
        <v>22209790</v>
      </c>
    </row>
    <row r="44" spans="1:3" ht="13" x14ac:dyDescent="0.3">
      <c r="A44" s="912" t="s">
        <v>107</v>
      </c>
      <c r="B44" s="916" t="s">
        <v>989</v>
      </c>
      <c r="C44" s="917">
        <v>399826</v>
      </c>
    </row>
    <row r="45" spans="1:3" ht="13" x14ac:dyDescent="0.3">
      <c r="A45" s="915" t="s">
        <v>110</v>
      </c>
      <c r="B45" s="913" t="s">
        <v>990</v>
      </c>
      <c r="C45" s="914">
        <v>0</v>
      </c>
    </row>
    <row r="46" spans="1:3" ht="13" x14ac:dyDescent="0.3">
      <c r="A46" s="918" t="s">
        <v>113</v>
      </c>
      <c r="B46" s="919" t="s">
        <v>991</v>
      </c>
      <c r="C46" s="920">
        <v>0</v>
      </c>
    </row>
    <row r="47" spans="1:3" ht="13" x14ac:dyDescent="0.3">
      <c r="A47" s="921" t="s">
        <v>116</v>
      </c>
      <c r="B47" s="922" t="s">
        <v>992</v>
      </c>
      <c r="C47" s="923">
        <f>SUM(C5:C46)</f>
        <v>2859663075</v>
      </c>
    </row>
    <row r="48" spans="1:3" ht="13" x14ac:dyDescent="0.3">
      <c r="A48" s="912" t="s">
        <v>119</v>
      </c>
      <c r="B48" s="924" t="s">
        <v>993</v>
      </c>
      <c r="C48" s="925">
        <v>0</v>
      </c>
    </row>
    <row r="49" spans="1:3" ht="13" x14ac:dyDescent="0.3">
      <c r="A49" s="918" t="s">
        <v>122</v>
      </c>
      <c r="B49" s="926" t="s">
        <v>994</v>
      </c>
      <c r="C49" s="927">
        <v>361391</v>
      </c>
    </row>
    <row r="50" spans="1:3" ht="13" x14ac:dyDescent="0.3">
      <c r="A50" s="921" t="s">
        <v>125</v>
      </c>
      <c r="B50" s="922" t="s">
        <v>995</v>
      </c>
      <c r="C50" s="923">
        <f>SUM(C48:C49)</f>
        <v>361391</v>
      </c>
    </row>
    <row r="51" spans="1:3" ht="13" x14ac:dyDescent="0.3">
      <c r="A51" s="921" t="s">
        <v>128</v>
      </c>
      <c r="B51" s="922" t="s">
        <v>996</v>
      </c>
      <c r="C51" s="923">
        <v>259986</v>
      </c>
    </row>
    <row r="52" spans="1:3" ht="13" x14ac:dyDescent="0.3">
      <c r="A52" s="921" t="s">
        <v>131</v>
      </c>
      <c r="B52" s="922" t="s">
        <v>1168</v>
      </c>
      <c r="C52" s="923">
        <f>SUM(C47+C50+C51)</f>
        <v>2860284452</v>
      </c>
    </row>
    <row r="53" spans="1:3" ht="13" x14ac:dyDescent="0.3">
      <c r="A53" s="928"/>
      <c r="B53" s="928"/>
      <c r="C53" s="928"/>
    </row>
  </sheetData>
  <mergeCells count="1">
    <mergeCell ref="A2:C2"/>
  </mergeCells>
  <pageMargins left="0.7" right="0.7" top="0.75" bottom="0.75" header="0.3" footer="0.3"/>
  <pageSetup paperSize="9" scale="78" orientation="portrait" r:id="rId1"/>
  <headerFooter>
    <oddHeader xml:space="preserve">&amp;C20. melléklet a 7/2018. (V.31.) önkormányzati rendelethez&amp;R 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"/>
  <sheetViews>
    <sheetView view="pageLayout" zoomScaleNormal="100" workbookViewId="0">
      <selection activeCell="N10" sqref="N10"/>
    </sheetView>
  </sheetViews>
  <sheetFormatPr defaultRowHeight="13" x14ac:dyDescent="0.3"/>
  <cols>
    <col min="1" max="1" width="5.69921875" style="809" customWidth="1"/>
    <col min="2" max="2" width="46.5" style="810" customWidth="1"/>
    <col min="3" max="3" width="16" style="810" customWidth="1"/>
    <col min="4" max="4" width="14.296875" style="810" bestFit="1" customWidth="1"/>
    <col min="5" max="5" width="15.796875" style="810" customWidth="1"/>
    <col min="6" max="6" width="10.296875" style="810" bestFit="1" customWidth="1"/>
    <col min="7" max="7" width="12.296875" style="810" customWidth="1"/>
    <col min="8" max="8" width="11.5" style="810" bestFit="1" customWidth="1"/>
    <col min="9" max="9" width="9.296875" style="810"/>
    <col min="10" max="10" width="13" style="810" customWidth="1"/>
    <col min="11" max="11" width="11" style="810" bestFit="1" customWidth="1"/>
    <col min="12" max="12" width="16.19921875" style="810" customWidth="1"/>
    <col min="13" max="13" width="14.296875" style="810" bestFit="1" customWidth="1"/>
    <col min="14" max="14" width="15.296875" style="810" customWidth="1"/>
    <col min="15" max="15" width="12.69921875" bestFit="1" customWidth="1"/>
  </cols>
  <sheetData>
    <row r="1" spans="1:14" x14ac:dyDescent="0.3">
      <c r="D1" s="811"/>
      <c r="E1" s="812"/>
    </row>
    <row r="2" spans="1:14" ht="17.5" x14ac:dyDescent="0.3">
      <c r="A2" s="1105" t="s">
        <v>1138</v>
      </c>
      <c r="B2" s="1105"/>
      <c r="C2" s="1105"/>
      <c r="D2" s="1105"/>
      <c r="E2" s="1105"/>
      <c r="F2" s="1105"/>
      <c r="G2" s="1105"/>
      <c r="H2" s="1105"/>
      <c r="I2" s="1105"/>
      <c r="J2" s="1105"/>
      <c r="K2" s="1105"/>
      <c r="L2" s="1105"/>
      <c r="M2" s="1105"/>
      <c r="N2" s="1105"/>
    </row>
    <row r="3" spans="1:14" x14ac:dyDescent="0.3">
      <c r="A3" s="813"/>
      <c r="B3" s="814"/>
      <c r="C3" s="814"/>
      <c r="D3" s="814"/>
      <c r="E3" s="814"/>
    </row>
    <row r="4" spans="1:14" x14ac:dyDescent="0.3">
      <c r="A4" s="813"/>
      <c r="B4" s="814"/>
      <c r="C4" s="814"/>
      <c r="D4" s="814"/>
      <c r="E4" s="815"/>
      <c r="F4" s="815"/>
      <c r="G4" s="815"/>
      <c r="H4" s="815"/>
      <c r="I4" s="815"/>
      <c r="J4" s="815"/>
      <c r="K4" s="815"/>
      <c r="L4" s="1106" t="s">
        <v>998</v>
      </c>
      <c r="M4" s="1106"/>
      <c r="N4" s="1106"/>
    </row>
    <row r="5" spans="1:14" ht="18.75" customHeight="1" x14ac:dyDescent="0.3">
      <c r="A5" s="1107" t="s">
        <v>1020</v>
      </c>
      <c r="B5" s="1108"/>
      <c r="C5" s="1108"/>
      <c r="D5" s="1108"/>
      <c r="E5" s="1108"/>
      <c r="F5" s="1108"/>
      <c r="G5" s="1108"/>
      <c r="H5" s="1108"/>
      <c r="I5" s="1108"/>
      <c r="J5" s="1108"/>
      <c r="K5" s="1108"/>
      <c r="L5" s="1108"/>
      <c r="M5" s="1108"/>
      <c r="N5" s="1109"/>
    </row>
    <row r="6" spans="1:14" x14ac:dyDescent="0.3">
      <c r="A6" s="1110" t="s">
        <v>404</v>
      </c>
      <c r="B6" s="1112" t="s">
        <v>267</v>
      </c>
      <c r="C6" s="1114" t="s">
        <v>381</v>
      </c>
      <c r="D6" s="1115"/>
      <c r="E6" s="1116"/>
      <c r="F6" s="1117" t="s">
        <v>400</v>
      </c>
      <c r="G6" s="1112"/>
      <c r="H6" s="1118"/>
      <c r="I6" s="1117" t="s">
        <v>993</v>
      </c>
      <c r="J6" s="1112"/>
      <c r="K6" s="1118"/>
      <c r="L6" s="1117" t="s">
        <v>997</v>
      </c>
      <c r="M6" s="1112"/>
      <c r="N6" s="1118"/>
    </row>
    <row r="7" spans="1:14" ht="26" x14ac:dyDescent="0.3">
      <c r="A7" s="1111"/>
      <c r="B7" s="1113"/>
      <c r="C7" s="816" t="s">
        <v>1000</v>
      </c>
      <c r="D7" s="817" t="s">
        <v>1001</v>
      </c>
      <c r="E7" s="818" t="s">
        <v>1002</v>
      </c>
      <c r="F7" s="816" t="s">
        <v>1000</v>
      </c>
      <c r="G7" s="817" t="s">
        <v>1001</v>
      </c>
      <c r="H7" s="818" t="s">
        <v>1002</v>
      </c>
      <c r="I7" s="816" t="s">
        <v>1000</v>
      </c>
      <c r="J7" s="817" t="s">
        <v>1001</v>
      </c>
      <c r="K7" s="818" t="s">
        <v>1002</v>
      </c>
      <c r="L7" s="816" t="s">
        <v>1000</v>
      </c>
      <c r="M7" s="817" t="s">
        <v>1001</v>
      </c>
      <c r="N7" s="818" t="s">
        <v>1002</v>
      </c>
    </row>
    <row r="8" spans="1:14" x14ac:dyDescent="0.3">
      <c r="A8" s="825" t="s">
        <v>10</v>
      </c>
      <c r="B8" s="873" t="s">
        <v>1021</v>
      </c>
      <c r="C8" s="820">
        <v>0</v>
      </c>
      <c r="D8" s="820"/>
      <c r="E8" s="820">
        <v>0</v>
      </c>
      <c r="F8" s="820">
        <v>0</v>
      </c>
      <c r="G8" s="820"/>
      <c r="H8" s="820">
        <v>418534</v>
      </c>
      <c r="I8" s="820">
        <v>0</v>
      </c>
      <c r="J8" s="820">
        <v>0</v>
      </c>
      <c r="K8" s="820">
        <v>0</v>
      </c>
      <c r="L8" s="820">
        <f t="shared" ref="L8:N18" si="0">SUM(C8+F8+I8)</f>
        <v>0</v>
      </c>
      <c r="M8" s="820">
        <f t="shared" si="0"/>
        <v>0</v>
      </c>
      <c r="N8" s="821">
        <f t="shared" si="0"/>
        <v>418534</v>
      </c>
    </row>
    <row r="9" spans="1:14" x14ac:dyDescent="0.3">
      <c r="A9" s="879"/>
      <c r="B9" s="999" t="s">
        <v>1174</v>
      </c>
      <c r="C9" s="827"/>
      <c r="D9" s="827"/>
      <c r="E9" s="1001">
        <v>2287058</v>
      </c>
      <c r="F9" s="1001"/>
      <c r="G9" s="1001"/>
      <c r="H9" s="1001">
        <v>553337</v>
      </c>
      <c r="I9" s="827"/>
      <c r="J9" s="827"/>
      <c r="K9" s="827"/>
      <c r="L9" s="827"/>
      <c r="M9" s="827"/>
      <c r="N9" s="1000">
        <f>E9+H9</f>
        <v>2840395</v>
      </c>
    </row>
    <row r="10" spans="1:14" ht="13.5" x14ac:dyDescent="0.3">
      <c r="A10" s="879"/>
      <c r="B10" s="999" t="s">
        <v>1175</v>
      </c>
      <c r="C10" s="827"/>
      <c r="D10" s="827"/>
      <c r="E10" s="1001">
        <v>0</v>
      </c>
      <c r="F10" s="1001"/>
      <c r="G10" s="1001"/>
      <c r="H10" s="1001">
        <v>418534</v>
      </c>
      <c r="I10" s="827"/>
      <c r="J10" s="827"/>
      <c r="K10" s="827"/>
      <c r="L10" s="827"/>
      <c r="M10" s="827"/>
      <c r="N10" s="1003">
        <v>418534</v>
      </c>
    </row>
    <row r="11" spans="1:14" x14ac:dyDescent="0.3">
      <c r="A11" s="826" t="s">
        <v>13</v>
      </c>
      <c r="B11" s="874" t="s">
        <v>1022</v>
      </c>
      <c r="C11" s="823">
        <v>1286606</v>
      </c>
      <c r="D11" s="823"/>
      <c r="E11" s="823">
        <v>318655</v>
      </c>
      <c r="F11" s="823">
        <v>0</v>
      </c>
      <c r="G11" s="823"/>
      <c r="H11" s="823">
        <v>0</v>
      </c>
      <c r="I11" s="823">
        <v>0</v>
      </c>
      <c r="J11" s="823">
        <v>0</v>
      </c>
      <c r="K11" s="823">
        <v>0</v>
      </c>
      <c r="L11" s="823">
        <f t="shared" si="0"/>
        <v>1286606</v>
      </c>
      <c r="M11" s="823">
        <f t="shared" si="0"/>
        <v>0</v>
      </c>
      <c r="N11" s="824">
        <f t="shared" si="0"/>
        <v>318655</v>
      </c>
    </row>
    <row r="12" spans="1:14" x14ac:dyDescent="0.3">
      <c r="A12" s="879"/>
      <c r="B12" s="999" t="s">
        <v>1177</v>
      </c>
      <c r="C12" s="827"/>
      <c r="D12" s="827"/>
      <c r="E12" s="827"/>
      <c r="F12" s="827"/>
      <c r="G12" s="827"/>
      <c r="H12" s="827"/>
      <c r="I12" s="827"/>
      <c r="J12" s="827"/>
      <c r="K12" s="827"/>
      <c r="L12" s="827"/>
      <c r="M12" s="827"/>
      <c r="N12" s="828"/>
    </row>
    <row r="13" spans="1:14" x14ac:dyDescent="0.3">
      <c r="A13" s="879"/>
      <c r="B13" s="999" t="s">
        <v>1174</v>
      </c>
      <c r="C13" s="827"/>
      <c r="D13" s="827"/>
      <c r="E13" s="827"/>
      <c r="F13" s="827"/>
      <c r="G13" s="827"/>
      <c r="H13" s="827"/>
      <c r="I13" s="827"/>
      <c r="J13" s="827"/>
      <c r="K13" s="827"/>
      <c r="L13" s="827"/>
      <c r="M13" s="827"/>
      <c r="N13" s="828"/>
    </row>
    <row r="14" spans="1:14" x14ac:dyDescent="0.3">
      <c r="A14" s="879"/>
      <c r="B14" s="999" t="s">
        <v>1175</v>
      </c>
      <c r="C14" s="827"/>
      <c r="D14" s="827"/>
      <c r="E14" s="827"/>
      <c r="F14" s="827"/>
      <c r="G14" s="827"/>
      <c r="H14" s="827"/>
      <c r="I14" s="827"/>
      <c r="J14" s="827"/>
      <c r="K14" s="827"/>
      <c r="L14" s="827"/>
      <c r="M14" s="827"/>
      <c r="N14" s="828"/>
    </row>
    <row r="15" spans="1:14" x14ac:dyDescent="0.3">
      <c r="A15" s="879"/>
      <c r="B15" s="999" t="s">
        <v>1176</v>
      </c>
      <c r="C15" s="827"/>
      <c r="D15" s="827"/>
      <c r="E15" s="827"/>
      <c r="F15" s="827"/>
      <c r="G15" s="827"/>
      <c r="H15" s="827"/>
      <c r="I15" s="827"/>
      <c r="J15" s="827"/>
      <c r="K15" s="827"/>
      <c r="L15" s="827"/>
      <c r="M15" s="827"/>
      <c r="N15" s="828"/>
    </row>
    <row r="16" spans="1:14" x14ac:dyDescent="0.3">
      <c r="A16" s="879"/>
      <c r="B16" s="999" t="s">
        <v>1174</v>
      </c>
      <c r="C16" s="1001"/>
      <c r="D16" s="1001"/>
      <c r="E16" s="1001">
        <v>38754012</v>
      </c>
      <c r="F16" s="1001"/>
      <c r="G16" s="1001"/>
      <c r="H16" s="1001"/>
      <c r="I16" s="827"/>
      <c r="J16" s="827"/>
      <c r="K16" s="1001">
        <v>55000</v>
      </c>
      <c r="L16" s="827"/>
      <c r="M16" s="827"/>
      <c r="N16" s="1000">
        <f>C16+K16+E16</f>
        <v>38809012</v>
      </c>
    </row>
    <row r="17" spans="1:14" ht="13.5" x14ac:dyDescent="0.3">
      <c r="A17" s="879"/>
      <c r="B17" s="999" t="s">
        <v>1175</v>
      </c>
      <c r="C17" s="1001"/>
      <c r="D17" s="1001"/>
      <c r="E17" s="1001">
        <v>318655</v>
      </c>
      <c r="F17" s="1001"/>
      <c r="G17" s="1001"/>
      <c r="H17" s="1001"/>
      <c r="I17" s="827"/>
      <c r="J17" s="827"/>
      <c r="K17" s="1001">
        <v>0</v>
      </c>
      <c r="L17" s="827"/>
      <c r="M17" s="827"/>
      <c r="N17" s="1003">
        <v>318655</v>
      </c>
    </row>
    <row r="18" spans="1:14" x14ac:dyDescent="0.3">
      <c r="A18" s="875" t="s">
        <v>16</v>
      </c>
      <c r="B18" s="876" t="s">
        <v>1023</v>
      </c>
      <c r="C18" s="877"/>
      <c r="D18" s="877"/>
      <c r="E18" s="877"/>
      <c r="F18" s="877">
        <v>0</v>
      </c>
      <c r="G18" s="877"/>
      <c r="H18" s="877">
        <v>0</v>
      </c>
      <c r="I18" s="877">
        <v>0</v>
      </c>
      <c r="J18" s="877">
        <v>0</v>
      </c>
      <c r="K18" s="877">
        <v>0</v>
      </c>
      <c r="L18" s="877">
        <f t="shared" si="0"/>
        <v>0</v>
      </c>
      <c r="M18" s="877">
        <f t="shared" si="0"/>
        <v>0</v>
      </c>
      <c r="N18" s="878">
        <f t="shared" si="0"/>
        <v>0</v>
      </c>
    </row>
    <row r="19" spans="1:14" ht="26" x14ac:dyDescent="0.3">
      <c r="A19" s="829" t="s">
        <v>19</v>
      </c>
      <c r="B19" s="881" t="s">
        <v>1024</v>
      </c>
      <c r="C19" s="854">
        <v>1286606</v>
      </c>
      <c r="D19" s="854"/>
      <c r="E19" s="854">
        <v>318655</v>
      </c>
      <c r="F19" s="854">
        <f>SUM(F8:F18)</f>
        <v>0</v>
      </c>
      <c r="G19" s="854"/>
      <c r="H19" s="854">
        <v>418534</v>
      </c>
      <c r="I19" s="854">
        <f>SUM(I8:I18)</f>
        <v>0</v>
      </c>
      <c r="J19" s="854">
        <v>0</v>
      </c>
      <c r="K19" s="854">
        <v>0</v>
      </c>
      <c r="L19" s="854">
        <f>SUM(L8:L18)</f>
        <v>1286606</v>
      </c>
      <c r="M19" s="854">
        <f>SUM(M8:M18)</f>
        <v>0</v>
      </c>
      <c r="N19" s="855">
        <v>737189</v>
      </c>
    </row>
    <row r="20" spans="1:14" x14ac:dyDescent="0.3">
      <c r="A20" s="879" t="s">
        <v>22</v>
      </c>
      <c r="B20" s="880" t="s">
        <v>1025</v>
      </c>
      <c r="C20" s="827">
        <v>10145471286</v>
      </c>
      <c r="D20" s="827"/>
      <c r="E20" s="827">
        <v>9708871031</v>
      </c>
      <c r="F20" s="827">
        <v>0</v>
      </c>
      <c r="G20" s="827"/>
      <c r="H20" s="827">
        <v>0</v>
      </c>
      <c r="I20" s="827">
        <v>0</v>
      </c>
      <c r="J20" s="827">
        <v>0</v>
      </c>
      <c r="K20" s="827">
        <v>0</v>
      </c>
      <c r="L20" s="827">
        <f t="shared" ref="L20:N43" si="1">SUM(C20+F20+I20)</f>
        <v>10145471286</v>
      </c>
      <c r="M20" s="827">
        <f t="shared" si="1"/>
        <v>0</v>
      </c>
      <c r="N20" s="828">
        <f t="shared" si="1"/>
        <v>9708871031</v>
      </c>
    </row>
    <row r="21" spans="1:14" x14ac:dyDescent="0.3">
      <c r="A21" s="879"/>
      <c r="B21" s="1002" t="s">
        <v>1178</v>
      </c>
      <c r="C21" s="1001"/>
      <c r="D21" s="1001"/>
      <c r="E21" s="1001"/>
      <c r="F21" s="1001"/>
      <c r="G21" s="1001"/>
      <c r="H21" s="1001"/>
      <c r="I21" s="1001"/>
      <c r="J21" s="1001"/>
      <c r="K21" s="1001"/>
      <c r="L21" s="1001"/>
      <c r="M21" s="1001"/>
      <c r="N21" s="1000"/>
    </row>
    <row r="22" spans="1:14" x14ac:dyDescent="0.3">
      <c r="A22" s="879"/>
      <c r="B22" s="999" t="s">
        <v>1180</v>
      </c>
      <c r="C22" s="1001"/>
      <c r="D22" s="1001"/>
      <c r="E22" s="1001"/>
      <c r="F22" s="1001"/>
      <c r="G22" s="1001"/>
      <c r="H22" s="1001"/>
      <c r="I22" s="1001"/>
      <c r="J22" s="1001"/>
      <c r="K22" s="1001"/>
      <c r="L22" s="1001"/>
      <c r="M22" s="1001"/>
      <c r="N22" s="1000"/>
    </row>
    <row r="23" spans="1:14" x14ac:dyDescent="0.3">
      <c r="A23" s="879"/>
      <c r="B23" s="999" t="s">
        <v>1174</v>
      </c>
      <c r="C23" s="1001"/>
      <c r="D23" s="1001"/>
      <c r="E23" s="1001">
        <v>4736169750</v>
      </c>
      <c r="F23" s="1001"/>
      <c r="G23" s="1001"/>
      <c r="H23" s="1001"/>
      <c r="I23" s="1001"/>
      <c r="J23" s="1001"/>
      <c r="K23" s="1001"/>
      <c r="L23" s="1001"/>
      <c r="M23" s="1001"/>
      <c r="N23" s="1000">
        <v>4736169750</v>
      </c>
    </row>
    <row r="24" spans="1:14" ht="13.5" x14ac:dyDescent="0.3">
      <c r="A24" s="879"/>
      <c r="B24" s="999" t="s">
        <v>1175</v>
      </c>
      <c r="C24" s="1001"/>
      <c r="D24" s="1001"/>
      <c r="E24" s="1001">
        <v>3740333503</v>
      </c>
      <c r="F24" s="1001"/>
      <c r="G24" s="1001"/>
      <c r="H24" s="1001"/>
      <c r="I24" s="1001"/>
      <c r="J24" s="1001"/>
      <c r="K24" s="1001"/>
      <c r="L24" s="1001"/>
      <c r="M24" s="1001"/>
      <c r="N24" s="1003">
        <v>3740333503</v>
      </c>
    </row>
    <row r="25" spans="1:14" x14ac:dyDescent="0.3">
      <c r="A25" s="879"/>
      <c r="B25" s="999" t="s">
        <v>1181</v>
      </c>
      <c r="C25" s="1001"/>
      <c r="D25" s="1001"/>
      <c r="E25" s="1001"/>
      <c r="F25" s="1001"/>
      <c r="G25" s="1001"/>
      <c r="H25" s="1001"/>
      <c r="I25" s="1001"/>
      <c r="J25" s="1001"/>
      <c r="K25" s="1001"/>
      <c r="L25" s="1001"/>
      <c r="M25" s="1001"/>
      <c r="N25" s="1000"/>
    </row>
    <row r="26" spans="1:14" x14ac:dyDescent="0.3">
      <c r="A26" s="879"/>
      <c r="B26" s="999" t="s">
        <v>1174</v>
      </c>
      <c r="C26" s="1001"/>
      <c r="D26" s="1001"/>
      <c r="E26" s="1001">
        <v>4014107938</v>
      </c>
      <c r="F26" s="1001"/>
      <c r="G26" s="1001"/>
      <c r="H26" s="1001"/>
      <c r="I26" s="1001"/>
      <c r="J26" s="1001"/>
      <c r="K26" s="1001"/>
      <c r="L26" s="1001"/>
      <c r="M26" s="1001"/>
      <c r="N26" s="1000">
        <v>4014107938</v>
      </c>
    </row>
    <row r="27" spans="1:14" ht="13.5" x14ac:dyDescent="0.3">
      <c r="A27" s="879"/>
      <c r="B27" s="999" t="s">
        <v>1175</v>
      </c>
      <c r="C27" s="1001"/>
      <c r="D27" s="1001"/>
      <c r="E27" s="1001">
        <v>3291348177</v>
      </c>
      <c r="F27" s="1001"/>
      <c r="G27" s="1001"/>
      <c r="H27" s="1001"/>
      <c r="I27" s="1001"/>
      <c r="J27" s="1001"/>
      <c r="K27" s="1001"/>
      <c r="L27" s="1001"/>
      <c r="M27" s="1001"/>
      <c r="N27" s="1003">
        <v>3291348177</v>
      </c>
    </row>
    <row r="28" spans="1:14" x14ac:dyDescent="0.3">
      <c r="A28" s="879"/>
      <c r="B28" s="1002" t="s">
        <v>1179</v>
      </c>
      <c r="C28" s="1001"/>
      <c r="D28" s="1001"/>
      <c r="E28" s="1001"/>
      <c r="F28" s="1001"/>
      <c r="G28" s="1001"/>
      <c r="H28" s="1001"/>
      <c r="I28" s="1001"/>
      <c r="J28" s="1001"/>
      <c r="K28" s="1001"/>
      <c r="L28" s="1001"/>
      <c r="M28" s="1001"/>
      <c r="N28" s="1000"/>
    </row>
    <row r="29" spans="1:14" x14ac:dyDescent="0.3">
      <c r="A29" s="879"/>
      <c r="B29" s="999" t="s">
        <v>1174</v>
      </c>
      <c r="C29" s="1001"/>
      <c r="D29" s="1001"/>
      <c r="E29" s="1001">
        <v>3869277599</v>
      </c>
      <c r="F29" s="1001"/>
      <c r="G29" s="1001"/>
      <c r="H29" s="1001"/>
      <c r="I29" s="1001"/>
      <c r="J29" s="1001"/>
      <c r="K29" s="1001">
        <v>331000</v>
      </c>
      <c r="L29" s="1001"/>
      <c r="M29" s="1001"/>
      <c r="N29" s="1000">
        <f>E29+K29</f>
        <v>3869608599</v>
      </c>
    </row>
    <row r="30" spans="1:14" x14ac:dyDescent="0.3">
      <c r="A30" s="879"/>
      <c r="B30" s="999" t="s">
        <v>1175</v>
      </c>
      <c r="C30" s="1001"/>
      <c r="D30" s="1001"/>
      <c r="E30" s="1001">
        <v>2677189351</v>
      </c>
      <c r="F30" s="1001"/>
      <c r="G30" s="1001"/>
      <c r="H30" s="1001"/>
      <c r="I30" s="1001"/>
      <c r="J30" s="1001"/>
      <c r="K30" s="1001"/>
      <c r="L30" s="1001"/>
      <c r="M30" s="1001"/>
      <c r="N30" s="1000">
        <v>2677189351</v>
      </c>
    </row>
    <row r="31" spans="1:14" x14ac:dyDescent="0.3">
      <c r="A31" s="826" t="s">
        <v>25</v>
      </c>
      <c r="B31" s="874" t="s">
        <v>1026</v>
      </c>
      <c r="C31" s="823">
        <v>304732049</v>
      </c>
      <c r="D31" s="823"/>
      <c r="E31" s="823">
        <v>241389629</v>
      </c>
      <c r="F31" s="823">
        <v>1000496</v>
      </c>
      <c r="G31" s="823"/>
      <c r="H31" s="823">
        <v>1049357</v>
      </c>
      <c r="I31" s="823"/>
      <c r="J31" s="823">
        <v>0</v>
      </c>
      <c r="K31" s="823"/>
      <c r="L31" s="823">
        <f t="shared" si="1"/>
        <v>305732545</v>
      </c>
      <c r="M31" s="823">
        <f t="shared" si="1"/>
        <v>0</v>
      </c>
      <c r="N31" s="824">
        <f t="shared" si="1"/>
        <v>242438986</v>
      </c>
    </row>
    <row r="32" spans="1:14" x14ac:dyDescent="0.3">
      <c r="A32" s="879"/>
      <c r="B32" s="999" t="s">
        <v>1180</v>
      </c>
      <c r="C32" s="1001"/>
      <c r="D32" s="1001"/>
      <c r="E32" s="1001"/>
      <c r="F32" s="1001"/>
      <c r="G32" s="1001"/>
      <c r="H32" s="1001"/>
      <c r="I32" s="1001"/>
      <c r="J32" s="1001"/>
      <c r="K32" s="1001"/>
      <c r="L32" s="1001"/>
      <c r="M32" s="1001"/>
      <c r="N32" s="1000"/>
    </row>
    <row r="33" spans="1:15" x14ac:dyDescent="0.3">
      <c r="A33" s="879"/>
      <c r="B33" s="999" t="s">
        <v>1174</v>
      </c>
      <c r="C33" s="1001"/>
      <c r="D33" s="1001"/>
      <c r="E33" s="1001"/>
      <c r="F33" s="1001"/>
      <c r="G33" s="1001"/>
      <c r="H33" s="1001"/>
      <c r="I33" s="1001"/>
      <c r="J33" s="1001"/>
      <c r="K33" s="1001"/>
      <c r="L33" s="1001"/>
      <c r="M33" s="1001"/>
      <c r="N33" s="1000"/>
    </row>
    <row r="34" spans="1:15" x14ac:dyDescent="0.3">
      <c r="A34" s="879"/>
      <c r="B34" s="999" t="s">
        <v>1175</v>
      </c>
      <c r="C34" s="1001"/>
      <c r="D34" s="1001"/>
      <c r="E34" s="1001"/>
      <c r="F34" s="1001"/>
      <c r="G34" s="1001"/>
      <c r="H34" s="1001"/>
      <c r="I34" s="1001"/>
      <c r="J34" s="1001"/>
      <c r="K34" s="1001"/>
      <c r="L34" s="1001"/>
      <c r="M34" s="1001"/>
      <c r="N34" s="1000"/>
    </row>
    <row r="35" spans="1:15" x14ac:dyDescent="0.3">
      <c r="A35" s="879"/>
      <c r="B35" s="999" t="s">
        <v>1181</v>
      </c>
      <c r="C35" s="1001"/>
      <c r="D35" s="1001"/>
      <c r="E35" s="1001"/>
      <c r="F35" s="1001"/>
      <c r="G35" s="1001"/>
      <c r="H35" s="1001"/>
      <c r="I35" s="1001"/>
      <c r="J35" s="1001"/>
      <c r="K35" s="1001"/>
      <c r="L35" s="1001"/>
      <c r="M35" s="1001"/>
      <c r="N35" s="1000"/>
    </row>
    <row r="36" spans="1:15" x14ac:dyDescent="0.3">
      <c r="A36" s="879"/>
      <c r="B36" s="999" t="s">
        <v>1174</v>
      </c>
      <c r="C36" s="1001"/>
      <c r="D36" s="1001"/>
      <c r="E36" s="1001">
        <v>45405515</v>
      </c>
      <c r="F36" s="1001"/>
      <c r="G36" s="1001"/>
      <c r="H36" s="1001"/>
      <c r="I36" s="1001"/>
      <c r="J36" s="1001"/>
      <c r="K36" s="1001"/>
      <c r="L36" s="1001"/>
      <c r="M36" s="1001"/>
      <c r="N36" s="1000">
        <v>45405515</v>
      </c>
    </row>
    <row r="37" spans="1:15" x14ac:dyDescent="0.3">
      <c r="A37" s="879"/>
      <c r="B37" s="999" t="s">
        <v>1175</v>
      </c>
      <c r="C37" s="1001"/>
      <c r="D37" s="1001"/>
      <c r="E37" s="1001"/>
      <c r="F37" s="1001"/>
      <c r="G37" s="1001"/>
      <c r="H37" s="1001"/>
      <c r="I37" s="1001"/>
      <c r="J37" s="1001"/>
      <c r="K37" s="1001"/>
      <c r="L37" s="1001"/>
      <c r="M37" s="1001"/>
      <c r="N37" s="1000"/>
    </row>
    <row r="38" spans="1:15" x14ac:dyDescent="0.3">
      <c r="A38" s="879"/>
      <c r="B38" s="999" t="s">
        <v>1182</v>
      </c>
      <c r="C38" s="1001"/>
      <c r="D38" s="1001"/>
      <c r="E38" s="1001"/>
      <c r="F38" s="1001"/>
      <c r="G38" s="1001"/>
      <c r="H38" s="1001"/>
      <c r="I38" s="1001"/>
      <c r="J38" s="1001"/>
      <c r="K38" s="1001"/>
      <c r="L38" s="1001"/>
      <c r="M38" s="1001"/>
      <c r="N38" s="1000"/>
    </row>
    <row r="39" spans="1:15" x14ac:dyDescent="0.3">
      <c r="A39" s="879"/>
      <c r="B39" s="999" t="s">
        <v>1174</v>
      </c>
      <c r="C39" s="1001"/>
      <c r="D39" s="1001"/>
      <c r="E39" s="1001">
        <v>759992878</v>
      </c>
      <c r="F39" s="1001"/>
      <c r="G39" s="1001"/>
      <c r="H39" s="1001">
        <v>9858677</v>
      </c>
      <c r="I39" s="1001"/>
      <c r="J39" s="1001"/>
      <c r="K39" s="1001">
        <v>2672049</v>
      </c>
      <c r="L39" s="1001"/>
      <c r="M39" s="1001"/>
      <c r="N39" s="1000">
        <f>E39+H39+K39</f>
        <v>772523604</v>
      </c>
    </row>
    <row r="40" spans="1:15" ht="13.5" x14ac:dyDescent="0.3">
      <c r="A40" s="879"/>
      <c r="B40" s="999" t="s">
        <v>1175</v>
      </c>
      <c r="C40" s="1001"/>
      <c r="D40" s="1001"/>
      <c r="E40" s="1001">
        <v>241389629</v>
      </c>
      <c r="F40" s="1001"/>
      <c r="G40" s="1001"/>
      <c r="H40" s="1001">
        <v>1049357</v>
      </c>
      <c r="I40" s="1001"/>
      <c r="J40" s="1001"/>
      <c r="K40" s="1001"/>
      <c r="L40" s="1001"/>
      <c r="M40" s="1001"/>
      <c r="N40" s="1003">
        <f>E40+H40+K40</f>
        <v>242438986</v>
      </c>
    </row>
    <row r="41" spans="1:15" x14ac:dyDescent="0.3">
      <c r="A41" s="826" t="s">
        <v>28</v>
      </c>
      <c r="B41" s="874" t="s">
        <v>1027</v>
      </c>
      <c r="C41" s="823">
        <v>0</v>
      </c>
      <c r="D41" s="823"/>
      <c r="E41" s="823">
        <v>0</v>
      </c>
      <c r="F41" s="823">
        <v>0</v>
      </c>
      <c r="G41" s="823"/>
      <c r="H41" s="823">
        <v>0</v>
      </c>
      <c r="I41" s="823">
        <v>0</v>
      </c>
      <c r="J41" s="823">
        <v>0</v>
      </c>
      <c r="K41" s="823">
        <v>0</v>
      </c>
      <c r="L41" s="823">
        <f t="shared" si="1"/>
        <v>0</v>
      </c>
      <c r="M41" s="823">
        <f t="shared" si="1"/>
        <v>0</v>
      </c>
      <c r="N41" s="824">
        <f t="shared" si="1"/>
        <v>0</v>
      </c>
    </row>
    <row r="42" spans="1:15" x14ac:dyDescent="0.3">
      <c r="A42" s="826" t="s">
        <v>31</v>
      </c>
      <c r="B42" s="874" t="s">
        <v>1028</v>
      </c>
      <c r="C42" s="823">
        <v>13196200</v>
      </c>
      <c r="D42" s="823"/>
      <c r="E42" s="823">
        <v>21789958</v>
      </c>
      <c r="F42" s="823">
        <v>0</v>
      </c>
      <c r="G42" s="823"/>
      <c r="H42" s="823">
        <v>4340</v>
      </c>
      <c r="I42" s="823">
        <v>0</v>
      </c>
      <c r="J42" s="823">
        <v>0</v>
      </c>
      <c r="K42" s="823">
        <v>0</v>
      </c>
      <c r="L42" s="823">
        <f t="shared" si="1"/>
        <v>13196200</v>
      </c>
      <c r="M42" s="823">
        <f t="shared" si="1"/>
        <v>0</v>
      </c>
      <c r="N42" s="1005">
        <f t="shared" si="1"/>
        <v>21794298</v>
      </c>
    </row>
    <row r="43" spans="1:15" x14ac:dyDescent="0.3">
      <c r="A43" s="875" t="s">
        <v>34</v>
      </c>
      <c r="B43" s="876" t="s">
        <v>1029</v>
      </c>
      <c r="C43" s="877">
        <v>0</v>
      </c>
      <c r="D43" s="877"/>
      <c r="E43" s="877">
        <v>0</v>
      </c>
      <c r="F43" s="877">
        <v>0</v>
      </c>
      <c r="G43" s="877"/>
      <c r="H43" s="877">
        <v>0</v>
      </c>
      <c r="I43" s="877">
        <v>0</v>
      </c>
      <c r="J43" s="877">
        <v>0</v>
      </c>
      <c r="K43" s="877">
        <v>0</v>
      </c>
      <c r="L43" s="877">
        <f t="shared" si="1"/>
        <v>0</v>
      </c>
      <c r="M43" s="877">
        <f t="shared" si="1"/>
        <v>0</v>
      </c>
      <c r="N43" s="878">
        <f t="shared" si="1"/>
        <v>0</v>
      </c>
    </row>
    <row r="44" spans="1:15" ht="26" x14ac:dyDescent="0.3">
      <c r="A44" s="829" t="s">
        <v>37</v>
      </c>
      <c r="B44" s="881" t="s">
        <v>1030</v>
      </c>
      <c r="C44" s="854">
        <f>SUM(C20:C43)</f>
        <v>10463399535</v>
      </c>
      <c r="D44" s="854"/>
      <c r="E44" s="854">
        <f>E24+E27+E30+E40+E42</f>
        <v>9972050618</v>
      </c>
      <c r="F44" s="854">
        <f>SUM(F20:F43)</f>
        <v>1000496</v>
      </c>
      <c r="G44" s="854"/>
      <c r="H44" s="854">
        <f>H40+H42</f>
        <v>1053697</v>
      </c>
      <c r="I44" s="854">
        <f>SUM(I20:I43)</f>
        <v>0</v>
      </c>
      <c r="J44" s="854">
        <v>0</v>
      </c>
      <c r="K44" s="854">
        <v>0</v>
      </c>
      <c r="L44" s="854">
        <f>SUM(L20:L43)</f>
        <v>10464400031</v>
      </c>
      <c r="M44" s="854">
        <f>SUM(M20:M43)</f>
        <v>0</v>
      </c>
      <c r="N44" s="855">
        <f>N20+N31+N42</f>
        <v>9973104315</v>
      </c>
      <c r="O44" s="1004"/>
    </row>
    <row r="45" spans="1:15" x14ac:dyDescent="0.3">
      <c r="A45" s="879" t="s">
        <v>39</v>
      </c>
      <c r="B45" s="880" t="s">
        <v>1031</v>
      </c>
      <c r="C45" s="827">
        <v>385861194</v>
      </c>
      <c r="D45" s="827"/>
      <c r="E45" s="827">
        <v>349871194</v>
      </c>
      <c r="F45" s="827">
        <v>0</v>
      </c>
      <c r="G45" s="827"/>
      <c r="H45" s="827">
        <v>0</v>
      </c>
      <c r="I45" s="827">
        <v>0</v>
      </c>
      <c r="J45" s="827">
        <v>0</v>
      </c>
      <c r="K45" s="827">
        <v>0</v>
      </c>
      <c r="L45" s="827">
        <f t="shared" ref="L45:N47" si="2">SUM(C45+F45+I45)</f>
        <v>385861194</v>
      </c>
      <c r="M45" s="827">
        <f t="shared" si="2"/>
        <v>0</v>
      </c>
      <c r="N45" s="828">
        <f t="shared" si="2"/>
        <v>349871194</v>
      </c>
    </row>
    <row r="46" spans="1:15" x14ac:dyDescent="0.3">
      <c r="A46" s="826" t="s">
        <v>41</v>
      </c>
      <c r="B46" s="874" t="s">
        <v>1032</v>
      </c>
      <c r="C46" s="823">
        <v>0</v>
      </c>
      <c r="D46" s="823"/>
      <c r="E46" s="823">
        <v>0</v>
      </c>
      <c r="F46" s="823">
        <v>0</v>
      </c>
      <c r="G46" s="823"/>
      <c r="H46" s="823">
        <v>0</v>
      </c>
      <c r="I46" s="823">
        <v>0</v>
      </c>
      <c r="J46" s="823">
        <v>0</v>
      </c>
      <c r="K46" s="823">
        <v>0</v>
      </c>
      <c r="L46" s="823">
        <f t="shared" si="2"/>
        <v>0</v>
      </c>
      <c r="M46" s="823">
        <f t="shared" si="2"/>
        <v>0</v>
      </c>
      <c r="N46" s="824">
        <f t="shared" si="2"/>
        <v>0</v>
      </c>
    </row>
    <row r="47" spans="1:15" x14ac:dyDescent="0.3">
      <c r="A47" s="875" t="s">
        <v>43</v>
      </c>
      <c r="B47" s="876" t="s">
        <v>1033</v>
      </c>
      <c r="C47" s="877">
        <v>0</v>
      </c>
      <c r="D47" s="877"/>
      <c r="E47" s="877">
        <v>0</v>
      </c>
      <c r="F47" s="877">
        <v>0</v>
      </c>
      <c r="G47" s="877"/>
      <c r="H47" s="877">
        <v>0</v>
      </c>
      <c r="I47" s="877">
        <v>0</v>
      </c>
      <c r="J47" s="877">
        <v>0</v>
      </c>
      <c r="K47" s="877">
        <v>0</v>
      </c>
      <c r="L47" s="877">
        <f t="shared" si="2"/>
        <v>0</v>
      </c>
      <c r="M47" s="877">
        <f t="shared" si="2"/>
        <v>0</v>
      </c>
      <c r="N47" s="878">
        <f t="shared" si="2"/>
        <v>0</v>
      </c>
    </row>
    <row r="48" spans="1:15" ht="26" x14ac:dyDescent="0.3">
      <c r="A48" s="829" t="s">
        <v>45</v>
      </c>
      <c r="B48" s="881" t="s">
        <v>1034</v>
      </c>
      <c r="C48" s="854">
        <f t="shared" ref="C48" si="3">SUM(C45:C47)</f>
        <v>385861194</v>
      </c>
      <c r="D48" s="854"/>
      <c r="E48" s="854">
        <f t="shared" ref="E48:N48" si="4">SUM(E45:E47)</f>
        <v>349871194</v>
      </c>
      <c r="F48" s="854">
        <f t="shared" ref="F48" si="5">SUM(F45:F47)</f>
        <v>0</v>
      </c>
      <c r="G48" s="854"/>
      <c r="H48" s="854">
        <f t="shared" si="4"/>
        <v>0</v>
      </c>
      <c r="I48" s="854">
        <f t="shared" si="4"/>
        <v>0</v>
      </c>
      <c r="J48" s="854">
        <f t="shared" si="4"/>
        <v>0</v>
      </c>
      <c r="K48" s="854">
        <f t="shared" si="4"/>
        <v>0</v>
      </c>
      <c r="L48" s="854">
        <f t="shared" ref="L48" si="6">SUM(L45:L47)</f>
        <v>385861194</v>
      </c>
      <c r="M48" s="854">
        <f t="shared" si="4"/>
        <v>0</v>
      </c>
      <c r="N48" s="855">
        <f t="shared" si="4"/>
        <v>349871194</v>
      </c>
    </row>
    <row r="49" spans="1:14" x14ac:dyDescent="0.3">
      <c r="A49" s="879" t="s">
        <v>47</v>
      </c>
      <c r="B49" s="880" t="s">
        <v>1035</v>
      </c>
      <c r="C49" s="827">
        <v>410780741</v>
      </c>
      <c r="D49" s="827"/>
      <c r="E49" s="827">
        <v>399744728</v>
      </c>
      <c r="F49" s="827">
        <v>0</v>
      </c>
      <c r="G49" s="827"/>
      <c r="H49" s="827">
        <v>0</v>
      </c>
      <c r="I49" s="827">
        <v>0</v>
      </c>
      <c r="J49" s="827">
        <v>0</v>
      </c>
      <c r="K49" s="827">
        <v>0</v>
      </c>
      <c r="L49" s="827">
        <f t="shared" ref="L49:N50" si="7">SUM(C49+F49+I49)</f>
        <v>410780741</v>
      </c>
      <c r="M49" s="827">
        <f t="shared" si="7"/>
        <v>0</v>
      </c>
      <c r="N49" s="828">
        <f t="shared" si="7"/>
        <v>399744728</v>
      </c>
    </row>
    <row r="50" spans="1:14" ht="26" x14ac:dyDescent="0.3">
      <c r="A50" s="875" t="s">
        <v>49</v>
      </c>
      <c r="B50" s="876" t="s">
        <v>1036</v>
      </c>
      <c r="C50" s="877">
        <v>0</v>
      </c>
      <c r="D50" s="877"/>
      <c r="E50" s="877">
        <v>0</v>
      </c>
      <c r="F50" s="877">
        <v>0</v>
      </c>
      <c r="G50" s="877"/>
      <c r="H50" s="877">
        <v>0</v>
      </c>
      <c r="I50" s="877">
        <v>0</v>
      </c>
      <c r="J50" s="877">
        <v>0</v>
      </c>
      <c r="K50" s="877">
        <v>0</v>
      </c>
      <c r="L50" s="877">
        <f t="shared" si="7"/>
        <v>0</v>
      </c>
      <c r="M50" s="877">
        <f t="shared" si="7"/>
        <v>0</v>
      </c>
      <c r="N50" s="878">
        <f t="shared" si="7"/>
        <v>0</v>
      </c>
    </row>
    <row r="51" spans="1:14" ht="26" x14ac:dyDescent="0.3">
      <c r="A51" s="829" t="s">
        <v>51</v>
      </c>
      <c r="B51" s="881" t="s">
        <v>1037</v>
      </c>
      <c r="C51" s="854">
        <f t="shared" ref="C51" si="8">SUM(C49:C50)</f>
        <v>410780741</v>
      </c>
      <c r="D51" s="854"/>
      <c r="E51" s="854">
        <f t="shared" ref="E51:N51" si="9">SUM(E49:E50)</f>
        <v>399744728</v>
      </c>
      <c r="F51" s="854">
        <f t="shared" ref="F51" si="10">SUM(F49:F50)</f>
        <v>0</v>
      </c>
      <c r="G51" s="854"/>
      <c r="H51" s="854">
        <f t="shared" si="9"/>
        <v>0</v>
      </c>
      <c r="I51" s="854">
        <f t="shared" si="9"/>
        <v>0</v>
      </c>
      <c r="J51" s="854">
        <f t="shared" si="9"/>
        <v>0</v>
      </c>
      <c r="K51" s="854">
        <f t="shared" si="9"/>
        <v>0</v>
      </c>
      <c r="L51" s="854">
        <f t="shared" ref="L51" si="11">SUM(L49:L50)</f>
        <v>410780741</v>
      </c>
      <c r="M51" s="854">
        <f t="shared" si="9"/>
        <v>0</v>
      </c>
      <c r="N51" s="855">
        <f t="shared" si="9"/>
        <v>399744728</v>
      </c>
    </row>
    <row r="52" spans="1:14" ht="39" x14ac:dyDescent="0.3">
      <c r="A52" s="829" t="s">
        <v>54</v>
      </c>
      <c r="B52" s="881" t="s">
        <v>1038</v>
      </c>
      <c r="C52" s="854">
        <f>C19+C44+C48+C51</f>
        <v>11261328076</v>
      </c>
      <c r="D52" s="854"/>
      <c r="E52" s="854">
        <f>E19+E44+E48+E51</f>
        <v>10721985195</v>
      </c>
      <c r="F52" s="854">
        <f>F19+F44+F48+F51</f>
        <v>1000496</v>
      </c>
      <c r="G52" s="854"/>
      <c r="H52" s="854">
        <f>H19+H44+H48+H51</f>
        <v>1472231</v>
      </c>
      <c r="I52" s="854">
        <f>I19+I44+I48+I51</f>
        <v>0</v>
      </c>
      <c r="J52" s="854">
        <v>0</v>
      </c>
      <c r="K52" s="854">
        <f>K19+K44+K48+K51</f>
        <v>0</v>
      </c>
      <c r="L52" s="854">
        <f>L19+L44+L48+L51</f>
        <v>11262328572</v>
      </c>
      <c r="M52" s="854">
        <f>M19+M44+M48+M51</f>
        <v>0</v>
      </c>
      <c r="N52" s="855">
        <f>N19+N44+N48+N51</f>
        <v>10723457426</v>
      </c>
    </row>
    <row r="53" spans="1:14" x14ac:dyDescent="0.3">
      <c r="A53" s="879" t="s">
        <v>57</v>
      </c>
      <c r="B53" s="880" t="s">
        <v>1039</v>
      </c>
      <c r="C53" s="827"/>
      <c r="D53" s="827"/>
      <c r="E53" s="827"/>
      <c r="F53" s="827">
        <v>0</v>
      </c>
      <c r="G53" s="827"/>
      <c r="H53" s="827">
        <v>0</v>
      </c>
      <c r="I53" s="827">
        <v>0</v>
      </c>
      <c r="J53" s="827">
        <v>0</v>
      </c>
      <c r="K53" s="827">
        <v>0</v>
      </c>
      <c r="L53" s="827">
        <f t="shared" ref="L53:N57" si="12">SUM(C53+F53+I53)</f>
        <v>0</v>
      </c>
      <c r="M53" s="827">
        <f t="shared" si="12"/>
        <v>0</v>
      </c>
      <c r="N53" s="828">
        <f t="shared" si="12"/>
        <v>0</v>
      </c>
    </row>
    <row r="54" spans="1:14" x14ac:dyDescent="0.3">
      <c r="A54" s="826" t="s">
        <v>60</v>
      </c>
      <c r="B54" s="874" t="s">
        <v>1040</v>
      </c>
      <c r="C54" s="823">
        <v>0</v>
      </c>
      <c r="D54" s="823"/>
      <c r="E54" s="823">
        <v>0</v>
      </c>
      <c r="F54" s="823">
        <v>0</v>
      </c>
      <c r="G54" s="823"/>
      <c r="H54" s="823">
        <v>0</v>
      </c>
      <c r="I54" s="823">
        <v>0</v>
      </c>
      <c r="J54" s="823">
        <v>0</v>
      </c>
      <c r="K54" s="823">
        <v>0</v>
      </c>
      <c r="L54" s="823">
        <f t="shared" si="12"/>
        <v>0</v>
      </c>
      <c r="M54" s="823">
        <f t="shared" si="12"/>
        <v>0</v>
      </c>
      <c r="N54" s="824">
        <f t="shared" si="12"/>
        <v>0</v>
      </c>
    </row>
    <row r="55" spans="1:14" x14ac:dyDescent="0.3">
      <c r="A55" s="826" t="s">
        <v>62</v>
      </c>
      <c r="B55" s="874" t="s">
        <v>1041</v>
      </c>
      <c r="C55" s="823">
        <v>0</v>
      </c>
      <c r="D55" s="823"/>
      <c r="E55" s="823">
        <v>0</v>
      </c>
      <c r="F55" s="823">
        <v>0</v>
      </c>
      <c r="G55" s="823"/>
      <c r="H55" s="823">
        <v>0</v>
      </c>
      <c r="I55" s="823">
        <v>0</v>
      </c>
      <c r="J55" s="823">
        <v>0</v>
      </c>
      <c r="K55" s="823">
        <v>0</v>
      </c>
      <c r="L55" s="823">
        <f t="shared" si="12"/>
        <v>0</v>
      </c>
      <c r="M55" s="823">
        <f t="shared" si="12"/>
        <v>0</v>
      </c>
      <c r="N55" s="824">
        <f t="shared" si="12"/>
        <v>0</v>
      </c>
    </row>
    <row r="56" spans="1:14" ht="26" x14ac:dyDescent="0.3">
      <c r="A56" s="826" t="s">
        <v>64</v>
      </c>
      <c r="B56" s="874" t="s">
        <v>1042</v>
      </c>
      <c r="C56" s="823">
        <v>10668722</v>
      </c>
      <c r="D56" s="823"/>
      <c r="E56" s="823">
        <v>7536900</v>
      </c>
      <c r="F56" s="823">
        <v>0</v>
      </c>
      <c r="G56" s="823"/>
      <c r="H56" s="823">
        <v>0</v>
      </c>
      <c r="I56" s="823">
        <v>0</v>
      </c>
      <c r="J56" s="823">
        <v>0</v>
      </c>
      <c r="K56" s="823">
        <v>0</v>
      </c>
      <c r="L56" s="823">
        <f t="shared" si="12"/>
        <v>10668722</v>
      </c>
      <c r="M56" s="823">
        <f t="shared" si="12"/>
        <v>0</v>
      </c>
      <c r="N56" s="824">
        <f t="shared" si="12"/>
        <v>7536900</v>
      </c>
    </row>
    <row r="57" spans="1:14" x14ac:dyDescent="0.3">
      <c r="A57" s="875" t="s">
        <v>66</v>
      </c>
      <c r="B57" s="876" t="s">
        <v>1043</v>
      </c>
      <c r="C57" s="877">
        <v>0</v>
      </c>
      <c r="D57" s="877"/>
      <c r="E57" s="877">
        <v>0</v>
      </c>
      <c r="F57" s="877">
        <v>0</v>
      </c>
      <c r="G57" s="877"/>
      <c r="H57" s="877">
        <v>0</v>
      </c>
      <c r="I57" s="877">
        <v>0</v>
      </c>
      <c r="J57" s="877">
        <v>0</v>
      </c>
      <c r="K57" s="877">
        <v>0</v>
      </c>
      <c r="L57" s="877">
        <f t="shared" si="12"/>
        <v>0</v>
      </c>
      <c r="M57" s="877">
        <f t="shared" si="12"/>
        <v>0</v>
      </c>
      <c r="N57" s="878">
        <f t="shared" si="12"/>
        <v>0</v>
      </c>
    </row>
    <row r="58" spans="1:14" x14ac:dyDescent="0.3">
      <c r="A58" s="829" t="s">
        <v>68</v>
      </c>
      <c r="B58" s="881" t="s">
        <v>1044</v>
      </c>
      <c r="C58" s="854">
        <f t="shared" ref="C58" si="13">SUM(C53:C57)</f>
        <v>10668722</v>
      </c>
      <c r="D58" s="854"/>
      <c r="E58" s="854">
        <f t="shared" ref="E58:N58" si="14">SUM(E53:E57)</f>
        <v>7536900</v>
      </c>
      <c r="F58" s="854">
        <f t="shared" ref="F58" si="15">SUM(F53:F57)</f>
        <v>0</v>
      </c>
      <c r="G58" s="854"/>
      <c r="H58" s="854">
        <f t="shared" si="14"/>
        <v>0</v>
      </c>
      <c r="I58" s="854">
        <f t="shared" si="14"/>
        <v>0</v>
      </c>
      <c r="J58" s="854">
        <f t="shared" si="14"/>
        <v>0</v>
      </c>
      <c r="K58" s="854">
        <f t="shared" si="14"/>
        <v>0</v>
      </c>
      <c r="L58" s="854">
        <f t="shared" ref="L58" si="16">SUM(L53:L57)</f>
        <v>10668722</v>
      </c>
      <c r="M58" s="854">
        <f t="shared" si="14"/>
        <v>0</v>
      </c>
      <c r="N58" s="855">
        <f t="shared" si="14"/>
        <v>7536900</v>
      </c>
    </row>
    <row r="59" spans="1:14" x14ac:dyDescent="0.3">
      <c r="A59" s="879" t="s">
        <v>70</v>
      </c>
      <c r="B59" s="880" t="s">
        <v>1045</v>
      </c>
      <c r="C59" s="827">
        <v>0</v>
      </c>
      <c r="D59" s="827"/>
      <c r="E59" s="827">
        <v>0</v>
      </c>
      <c r="F59" s="827">
        <v>0</v>
      </c>
      <c r="G59" s="827"/>
      <c r="H59" s="827">
        <v>0</v>
      </c>
      <c r="I59" s="827">
        <v>0</v>
      </c>
      <c r="J59" s="827">
        <v>0</v>
      </c>
      <c r="K59" s="827">
        <v>0</v>
      </c>
      <c r="L59" s="827">
        <f t="shared" ref="L59:N61" si="17">SUM(C59+F59+I59)</f>
        <v>0</v>
      </c>
      <c r="M59" s="827">
        <f t="shared" si="17"/>
        <v>0</v>
      </c>
      <c r="N59" s="828">
        <f t="shared" si="17"/>
        <v>0</v>
      </c>
    </row>
    <row r="60" spans="1:14" ht="26" x14ac:dyDescent="0.3">
      <c r="A60" s="875" t="s">
        <v>72</v>
      </c>
      <c r="B60" s="876" t="s">
        <v>1046</v>
      </c>
      <c r="C60" s="877">
        <v>0</v>
      </c>
      <c r="D60" s="877"/>
      <c r="E60" s="877">
        <v>0</v>
      </c>
      <c r="F60" s="877">
        <v>0</v>
      </c>
      <c r="G60" s="877"/>
      <c r="H60" s="877">
        <v>0</v>
      </c>
      <c r="I60" s="877">
        <v>0</v>
      </c>
      <c r="J60" s="877">
        <v>0</v>
      </c>
      <c r="K60" s="877">
        <v>0</v>
      </c>
      <c r="L60" s="877">
        <f t="shared" si="17"/>
        <v>0</v>
      </c>
      <c r="M60" s="877">
        <f t="shared" si="17"/>
        <v>0</v>
      </c>
      <c r="N60" s="878">
        <f t="shared" si="17"/>
        <v>0</v>
      </c>
    </row>
    <row r="61" spans="1:14" x14ac:dyDescent="0.3">
      <c r="A61" s="829" t="s">
        <v>75</v>
      </c>
      <c r="B61" s="881" t="s">
        <v>1047</v>
      </c>
      <c r="C61" s="854">
        <f t="shared" ref="C61" si="18">SUM(C59:C60)</f>
        <v>0</v>
      </c>
      <c r="D61" s="854"/>
      <c r="E61" s="854">
        <f t="shared" ref="E61:K61" si="19">SUM(E59:E60)</f>
        <v>0</v>
      </c>
      <c r="F61" s="854">
        <f t="shared" ref="F61" si="20">SUM(F59:F60)</f>
        <v>0</v>
      </c>
      <c r="G61" s="854"/>
      <c r="H61" s="854">
        <f t="shared" si="19"/>
        <v>0</v>
      </c>
      <c r="I61" s="854">
        <f t="shared" si="19"/>
        <v>0</v>
      </c>
      <c r="J61" s="854">
        <f t="shared" si="19"/>
        <v>0</v>
      </c>
      <c r="K61" s="854">
        <f t="shared" si="19"/>
        <v>0</v>
      </c>
      <c r="L61" s="882">
        <f t="shared" si="17"/>
        <v>0</v>
      </c>
      <c r="M61" s="882">
        <f t="shared" si="17"/>
        <v>0</v>
      </c>
      <c r="N61" s="883">
        <f t="shared" si="17"/>
        <v>0</v>
      </c>
    </row>
    <row r="62" spans="1:14" ht="26" x14ac:dyDescent="0.3">
      <c r="A62" s="829" t="s">
        <v>78</v>
      </c>
      <c r="B62" s="881" t="s">
        <v>1048</v>
      </c>
      <c r="C62" s="854">
        <f t="shared" ref="C62" si="21">SUM(C61,C58)</f>
        <v>10668722</v>
      </c>
      <c r="D62" s="854"/>
      <c r="E62" s="854">
        <f t="shared" ref="E62:N62" si="22">SUM(E61,E58)</f>
        <v>7536900</v>
      </c>
      <c r="F62" s="854">
        <f t="shared" ref="F62" si="23">SUM(F61,F58)</f>
        <v>0</v>
      </c>
      <c r="G62" s="854"/>
      <c r="H62" s="854">
        <f t="shared" si="22"/>
        <v>0</v>
      </c>
      <c r="I62" s="854">
        <f t="shared" si="22"/>
        <v>0</v>
      </c>
      <c r="J62" s="854">
        <f t="shared" si="22"/>
        <v>0</v>
      </c>
      <c r="K62" s="854">
        <f t="shared" si="22"/>
        <v>0</v>
      </c>
      <c r="L62" s="854">
        <f t="shared" ref="L62" si="24">SUM(L61,L58)</f>
        <v>10668722</v>
      </c>
      <c r="M62" s="854">
        <f t="shared" si="22"/>
        <v>0</v>
      </c>
      <c r="N62" s="855">
        <f t="shared" si="22"/>
        <v>7536900</v>
      </c>
    </row>
    <row r="63" spans="1:14" x14ac:dyDescent="0.3">
      <c r="A63" s="879" t="s">
        <v>81</v>
      </c>
      <c r="B63" s="880" t="s">
        <v>1049</v>
      </c>
      <c r="C63" s="827">
        <v>0</v>
      </c>
      <c r="D63" s="827"/>
      <c r="E63" s="827">
        <v>0</v>
      </c>
      <c r="F63" s="827">
        <v>0</v>
      </c>
      <c r="G63" s="827"/>
      <c r="H63" s="827">
        <v>0</v>
      </c>
      <c r="I63" s="827">
        <v>0</v>
      </c>
      <c r="J63" s="827">
        <v>0</v>
      </c>
      <c r="K63" s="827">
        <v>0</v>
      </c>
      <c r="L63" s="827">
        <f t="shared" ref="L63:N66" si="25">SUM(C63+F63+I63)</f>
        <v>0</v>
      </c>
      <c r="M63" s="827">
        <f t="shared" si="25"/>
        <v>0</v>
      </c>
      <c r="N63" s="828">
        <f t="shared" si="25"/>
        <v>0</v>
      </c>
    </row>
    <row r="64" spans="1:14" x14ac:dyDescent="0.3">
      <c r="A64" s="826" t="s">
        <v>83</v>
      </c>
      <c r="B64" s="874" t="s">
        <v>1050</v>
      </c>
      <c r="C64" s="823">
        <v>110450</v>
      </c>
      <c r="D64" s="823"/>
      <c r="E64" s="823"/>
      <c r="F64" s="823">
        <v>0</v>
      </c>
      <c r="G64" s="823"/>
      <c r="H64" s="823">
        <v>0</v>
      </c>
      <c r="I64" s="823">
        <v>0</v>
      </c>
      <c r="J64" s="823">
        <v>0</v>
      </c>
      <c r="K64" s="823">
        <v>0</v>
      </c>
      <c r="L64" s="823">
        <f t="shared" si="25"/>
        <v>110450</v>
      </c>
      <c r="M64" s="823">
        <f t="shared" si="25"/>
        <v>0</v>
      </c>
      <c r="N64" s="824">
        <f t="shared" si="25"/>
        <v>0</v>
      </c>
    </row>
    <row r="65" spans="1:14" x14ac:dyDescent="0.3">
      <c r="A65" s="826" t="s">
        <v>85</v>
      </c>
      <c r="B65" s="874" t="s">
        <v>1051</v>
      </c>
      <c r="C65" s="823">
        <v>368472137</v>
      </c>
      <c r="D65" s="823"/>
      <c r="E65" s="823">
        <v>2859663075</v>
      </c>
      <c r="F65" s="823">
        <v>424424</v>
      </c>
      <c r="G65" s="823"/>
      <c r="H65" s="823">
        <v>259986</v>
      </c>
      <c r="I65" s="823">
        <v>788789</v>
      </c>
      <c r="J65" s="823"/>
      <c r="K65" s="823">
        <v>361391</v>
      </c>
      <c r="L65" s="823">
        <f t="shared" si="25"/>
        <v>369685350</v>
      </c>
      <c r="M65" s="823">
        <f t="shared" si="25"/>
        <v>0</v>
      </c>
      <c r="N65" s="824">
        <f t="shared" si="25"/>
        <v>2860284452</v>
      </c>
    </row>
    <row r="66" spans="1:14" x14ac:dyDescent="0.3">
      <c r="A66" s="875" t="s">
        <v>87</v>
      </c>
      <c r="B66" s="876" t="s">
        <v>1052</v>
      </c>
      <c r="C66" s="877">
        <v>0</v>
      </c>
      <c r="D66" s="877"/>
      <c r="E66" s="877">
        <v>0</v>
      </c>
      <c r="F66" s="877">
        <v>0</v>
      </c>
      <c r="G66" s="877"/>
      <c r="H66" s="877">
        <v>0</v>
      </c>
      <c r="I66" s="877">
        <v>0</v>
      </c>
      <c r="J66" s="877"/>
      <c r="K66" s="877">
        <v>0</v>
      </c>
      <c r="L66" s="877">
        <f t="shared" si="25"/>
        <v>0</v>
      </c>
      <c r="M66" s="877">
        <f t="shared" si="25"/>
        <v>0</v>
      </c>
      <c r="N66" s="878">
        <f t="shared" si="25"/>
        <v>0</v>
      </c>
    </row>
    <row r="67" spans="1:14" ht="26" x14ac:dyDescent="0.3">
      <c r="A67" s="829" t="s">
        <v>92</v>
      </c>
      <c r="B67" s="881" t="s">
        <v>1053</v>
      </c>
      <c r="C67" s="854">
        <f t="shared" ref="C67" si="26">SUM(C63:C66)</f>
        <v>368582587</v>
      </c>
      <c r="D67" s="854"/>
      <c r="E67" s="854">
        <f t="shared" ref="E67:N67" si="27">SUM(E63:E66)</f>
        <v>2859663075</v>
      </c>
      <c r="F67" s="854">
        <f t="shared" ref="F67" si="28">SUM(F63:F66)</f>
        <v>424424</v>
      </c>
      <c r="G67" s="854"/>
      <c r="H67" s="854">
        <f t="shared" si="27"/>
        <v>259986</v>
      </c>
      <c r="I67" s="854">
        <f t="shared" ref="I67" si="29">SUM(I63:I66)</f>
        <v>788789</v>
      </c>
      <c r="J67" s="854"/>
      <c r="K67" s="854">
        <f t="shared" si="27"/>
        <v>361391</v>
      </c>
      <c r="L67" s="854">
        <f t="shared" ref="L67" si="30">SUM(L63:L66)</f>
        <v>369795800</v>
      </c>
      <c r="M67" s="854">
        <f t="shared" si="27"/>
        <v>0</v>
      </c>
      <c r="N67" s="855">
        <f t="shared" si="27"/>
        <v>2860284452</v>
      </c>
    </row>
    <row r="68" spans="1:14" x14ac:dyDescent="0.3">
      <c r="A68" s="879" t="s">
        <v>94</v>
      </c>
      <c r="B68" s="880" t="s">
        <v>1054</v>
      </c>
      <c r="C68" s="827">
        <v>33460921</v>
      </c>
      <c r="D68" s="827"/>
      <c r="E68" s="827">
        <v>46696127</v>
      </c>
      <c r="F68" s="827"/>
      <c r="G68" s="827"/>
      <c r="H68" s="827">
        <v>20047468</v>
      </c>
      <c r="I68" s="827"/>
      <c r="J68" s="827"/>
      <c r="K68" s="827"/>
      <c r="L68" s="827">
        <f t="shared" ref="L68:N70" si="31">SUM(C68+F68+I68)</f>
        <v>33460921</v>
      </c>
      <c r="M68" s="827">
        <f t="shared" si="31"/>
        <v>0</v>
      </c>
      <c r="N68" s="828">
        <f t="shared" si="31"/>
        <v>66743595</v>
      </c>
    </row>
    <row r="69" spans="1:14" x14ac:dyDescent="0.3">
      <c r="A69" s="826" t="s">
        <v>97</v>
      </c>
      <c r="B69" s="874" t="s">
        <v>1055</v>
      </c>
      <c r="C69" s="823">
        <v>8447913</v>
      </c>
      <c r="D69" s="823"/>
      <c r="E69" s="823">
        <v>1554</v>
      </c>
      <c r="F69" s="823"/>
      <c r="G69" s="823"/>
      <c r="H69" s="823"/>
      <c r="I69" s="823"/>
      <c r="J69" s="823"/>
      <c r="K69" s="823"/>
      <c r="L69" s="823">
        <f t="shared" si="31"/>
        <v>8447913</v>
      </c>
      <c r="M69" s="823">
        <f t="shared" si="31"/>
        <v>0</v>
      </c>
      <c r="N69" s="824">
        <f t="shared" si="31"/>
        <v>1554</v>
      </c>
    </row>
    <row r="70" spans="1:14" x14ac:dyDescent="0.3">
      <c r="A70" s="875" t="s">
        <v>100</v>
      </c>
      <c r="B70" s="876" t="s">
        <v>1056</v>
      </c>
      <c r="C70" s="877">
        <v>2839000</v>
      </c>
      <c r="D70" s="877"/>
      <c r="E70" s="877">
        <v>603000</v>
      </c>
      <c r="F70" s="877"/>
      <c r="G70" s="877"/>
      <c r="H70" s="877">
        <v>48465</v>
      </c>
      <c r="I70" s="877"/>
      <c r="J70" s="877"/>
      <c r="K70" s="877"/>
      <c r="L70" s="877">
        <f t="shared" si="31"/>
        <v>2839000</v>
      </c>
      <c r="M70" s="877">
        <f t="shared" si="31"/>
        <v>0</v>
      </c>
      <c r="N70" s="878">
        <f t="shared" si="31"/>
        <v>651465</v>
      </c>
    </row>
    <row r="71" spans="1:14" ht="26" x14ac:dyDescent="0.3">
      <c r="A71" s="829" t="s">
        <v>102</v>
      </c>
      <c r="B71" s="881" t="s">
        <v>1057</v>
      </c>
      <c r="C71" s="854">
        <f>SUM(C68:C70)</f>
        <v>44747834</v>
      </c>
      <c r="D71" s="854"/>
      <c r="E71" s="854">
        <f>SUM(E68:E70)</f>
        <v>47300681</v>
      </c>
      <c r="F71" s="854">
        <f t="shared" ref="F71" si="32">SUM(F68:F70)</f>
        <v>0</v>
      </c>
      <c r="G71" s="854"/>
      <c r="H71" s="854">
        <f t="shared" ref="H71:N71" si="33">SUM(H68:H70)</f>
        <v>20095933</v>
      </c>
      <c r="I71" s="854">
        <f t="shared" ref="I71" si="34">SUM(I68:I70)</f>
        <v>0</v>
      </c>
      <c r="J71" s="854"/>
      <c r="K71" s="854">
        <f t="shared" si="33"/>
        <v>0</v>
      </c>
      <c r="L71" s="854">
        <f t="shared" ref="L71" si="35">SUM(L68:L70)</f>
        <v>44747834</v>
      </c>
      <c r="M71" s="854">
        <f t="shared" si="33"/>
        <v>0</v>
      </c>
      <c r="N71" s="855">
        <f t="shared" si="33"/>
        <v>67396614</v>
      </c>
    </row>
    <row r="72" spans="1:14" s="834" customFormat="1" x14ac:dyDescent="0.3">
      <c r="A72" s="879" t="s">
        <v>104</v>
      </c>
      <c r="B72" s="880" t="s">
        <v>1058</v>
      </c>
      <c r="C72" s="827"/>
      <c r="D72" s="827"/>
      <c r="E72" s="827"/>
      <c r="F72" s="827"/>
      <c r="G72" s="827"/>
      <c r="H72" s="827"/>
      <c r="I72" s="827"/>
      <c r="J72" s="827"/>
      <c r="K72" s="827"/>
      <c r="L72" s="827">
        <f t="shared" ref="L72:N74" si="36">SUM(C72+F72+I72)</f>
        <v>0</v>
      </c>
      <c r="M72" s="827">
        <f t="shared" si="36"/>
        <v>0</v>
      </c>
      <c r="N72" s="828">
        <f t="shared" si="36"/>
        <v>0</v>
      </c>
    </row>
    <row r="73" spans="1:14" s="834" customFormat="1" x14ac:dyDescent="0.3">
      <c r="A73" s="826" t="s">
        <v>107</v>
      </c>
      <c r="B73" s="874" t="s">
        <v>1059</v>
      </c>
      <c r="C73" s="823">
        <v>23827</v>
      </c>
      <c r="D73" s="823"/>
      <c r="E73" s="823">
        <v>-6123452</v>
      </c>
      <c r="F73" s="823">
        <v>-2025</v>
      </c>
      <c r="G73" s="823"/>
      <c r="H73" s="823">
        <v>-136517</v>
      </c>
      <c r="I73" s="823"/>
      <c r="J73" s="823"/>
      <c r="K73" s="823"/>
      <c r="L73" s="823">
        <f t="shared" si="36"/>
        <v>21802</v>
      </c>
      <c r="M73" s="823">
        <f t="shared" si="36"/>
        <v>0</v>
      </c>
      <c r="N73" s="824">
        <f t="shared" si="36"/>
        <v>-6259969</v>
      </c>
    </row>
    <row r="74" spans="1:14" s="834" customFormat="1" x14ac:dyDescent="0.3">
      <c r="A74" s="875" t="s">
        <v>110</v>
      </c>
      <c r="B74" s="876" t="s">
        <v>1060</v>
      </c>
      <c r="C74" s="877">
        <v>472838</v>
      </c>
      <c r="D74" s="877"/>
      <c r="E74" s="877">
        <v>404598</v>
      </c>
      <c r="F74" s="877">
        <v>29000</v>
      </c>
      <c r="G74" s="877"/>
      <c r="H74" s="877">
        <v>9660</v>
      </c>
      <c r="I74" s="877"/>
      <c r="J74" s="877"/>
      <c r="K74" s="877"/>
      <c r="L74" s="877">
        <f t="shared" si="36"/>
        <v>501838</v>
      </c>
      <c r="M74" s="877">
        <f t="shared" si="36"/>
        <v>0</v>
      </c>
      <c r="N74" s="878">
        <f t="shared" si="36"/>
        <v>414258</v>
      </c>
    </row>
    <row r="75" spans="1:14" ht="26" x14ac:dyDescent="0.3">
      <c r="A75" s="829" t="s">
        <v>113</v>
      </c>
      <c r="B75" s="881" t="s">
        <v>1061</v>
      </c>
      <c r="C75" s="854">
        <f t="shared" ref="C75" si="37">SUM(C72:C74)</f>
        <v>496665</v>
      </c>
      <c r="D75" s="854"/>
      <c r="E75" s="854">
        <f t="shared" ref="E75" si="38">SUM(E72:E74)</f>
        <v>-5718854</v>
      </c>
      <c r="F75" s="854">
        <f>SUM(F72:F74)</f>
        <v>26975</v>
      </c>
      <c r="G75" s="854"/>
      <c r="H75" s="854">
        <f>SUM(H72:H74)</f>
        <v>-126857</v>
      </c>
      <c r="I75" s="854">
        <f t="shared" ref="I75" si="39">SUM(I72:I74)</f>
        <v>0</v>
      </c>
      <c r="J75" s="854"/>
      <c r="K75" s="854">
        <f t="shared" ref="K75:N75" si="40">SUM(K72:K74)</f>
        <v>0</v>
      </c>
      <c r="L75" s="854">
        <f t="shared" ref="L75" si="41">SUM(L72:L74)</f>
        <v>523640</v>
      </c>
      <c r="M75" s="854">
        <f t="shared" si="40"/>
        <v>0</v>
      </c>
      <c r="N75" s="855">
        <f t="shared" si="40"/>
        <v>-5845711</v>
      </c>
    </row>
    <row r="76" spans="1:14" ht="26" x14ac:dyDescent="0.3">
      <c r="A76" s="879" t="s">
        <v>116</v>
      </c>
      <c r="B76" s="880" t="s">
        <v>1062</v>
      </c>
      <c r="C76" s="827">
        <v>2875619</v>
      </c>
      <c r="D76" s="827"/>
      <c r="E76" s="827" t="s">
        <v>799</v>
      </c>
      <c r="F76" s="827">
        <v>0</v>
      </c>
      <c r="G76" s="827"/>
      <c r="H76" s="827">
        <v>0</v>
      </c>
      <c r="I76" s="827">
        <v>0</v>
      </c>
      <c r="J76" s="827"/>
      <c r="K76" s="827">
        <v>0</v>
      </c>
      <c r="L76" s="827">
        <f t="shared" ref="L76:N78" si="42">SUM(C76+F76+I76)</f>
        <v>2875619</v>
      </c>
      <c r="M76" s="827"/>
      <c r="N76" s="828" t="s">
        <v>799</v>
      </c>
    </row>
    <row r="77" spans="1:14" x14ac:dyDescent="0.3">
      <c r="A77" s="826" t="s">
        <v>119</v>
      </c>
      <c r="B77" s="874" t="s">
        <v>1063</v>
      </c>
      <c r="C77" s="823"/>
      <c r="D77" s="823"/>
      <c r="E77" s="823"/>
      <c r="F77" s="823"/>
      <c r="G77" s="823"/>
      <c r="H77" s="823"/>
      <c r="I77" s="823"/>
      <c r="J77" s="823"/>
      <c r="K77" s="823"/>
      <c r="L77" s="823">
        <f t="shared" si="42"/>
        <v>0</v>
      </c>
      <c r="M77" s="823">
        <f t="shared" si="42"/>
        <v>0</v>
      </c>
      <c r="N77" s="824">
        <v>0</v>
      </c>
    </row>
    <row r="78" spans="1:14" x14ac:dyDescent="0.3">
      <c r="A78" s="875" t="s">
        <v>122</v>
      </c>
      <c r="B78" s="876" t="s">
        <v>1064</v>
      </c>
      <c r="C78" s="877">
        <v>0</v>
      </c>
      <c r="D78" s="877"/>
      <c r="E78" s="877">
        <v>0</v>
      </c>
      <c r="F78" s="877">
        <v>0</v>
      </c>
      <c r="G78" s="877"/>
      <c r="H78" s="877">
        <v>0</v>
      </c>
      <c r="I78" s="877">
        <v>0</v>
      </c>
      <c r="J78" s="877"/>
      <c r="K78" s="877">
        <v>0</v>
      </c>
      <c r="L78" s="877">
        <f t="shared" si="42"/>
        <v>0</v>
      </c>
      <c r="M78" s="877">
        <f t="shared" si="42"/>
        <v>0</v>
      </c>
      <c r="N78" s="878">
        <f t="shared" si="42"/>
        <v>0</v>
      </c>
    </row>
    <row r="79" spans="1:14" ht="26" x14ac:dyDescent="0.3">
      <c r="A79" s="829" t="s">
        <v>125</v>
      </c>
      <c r="B79" s="881" t="s">
        <v>1065</v>
      </c>
      <c r="C79" s="854">
        <f>SUM(C76:C78)</f>
        <v>2875619</v>
      </c>
      <c r="D79" s="854"/>
      <c r="E79" s="854">
        <f>SUM(E76:E78)</f>
        <v>0</v>
      </c>
      <c r="F79" s="854">
        <f t="shared" ref="F79" si="43">SUM(F76:F78)</f>
        <v>0</v>
      </c>
      <c r="G79" s="854"/>
      <c r="H79" s="854">
        <f t="shared" ref="H79:N79" si="44">SUM(H76:H78)</f>
        <v>0</v>
      </c>
      <c r="I79" s="854">
        <f t="shared" ref="I79" si="45">SUM(I76:I78)</f>
        <v>0</v>
      </c>
      <c r="J79" s="854"/>
      <c r="K79" s="854">
        <f t="shared" si="44"/>
        <v>0</v>
      </c>
      <c r="L79" s="854">
        <f t="shared" ref="L79" si="46">SUM(L76:L78)</f>
        <v>2875619</v>
      </c>
      <c r="M79" s="854">
        <f t="shared" si="44"/>
        <v>0</v>
      </c>
      <c r="N79" s="855">
        <f t="shared" si="44"/>
        <v>0</v>
      </c>
    </row>
    <row r="80" spans="1:14" ht="26" x14ac:dyDescent="0.3">
      <c r="A80" s="884" t="s">
        <v>128</v>
      </c>
      <c r="B80" s="885" t="s">
        <v>1066</v>
      </c>
      <c r="C80" s="886">
        <f>C52+C62+C67+C71+C75+C79</f>
        <v>11688699503</v>
      </c>
      <c r="D80" s="886"/>
      <c r="E80" s="886">
        <f>E52+E62+E67+E71+E75+E79</f>
        <v>13630766997</v>
      </c>
      <c r="F80" s="886">
        <f t="shared" ref="F80" si="47">F52+F62+F67+F71+F75+F79</f>
        <v>1451895</v>
      </c>
      <c r="G80" s="886"/>
      <c r="H80" s="886">
        <f t="shared" ref="H80:N80" si="48">H52+H62+H67+H71+H75+H79</f>
        <v>21701293</v>
      </c>
      <c r="I80" s="886">
        <f t="shared" ref="I80" si="49">I52+I62+I67+I71+I75+I79</f>
        <v>788789</v>
      </c>
      <c r="J80" s="886"/>
      <c r="K80" s="886">
        <f t="shared" si="48"/>
        <v>361391</v>
      </c>
      <c r="L80" s="886">
        <f>L52+L62+L67+L71+L75+L79</f>
        <v>11690940187</v>
      </c>
      <c r="M80" s="886">
        <f t="shared" si="48"/>
        <v>0</v>
      </c>
      <c r="N80" s="887">
        <f t="shared" si="48"/>
        <v>13652829681</v>
      </c>
    </row>
    <row r="81" spans="1:14" x14ac:dyDescent="0.3">
      <c r="A81" s="830"/>
      <c r="B81" s="831"/>
      <c r="C81" s="832"/>
      <c r="D81" s="832"/>
      <c r="E81" s="832"/>
      <c r="F81" s="832"/>
      <c r="G81" s="832"/>
      <c r="H81" s="832"/>
      <c r="I81" s="832"/>
      <c r="J81" s="832"/>
      <c r="K81" s="832"/>
      <c r="L81" s="832"/>
      <c r="M81" s="832"/>
      <c r="N81" s="832"/>
    </row>
    <row r="83" spans="1:14" x14ac:dyDescent="0.3">
      <c r="D83" s="833" t="s">
        <v>799</v>
      </c>
      <c r="G83" s="833" t="s">
        <v>799</v>
      </c>
      <c r="J83" s="833" t="s">
        <v>799</v>
      </c>
      <c r="M83" s="833" t="s">
        <v>799</v>
      </c>
    </row>
  </sheetData>
  <mergeCells count="9">
    <mergeCell ref="A2:N2"/>
    <mergeCell ref="L4:N4"/>
    <mergeCell ref="A5:N5"/>
    <mergeCell ref="A6:A7"/>
    <mergeCell ref="B6:B7"/>
    <mergeCell ref="C6:E6"/>
    <mergeCell ref="F6:H6"/>
    <mergeCell ref="I6:K6"/>
    <mergeCell ref="L6:N6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Header xml:space="preserve">&amp;C21. melléklet a 7/2018. (V.31.) önkormányzati rendelethez&amp;R 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Layout" zoomScaleNormal="100" workbookViewId="0"/>
  </sheetViews>
  <sheetFormatPr defaultRowHeight="13" x14ac:dyDescent="0.3"/>
  <cols>
    <col min="1" max="1" width="5.296875" style="809" customWidth="1"/>
    <col min="2" max="2" width="47.5" style="810" customWidth="1"/>
    <col min="3" max="3" width="15.296875" style="810" customWidth="1"/>
    <col min="4" max="4" width="13.5" style="810" bestFit="1" customWidth="1"/>
    <col min="5" max="5" width="15.19921875" style="810" customWidth="1"/>
    <col min="6" max="6" width="12.5" style="810" customWidth="1"/>
    <col min="7" max="7" width="13" style="810" customWidth="1"/>
    <col min="8" max="8" width="13.19921875" style="810" customWidth="1"/>
    <col min="9" max="9" width="11" style="810" bestFit="1" customWidth="1"/>
    <col min="10" max="10" width="12.296875" style="810" customWidth="1"/>
    <col min="11" max="11" width="11" style="810" bestFit="1" customWidth="1"/>
    <col min="12" max="12" width="16" style="810" customWidth="1"/>
    <col min="13" max="13" width="15.296875" style="810" customWidth="1"/>
    <col min="14" max="14" width="15.69921875" style="810" customWidth="1"/>
  </cols>
  <sheetData>
    <row r="1" spans="1:14" x14ac:dyDescent="0.3">
      <c r="D1" s="811"/>
      <c r="E1" s="812"/>
    </row>
    <row r="2" spans="1:14" ht="17.5" x14ac:dyDescent="0.3">
      <c r="A2" s="1105" t="s">
        <v>1170</v>
      </c>
      <c r="B2" s="1105"/>
      <c r="C2" s="1105"/>
      <c r="D2" s="1105"/>
      <c r="E2" s="1105"/>
      <c r="F2" s="1105"/>
      <c r="G2" s="1105"/>
      <c r="H2" s="1105"/>
      <c r="I2" s="1105"/>
      <c r="J2" s="1105"/>
      <c r="K2" s="1105"/>
      <c r="L2" s="1105"/>
      <c r="M2" s="1105"/>
      <c r="N2" s="1105"/>
    </row>
    <row r="3" spans="1:14" x14ac:dyDescent="0.3">
      <c r="A3" s="813"/>
      <c r="B3" s="814"/>
      <c r="C3" s="814"/>
      <c r="D3" s="814"/>
      <c r="E3" s="814"/>
    </row>
    <row r="4" spans="1:14" x14ac:dyDescent="0.3">
      <c r="A4" s="813"/>
      <c r="B4" s="814"/>
      <c r="C4" s="814"/>
      <c r="D4" s="814"/>
      <c r="E4" s="815"/>
      <c r="F4" s="815"/>
      <c r="G4" s="815"/>
      <c r="H4" s="815"/>
      <c r="I4" s="815"/>
      <c r="J4" s="815"/>
      <c r="K4" s="815"/>
      <c r="L4" s="1119" t="s">
        <v>998</v>
      </c>
      <c r="M4" s="1119"/>
      <c r="N4" s="1119"/>
    </row>
    <row r="5" spans="1:14" x14ac:dyDescent="0.3">
      <c r="A5" s="1120" t="s">
        <v>999</v>
      </c>
      <c r="B5" s="1121"/>
      <c r="C5" s="1121"/>
      <c r="D5" s="1121"/>
      <c r="E5" s="1121"/>
      <c r="F5" s="1121"/>
      <c r="G5" s="1121"/>
      <c r="H5" s="1121"/>
      <c r="I5" s="1121"/>
      <c r="J5" s="1121"/>
      <c r="K5" s="1121"/>
      <c r="L5" s="1121"/>
      <c r="M5" s="1121"/>
      <c r="N5" s="1122"/>
    </row>
    <row r="6" spans="1:14" x14ac:dyDescent="0.3">
      <c r="A6" s="1110" t="s">
        <v>404</v>
      </c>
      <c r="B6" s="1112" t="s">
        <v>267</v>
      </c>
      <c r="C6" s="1114" t="s">
        <v>381</v>
      </c>
      <c r="D6" s="1115"/>
      <c r="E6" s="1116"/>
      <c r="F6" s="1117" t="s">
        <v>400</v>
      </c>
      <c r="G6" s="1112"/>
      <c r="H6" s="1118"/>
      <c r="I6" s="1117" t="s">
        <v>993</v>
      </c>
      <c r="J6" s="1112"/>
      <c r="K6" s="1118"/>
      <c r="L6" s="1117" t="s">
        <v>997</v>
      </c>
      <c r="M6" s="1112"/>
      <c r="N6" s="1118"/>
    </row>
    <row r="7" spans="1:14" ht="26" x14ac:dyDescent="0.3">
      <c r="A7" s="1111"/>
      <c r="B7" s="1113"/>
      <c r="C7" s="816" t="s">
        <v>1000</v>
      </c>
      <c r="D7" s="817" t="s">
        <v>1001</v>
      </c>
      <c r="E7" s="818" t="s">
        <v>1002</v>
      </c>
      <c r="F7" s="816" t="s">
        <v>1000</v>
      </c>
      <c r="G7" s="817" t="s">
        <v>1001</v>
      </c>
      <c r="H7" s="818" t="s">
        <v>1002</v>
      </c>
      <c r="I7" s="816" t="s">
        <v>1000</v>
      </c>
      <c r="J7" s="817" t="s">
        <v>1001</v>
      </c>
      <c r="K7" s="818" t="s">
        <v>1002</v>
      </c>
      <c r="L7" s="816" t="s">
        <v>1000</v>
      </c>
      <c r="M7" s="817" t="s">
        <v>1001</v>
      </c>
      <c r="N7" s="818" t="s">
        <v>1002</v>
      </c>
    </row>
    <row r="8" spans="1:14" x14ac:dyDescent="0.3">
      <c r="A8" s="825" t="s">
        <v>131</v>
      </c>
      <c r="B8" s="873" t="s">
        <v>1003</v>
      </c>
      <c r="C8" s="820">
        <v>13244090499</v>
      </c>
      <c r="D8" s="820"/>
      <c r="E8" s="820">
        <v>13244090499</v>
      </c>
      <c r="F8" s="820">
        <v>2911733</v>
      </c>
      <c r="G8" s="820"/>
      <c r="H8" s="820">
        <v>2911733</v>
      </c>
      <c r="I8" s="820">
        <v>1973107</v>
      </c>
      <c r="J8" s="820"/>
      <c r="K8" s="820">
        <v>1973107</v>
      </c>
      <c r="L8" s="820">
        <f>SUM(C8+F8+I8)</f>
        <v>13248975339</v>
      </c>
      <c r="M8" s="820">
        <f t="shared" ref="M8:N13" si="0">SUM(D8+G8+J8)</f>
        <v>0</v>
      </c>
      <c r="N8" s="821">
        <f t="shared" si="0"/>
        <v>13248975339</v>
      </c>
    </row>
    <row r="9" spans="1:14" x14ac:dyDescent="0.3">
      <c r="A9" s="826" t="s">
        <v>134</v>
      </c>
      <c r="B9" s="874" t="s">
        <v>1004</v>
      </c>
      <c r="C9" s="823">
        <v>-36092644</v>
      </c>
      <c r="D9" s="823"/>
      <c r="E9" s="823">
        <v>-401759318</v>
      </c>
      <c r="F9" s="823">
        <v>0</v>
      </c>
      <c r="G9" s="823"/>
      <c r="H9" s="823">
        <v>0</v>
      </c>
      <c r="I9" s="823">
        <v>0</v>
      </c>
      <c r="J9" s="823"/>
      <c r="K9" s="823">
        <v>0</v>
      </c>
      <c r="L9" s="823">
        <f t="shared" ref="L9:L13" si="1">SUM(C9+F9+I9)</f>
        <v>-36092644</v>
      </c>
      <c r="M9" s="823">
        <f t="shared" si="0"/>
        <v>0</v>
      </c>
      <c r="N9" s="824">
        <f t="shared" si="0"/>
        <v>-401759318</v>
      </c>
    </row>
    <row r="10" spans="1:14" x14ac:dyDescent="0.3">
      <c r="A10" s="826" t="s">
        <v>137</v>
      </c>
      <c r="B10" s="874" t="s">
        <v>1005</v>
      </c>
      <c r="C10" s="823">
        <v>600043874</v>
      </c>
      <c r="D10" s="823"/>
      <c r="E10" s="823">
        <v>600043874</v>
      </c>
      <c r="F10" s="823">
        <v>760729</v>
      </c>
      <c r="G10" s="823"/>
      <c r="H10" s="823">
        <v>760729</v>
      </c>
      <c r="I10" s="823">
        <v>86075</v>
      </c>
      <c r="J10" s="823"/>
      <c r="K10" s="823">
        <v>86075</v>
      </c>
      <c r="L10" s="823">
        <f t="shared" si="1"/>
        <v>600890678</v>
      </c>
      <c r="M10" s="823">
        <f t="shared" si="0"/>
        <v>0</v>
      </c>
      <c r="N10" s="824">
        <f t="shared" si="0"/>
        <v>600890678</v>
      </c>
    </row>
    <row r="11" spans="1:14" x14ac:dyDescent="0.3">
      <c r="A11" s="826" t="s">
        <v>140</v>
      </c>
      <c r="B11" s="874" t="s">
        <v>1006</v>
      </c>
      <c r="C11" s="823">
        <v>-2450167337</v>
      </c>
      <c r="D11" s="823"/>
      <c r="E11" s="823">
        <v>-2921347336</v>
      </c>
      <c r="F11" s="823">
        <v>-76819</v>
      </c>
      <c r="G11" s="823"/>
      <c r="H11" s="823">
        <v>-21614881</v>
      </c>
      <c r="I11" s="823">
        <v>-1409590</v>
      </c>
      <c r="J11" s="823"/>
      <c r="K11" s="823">
        <v>-3199871</v>
      </c>
      <c r="L11" s="823">
        <f t="shared" si="1"/>
        <v>-2451653746</v>
      </c>
      <c r="M11" s="823">
        <f t="shared" si="0"/>
        <v>0</v>
      </c>
      <c r="N11" s="824">
        <f t="shared" si="0"/>
        <v>-2946162088</v>
      </c>
    </row>
    <row r="12" spans="1:14" x14ac:dyDescent="0.3">
      <c r="A12" s="826" t="s">
        <v>143</v>
      </c>
      <c r="B12" s="874" t="s">
        <v>1007</v>
      </c>
      <c r="C12" s="823"/>
      <c r="D12" s="823"/>
      <c r="E12" s="823"/>
      <c r="F12" s="823"/>
      <c r="G12" s="823"/>
      <c r="H12" s="823"/>
      <c r="I12" s="823"/>
      <c r="J12" s="823"/>
      <c r="K12" s="823"/>
      <c r="L12" s="823">
        <f t="shared" si="1"/>
        <v>0</v>
      </c>
      <c r="M12" s="823">
        <f t="shared" si="0"/>
        <v>0</v>
      </c>
      <c r="N12" s="824">
        <f t="shared" si="0"/>
        <v>0</v>
      </c>
    </row>
    <row r="13" spans="1:14" x14ac:dyDescent="0.3">
      <c r="A13" s="875" t="s">
        <v>146</v>
      </c>
      <c r="B13" s="876" t="s">
        <v>1008</v>
      </c>
      <c r="C13" s="877">
        <v>-471179999</v>
      </c>
      <c r="D13" s="877"/>
      <c r="E13" s="877">
        <v>-210650018</v>
      </c>
      <c r="F13" s="877">
        <v>-21538062</v>
      </c>
      <c r="G13" s="877"/>
      <c r="H13" s="877">
        <v>16776629</v>
      </c>
      <c r="I13" s="877">
        <v>-1790281</v>
      </c>
      <c r="J13" s="877"/>
      <c r="K13" s="877">
        <v>-344827</v>
      </c>
      <c r="L13" s="877">
        <f t="shared" si="1"/>
        <v>-494508342</v>
      </c>
      <c r="M13" s="877">
        <f t="shared" si="0"/>
        <v>0</v>
      </c>
      <c r="N13" s="878">
        <f t="shared" si="0"/>
        <v>-194218216</v>
      </c>
    </row>
    <row r="14" spans="1:14" x14ac:dyDescent="0.3">
      <c r="A14" s="829" t="s">
        <v>149</v>
      </c>
      <c r="B14" s="881" t="s">
        <v>1009</v>
      </c>
      <c r="C14" s="854">
        <f>SUM(C8:C13)</f>
        <v>10886694393</v>
      </c>
      <c r="D14" s="854"/>
      <c r="E14" s="854">
        <f>SUM(E8:E13)</f>
        <v>10310377701</v>
      </c>
      <c r="F14" s="854">
        <f t="shared" ref="F14" si="2">SUM(F8:F13)</f>
        <v>-17942419</v>
      </c>
      <c r="G14" s="854"/>
      <c r="H14" s="854">
        <f t="shared" ref="H14:I14" si="3">SUM(H8:H13)</f>
        <v>-1165790</v>
      </c>
      <c r="I14" s="854">
        <f t="shared" si="3"/>
        <v>-1140689</v>
      </c>
      <c r="J14" s="882"/>
      <c r="K14" s="854">
        <f t="shared" ref="K14:N14" si="4">SUM(K8:K13)</f>
        <v>-1485516</v>
      </c>
      <c r="L14" s="854">
        <f t="shared" si="4"/>
        <v>10867611285</v>
      </c>
      <c r="M14" s="854">
        <f t="shared" si="4"/>
        <v>0</v>
      </c>
      <c r="N14" s="855">
        <f t="shared" si="4"/>
        <v>10307726395</v>
      </c>
    </row>
    <row r="15" spans="1:14" x14ac:dyDescent="0.3">
      <c r="A15" s="879" t="s">
        <v>152</v>
      </c>
      <c r="B15" s="880" t="s">
        <v>1010</v>
      </c>
      <c r="C15" s="827">
        <v>89000</v>
      </c>
      <c r="D15" s="827"/>
      <c r="E15" s="827">
        <v>3174005</v>
      </c>
      <c r="F15" s="827"/>
      <c r="G15" s="827"/>
      <c r="H15" s="827"/>
      <c r="I15" s="827"/>
      <c r="J15" s="827"/>
      <c r="K15" s="827"/>
      <c r="L15" s="827">
        <f>SUM(C15+F15+I15)</f>
        <v>89000</v>
      </c>
      <c r="M15" s="827">
        <f t="shared" ref="M15:N17" si="5">SUM(D15+G15+J15)</f>
        <v>0</v>
      </c>
      <c r="N15" s="828">
        <f t="shared" si="5"/>
        <v>3174005</v>
      </c>
    </row>
    <row r="16" spans="1:14" ht="26" x14ac:dyDescent="0.3">
      <c r="A16" s="826" t="s">
        <v>155</v>
      </c>
      <c r="B16" s="874" t="s">
        <v>1011</v>
      </c>
      <c r="C16" s="823">
        <v>81537366</v>
      </c>
      <c r="D16" s="823"/>
      <c r="E16" s="823">
        <v>50032540</v>
      </c>
      <c r="F16" s="823">
        <v>445239</v>
      </c>
      <c r="G16" s="823"/>
      <c r="H16" s="823">
        <v>0</v>
      </c>
      <c r="I16" s="823"/>
      <c r="J16" s="823"/>
      <c r="K16" s="823"/>
      <c r="L16" s="823">
        <f t="shared" ref="L16:L17" si="6">SUM(C16+F16+I16)</f>
        <v>81982605</v>
      </c>
      <c r="M16" s="823">
        <f t="shared" si="5"/>
        <v>0</v>
      </c>
      <c r="N16" s="824">
        <f t="shared" si="5"/>
        <v>50032540</v>
      </c>
    </row>
    <row r="17" spans="1:14" x14ac:dyDescent="0.3">
      <c r="A17" s="875" t="s">
        <v>158</v>
      </c>
      <c r="B17" s="876" t="s">
        <v>1012</v>
      </c>
      <c r="C17" s="877">
        <v>5640293</v>
      </c>
      <c r="D17" s="877"/>
      <c r="E17" s="877">
        <v>4096956</v>
      </c>
      <c r="F17" s="877"/>
      <c r="G17" s="877"/>
      <c r="H17" s="877"/>
      <c r="I17" s="877"/>
      <c r="J17" s="877"/>
      <c r="K17" s="877"/>
      <c r="L17" s="877">
        <f t="shared" si="6"/>
        <v>5640293</v>
      </c>
      <c r="M17" s="877">
        <f t="shared" si="5"/>
        <v>0</v>
      </c>
      <c r="N17" s="878">
        <f t="shared" si="5"/>
        <v>4096956</v>
      </c>
    </row>
    <row r="18" spans="1:14" ht="26" x14ac:dyDescent="0.3">
      <c r="A18" s="829" t="s">
        <v>161</v>
      </c>
      <c r="B18" s="881" t="s">
        <v>1013</v>
      </c>
      <c r="C18" s="854">
        <f>SUM(C15:C17)</f>
        <v>87266659</v>
      </c>
      <c r="D18" s="854"/>
      <c r="E18" s="854">
        <f>SUM(E15:E17)</f>
        <v>57303501</v>
      </c>
      <c r="F18" s="854">
        <f t="shared" ref="F18" si="7">SUM(F15:F17)</f>
        <v>445239</v>
      </c>
      <c r="G18" s="854"/>
      <c r="H18" s="854">
        <f t="shared" ref="H18:I18" si="8">SUM(H15:H17)</f>
        <v>0</v>
      </c>
      <c r="I18" s="854">
        <f t="shared" si="8"/>
        <v>0</v>
      </c>
      <c r="J18" s="854"/>
      <c r="K18" s="854">
        <f t="shared" ref="K18:N18" si="9">SUM(K15:K17)</f>
        <v>0</v>
      </c>
      <c r="L18" s="854">
        <f t="shared" si="9"/>
        <v>87711898</v>
      </c>
      <c r="M18" s="854">
        <f t="shared" si="9"/>
        <v>0</v>
      </c>
      <c r="N18" s="855">
        <f t="shared" si="9"/>
        <v>57303501</v>
      </c>
    </row>
    <row r="19" spans="1:14" ht="26" x14ac:dyDescent="0.3">
      <c r="A19" s="829" t="s">
        <v>164</v>
      </c>
      <c r="B19" s="881" t="s">
        <v>1014</v>
      </c>
      <c r="C19" s="854">
        <v>0</v>
      </c>
      <c r="D19" s="854"/>
      <c r="E19" s="854">
        <v>0</v>
      </c>
      <c r="F19" s="854">
        <v>0</v>
      </c>
      <c r="G19" s="854"/>
      <c r="H19" s="854">
        <v>0</v>
      </c>
      <c r="I19" s="854">
        <v>0</v>
      </c>
      <c r="J19" s="854"/>
      <c r="K19" s="854">
        <v>0</v>
      </c>
      <c r="L19" s="854">
        <v>0</v>
      </c>
      <c r="M19" s="854">
        <v>0</v>
      </c>
      <c r="N19" s="855">
        <v>0</v>
      </c>
    </row>
    <row r="20" spans="1:14" ht="26" x14ac:dyDescent="0.3">
      <c r="A20" s="879" t="s">
        <v>167</v>
      </c>
      <c r="B20" s="880" t="s">
        <v>1015</v>
      </c>
      <c r="C20" s="827">
        <v>0</v>
      </c>
      <c r="D20" s="827"/>
      <c r="E20" s="827">
        <v>0</v>
      </c>
      <c r="F20" s="827">
        <v>0</v>
      </c>
      <c r="G20" s="827"/>
      <c r="H20" s="827">
        <v>0</v>
      </c>
      <c r="I20" s="827">
        <v>0</v>
      </c>
      <c r="J20" s="827"/>
      <c r="K20" s="827">
        <v>0</v>
      </c>
      <c r="L20" s="827">
        <f t="shared" ref="L20:N22" si="10">SUM(C20+F20+I20)</f>
        <v>0</v>
      </c>
      <c r="M20" s="827">
        <f t="shared" si="10"/>
        <v>0</v>
      </c>
      <c r="N20" s="828">
        <f t="shared" si="10"/>
        <v>0</v>
      </c>
    </row>
    <row r="21" spans="1:14" x14ac:dyDescent="0.3">
      <c r="A21" s="826" t="s">
        <v>170</v>
      </c>
      <c r="B21" s="874" t="s">
        <v>1016</v>
      </c>
      <c r="C21" s="823">
        <v>30161443</v>
      </c>
      <c r="D21" s="823"/>
      <c r="E21" s="823">
        <v>52291393</v>
      </c>
      <c r="F21" s="823">
        <v>18949075</v>
      </c>
      <c r="G21" s="823"/>
      <c r="H21" s="823">
        <v>22867083</v>
      </c>
      <c r="I21" s="823">
        <v>1929478</v>
      </c>
      <c r="J21" s="823"/>
      <c r="K21" s="823">
        <v>1846907</v>
      </c>
      <c r="L21" s="823">
        <f t="shared" si="10"/>
        <v>51039996</v>
      </c>
      <c r="M21" s="823">
        <f t="shared" si="10"/>
        <v>0</v>
      </c>
      <c r="N21" s="824">
        <f t="shared" si="10"/>
        <v>77005383</v>
      </c>
    </row>
    <row r="22" spans="1:14" x14ac:dyDescent="0.3">
      <c r="A22" s="875" t="s">
        <v>173</v>
      </c>
      <c r="B22" s="876" t="s">
        <v>1017</v>
      </c>
      <c r="C22" s="877">
        <v>684577008</v>
      </c>
      <c r="D22" s="877"/>
      <c r="E22" s="877">
        <v>3210794402</v>
      </c>
      <c r="F22" s="877">
        <v>0</v>
      </c>
      <c r="G22" s="877"/>
      <c r="H22" s="877">
        <v>0</v>
      </c>
      <c r="I22" s="877">
        <v>0</v>
      </c>
      <c r="J22" s="877"/>
      <c r="K22" s="877">
        <v>0</v>
      </c>
      <c r="L22" s="877">
        <f t="shared" si="10"/>
        <v>684577008</v>
      </c>
      <c r="M22" s="877">
        <f t="shared" si="10"/>
        <v>0</v>
      </c>
      <c r="N22" s="878">
        <f t="shared" si="10"/>
        <v>3210794402</v>
      </c>
    </row>
    <row r="23" spans="1:14" ht="26" x14ac:dyDescent="0.3">
      <c r="A23" s="829" t="s">
        <v>176</v>
      </c>
      <c r="B23" s="881" t="s">
        <v>1018</v>
      </c>
      <c r="C23" s="854">
        <f>SUM(C19:C22)</f>
        <v>714738451</v>
      </c>
      <c r="D23" s="854"/>
      <c r="E23" s="854">
        <f>SUM(E19:E22)</f>
        <v>3263085795</v>
      </c>
      <c r="F23" s="854">
        <f t="shared" ref="F23" si="11">SUM(F19:F22)</f>
        <v>18949075</v>
      </c>
      <c r="G23" s="854"/>
      <c r="H23" s="854">
        <f t="shared" ref="H23:I23" si="12">SUM(H19:H22)</f>
        <v>22867083</v>
      </c>
      <c r="I23" s="854">
        <f t="shared" si="12"/>
        <v>1929478</v>
      </c>
      <c r="J23" s="854"/>
      <c r="K23" s="854">
        <f t="shared" ref="K23:N23" si="13">SUM(K19:K22)</f>
        <v>1846907</v>
      </c>
      <c r="L23" s="854">
        <f t="shared" si="13"/>
        <v>735617004</v>
      </c>
      <c r="M23" s="854">
        <f t="shared" si="13"/>
        <v>0</v>
      </c>
      <c r="N23" s="855">
        <f t="shared" si="13"/>
        <v>3287799785</v>
      </c>
    </row>
    <row r="24" spans="1:14" ht="26" x14ac:dyDescent="0.3">
      <c r="A24" s="894" t="s">
        <v>179</v>
      </c>
      <c r="B24" s="893" t="s">
        <v>1019</v>
      </c>
      <c r="C24" s="892">
        <f>C14+C18+C19+C23</f>
        <v>11688699503</v>
      </c>
      <c r="D24" s="892"/>
      <c r="E24" s="892">
        <f>E14+E18+E19+E23</f>
        <v>13630766997</v>
      </c>
      <c r="F24" s="892">
        <f t="shared" ref="F24" si="14">F14+F18+F19+F23</f>
        <v>1451895</v>
      </c>
      <c r="G24" s="892"/>
      <c r="H24" s="892">
        <f t="shared" ref="H24:I24" si="15">H14+H18+H19+H23</f>
        <v>21701293</v>
      </c>
      <c r="I24" s="892">
        <f t="shared" si="15"/>
        <v>788789</v>
      </c>
      <c r="J24" s="892"/>
      <c r="K24" s="892">
        <f t="shared" ref="K24:N24" si="16">K14+K18+K19+K23</f>
        <v>361391</v>
      </c>
      <c r="L24" s="892">
        <f t="shared" si="16"/>
        <v>11690940187</v>
      </c>
      <c r="M24" s="892">
        <f t="shared" si="16"/>
        <v>0</v>
      </c>
      <c r="N24" s="891">
        <f t="shared" si="16"/>
        <v>13652829681</v>
      </c>
    </row>
    <row r="27" spans="1:14" x14ac:dyDescent="0.3">
      <c r="D27" s="833" t="s">
        <v>799</v>
      </c>
      <c r="G27" s="833" t="s">
        <v>799</v>
      </c>
      <c r="J27" s="833" t="s">
        <v>799</v>
      </c>
      <c r="M27" s="833" t="s">
        <v>799</v>
      </c>
    </row>
  </sheetData>
  <mergeCells count="9">
    <mergeCell ref="A2:N2"/>
    <mergeCell ref="L4:N4"/>
    <mergeCell ref="A5:N5"/>
    <mergeCell ref="A6:A7"/>
    <mergeCell ref="B6:B7"/>
    <mergeCell ref="C6:E6"/>
    <mergeCell ref="F6:H6"/>
    <mergeCell ref="I6:K6"/>
    <mergeCell ref="L6:N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&amp;R 22. melléklet a 7/2018. (V.31.)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view="pageLayout" topLeftCell="C1" zoomScaleNormal="100" workbookViewId="0">
      <selection sqref="A1:M1"/>
    </sheetView>
  </sheetViews>
  <sheetFormatPr defaultColWidth="9.296875" defaultRowHeight="13" x14ac:dyDescent="0.3"/>
  <cols>
    <col min="1" max="1" width="7" style="11" customWidth="1"/>
    <col min="2" max="2" width="58" style="12" customWidth="1"/>
    <col min="3" max="6" width="18.296875" style="11" customWidth="1"/>
    <col min="7" max="7" width="11.19921875" style="599" customWidth="1"/>
    <col min="8" max="8" width="56" style="11" customWidth="1"/>
    <col min="9" max="9" width="19.19921875" style="11" customWidth="1"/>
    <col min="10" max="10" width="15.19921875" style="563" bestFit="1" customWidth="1"/>
    <col min="11" max="11" width="14.5" style="11" bestFit="1" customWidth="1"/>
    <col min="12" max="12" width="14.5" style="11" customWidth="1"/>
    <col min="13" max="13" width="15.296875" style="599" bestFit="1" customWidth="1"/>
    <col min="14" max="16384" width="9.296875" style="11"/>
  </cols>
  <sheetData>
    <row r="1" spans="1:13" ht="44.25" customHeight="1" x14ac:dyDescent="0.3">
      <c r="A1" s="1021" t="s">
        <v>634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</row>
    <row r="2" spans="1:13" x14ac:dyDescent="0.25">
      <c r="J2" s="560"/>
      <c r="K2" s="13"/>
      <c r="L2" s="544" t="s">
        <v>799</v>
      </c>
      <c r="M2" s="602" t="s">
        <v>1</v>
      </c>
    </row>
    <row r="3" spans="1:13" ht="18" customHeight="1" x14ac:dyDescent="0.3">
      <c r="A3" s="1017" t="s">
        <v>2</v>
      </c>
      <c r="B3" s="1018" t="s">
        <v>265</v>
      </c>
      <c r="C3" s="1019"/>
      <c r="D3" s="1019"/>
      <c r="E3" s="1019"/>
      <c r="F3" s="1019"/>
      <c r="G3" s="1020"/>
      <c r="H3" s="1018" t="s">
        <v>266</v>
      </c>
      <c r="I3" s="1019"/>
      <c r="J3" s="1019"/>
      <c r="K3" s="1019"/>
      <c r="L3" s="1019"/>
      <c r="M3" s="1020"/>
    </row>
    <row r="4" spans="1:13" s="14" customFormat="1" ht="35.25" customHeight="1" x14ac:dyDescent="0.3">
      <c r="A4" s="1017"/>
      <c r="B4" s="15" t="s">
        <v>267</v>
      </c>
      <c r="C4" s="15" t="s">
        <v>268</v>
      </c>
      <c r="D4" s="15" t="s">
        <v>959</v>
      </c>
      <c r="E4" s="15" t="s">
        <v>796</v>
      </c>
      <c r="F4" s="532" t="s">
        <v>823</v>
      </c>
      <c r="G4" s="600" t="s">
        <v>824</v>
      </c>
      <c r="H4" s="15" t="s">
        <v>267</v>
      </c>
      <c r="I4" s="15" t="str">
        <f>+C4</f>
        <v>2017. évi előirányzat</v>
      </c>
      <c r="J4" s="543" t="s">
        <v>959</v>
      </c>
      <c r="K4" s="15" t="s">
        <v>796</v>
      </c>
      <c r="L4" s="532" t="s">
        <v>823</v>
      </c>
      <c r="M4" s="603" t="s">
        <v>824</v>
      </c>
    </row>
    <row r="5" spans="1:13" s="16" customFormat="1" ht="12" customHeight="1" x14ac:dyDescent="0.3">
      <c r="A5" s="15" t="s">
        <v>6</v>
      </c>
      <c r="B5" s="15" t="s">
        <v>7</v>
      </c>
      <c r="C5" s="15" t="s">
        <v>8</v>
      </c>
      <c r="D5" s="15" t="s">
        <v>9</v>
      </c>
      <c r="E5" s="646" t="s">
        <v>269</v>
      </c>
      <c r="F5" s="646" t="s">
        <v>472</v>
      </c>
      <c r="G5" s="600" t="s">
        <v>794</v>
      </c>
      <c r="H5" s="646" t="s">
        <v>960</v>
      </c>
      <c r="I5" s="646" t="s">
        <v>798</v>
      </c>
      <c r="J5" s="647" t="s">
        <v>825</v>
      </c>
      <c r="K5" s="19" t="s">
        <v>826</v>
      </c>
      <c r="L5" s="19" t="s">
        <v>827</v>
      </c>
      <c r="M5" s="604" t="s">
        <v>828</v>
      </c>
    </row>
    <row r="6" spans="1:13" ht="15.75" customHeight="1" x14ac:dyDescent="0.3">
      <c r="A6" s="230" t="s">
        <v>10</v>
      </c>
      <c r="B6" s="222" t="s">
        <v>467</v>
      </c>
      <c r="C6" s="223">
        <f>'1.sz.mell.'!D12</f>
        <v>847167451</v>
      </c>
      <c r="D6" s="223">
        <f>E6-C6</f>
        <v>75529859</v>
      </c>
      <c r="E6" s="223">
        <v>922697310</v>
      </c>
      <c r="F6" s="223">
        <v>922697310</v>
      </c>
      <c r="G6" s="601">
        <f>F6/E6</f>
        <v>1</v>
      </c>
      <c r="H6" s="222" t="str">
        <f>'1.sz.mell.'!B82</f>
        <v>Személyi  juttatások</v>
      </c>
      <c r="I6" s="223">
        <f>'1.sz.mell.'!D82</f>
        <v>323812114</v>
      </c>
      <c r="J6" s="561">
        <f>K6-I6</f>
        <v>197661855</v>
      </c>
      <c r="K6" s="224">
        <v>521473969</v>
      </c>
      <c r="L6" s="224">
        <v>453688351</v>
      </c>
      <c r="M6" s="605">
        <f>L6/K6</f>
        <v>0.87001150195476007</v>
      </c>
    </row>
    <row r="7" spans="1:13" ht="15.75" customHeight="1" x14ac:dyDescent="0.3">
      <c r="A7" s="230" t="s">
        <v>13</v>
      </c>
      <c r="B7" s="222" t="s">
        <v>566</v>
      </c>
      <c r="C7" s="223">
        <f>'1.sz.mell.'!D13+'1.sz.mell.'!D14</f>
        <v>110724067</v>
      </c>
      <c r="D7" s="223">
        <f t="shared" ref="D7:D10" si="0">E7-C7</f>
        <v>301704940</v>
      </c>
      <c r="E7" s="223">
        <v>412429007</v>
      </c>
      <c r="F7" s="223">
        <v>408902573</v>
      </c>
      <c r="G7" s="601">
        <f t="shared" ref="G7:G20" si="1">F7/E7</f>
        <v>0.99144959753036965</v>
      </c>
      <c r="H7" s="222" t="str">
        <f>'1.sz.mell.'!B83</f>
        <v>Munkaadókat terhelő járulékok és szociális hozzájárulási adó</v>
      </c>
      <c r="I7" s="223">
        <f>'1.sz.mell.'!D83</f>
        <v>73417889</v>
      </c>
      <c r="J7" s="561">
        <f t="shared" ref="J7:J12" si="2">K7-I7</f>
        <v>22006307</v>
      </c>
      <c r="K7" s="224">
        <v>95424196</v>
      </c>
      <c r="L7" s="224">
        <v>81933305</v>
      </c>
      <c r="M7" s="605">
        <f t="shared" ref="M7:M20" si="3">L7/K7</f>
        <v>0.85862190549658912</v>
      </c>
    </row>
    <row r="8" spans="1:13" ht="15.75" customHeight="1" x14ac:dyDescent="0.3">
      <c r="A8" s="230" t="s">
        <v>16</v>
      </c>
      <c r="B8" s="222" t="s">
        <v>108</v>
      </c>
      <c r="C8" s="223">
        <f>'1.sz.mell.'!D45</f>
        <v>751000000</v>
      </c>
      <c r="D8" s="223">
        <f t="shared" si="0"/>
        <v>53522844</v>
      </c>
      <c r="E8" s="223">
        <v>804522844</v>
      </c>
      <c r="F8" s="223">
        <v>804118801</v>
      </c>
      <c r="G8" s="601">
        <f t="shared" si="1"/>
        <v>0.99949778554703161</v>
      </c>
      <c r="H8" s="222" t="str">
        <f>'1.sz.mell.'!B84</f>
        <v>Dologi  kiadások</v>
      </c>
      <c r="I8" s="223">
        <f>'1.sz.mell.'!D84</f>
        <v>574940083</v>
      </c>
      <c r="J8" s="561">
        <f t="shared" si="2"/>
        <v>1714814810</v>
      </c>
      <c r="K8" s="224">
        <v>2289754893</v>
      </c>
      <c r="L8" s="224">
        <v>617366654</v>
      </c>
      <c r="M8" s="605">
        <f t="shared" si="3"/>
        <v>0.26962128387075357</v>
      </c>
    </row>
    <row r="9" spans="1:13" ht="15.75" customHeight="1" x14ac:dyDescent="0.3">
      <c r="A9" s="230" t="s">
        <v>19</v>
      </c>
      <c r="B9" s="222" t="s">
        <v>452</v>
      </c>
      <c r="C9" s="223">
        <f>'1.sz.mell.'!D57</f>
        <v>184636916</v>
      </c>
      <c r="D9" s="223">
        <f t="shared" si="0"/>
        <v>6784482</v>
      </c>
      <c r="E9" s="223">
        <v>191421398</v>
      </c>
      <c r="F9" s="223">
        <v>186513974</v>
      </c>
      <c r="G9" s="601">
        <f t="shared" si="1"/>
        <v>0.97436324229540938</v>
      </c>
      <c r="H9" s="222" t="str">
        <f>'1.sz.mell.'!B85</f>
        <v>Ellátottak pénzbeli juttatásai</v>
      </c>
      <c r="I9" s="223">
        <f>'1.sz.mell.'!D85</f>
        <v>66820160</v>
      </c>
      <c r="J9" s="561">
        <f t="shared" si="2"/>
        <v>20217934</v>
      </c>
      <c r="K9" s="224">
        <v>87038094</v>
      </c>
      <c r="L9" s="224">
        <v>86882306</v>
      </c>
      <c r="M9" s="605">
        <f t="shared" si="3"/>
        <v>0.99821011705518281</v>
      </c>
    </row>
    <row r="10" spans="1:13" ht="15.75" customHeight="1" x14ac:dyDescent="0.3">
      <c r="A10" s="230" t="s">
        <v>22</v>
      </c>
      <c r="B10" s="222" t="s">
        <v>424</v>
      </c>
      <c r="C10" s="223">
        <f>'1.sz.mell.'!D66</f>
        <v>0</v>
      </c>
      <c r="D10" s="223">
        <f t="shared" si="0"/>
        <v>2358497</v>
      </c>
      <c r="E10" s="223">
        <v>2358497</v>
      </c>
      <c r="F10" s="223">
        <v>2355997</v>
      </c>
      <c r="G10" s="601">
        <f t="shared" si="1"/>
        <v>0.99894000289167206</v>
      </c>
      <c r="H10" s="222" t="str">
        <f>'1.sz.mell.'!B86</f>
        <v>Egyéb működési célú kiadások</v>
      </c>
      <c r="I10" s="223">
        <v>965514977</v>
      </c>
      <c r="J10" s="561">
        <f t="shared" si="2"/>
        <v>136499523</v>
      </c>
      <c r="K10" s="224">
        <v>1102014500</v>
      </c>
      <c r="L10" s="224">
        <v>962359564</v>
      </c>
      <c r="M10" s="605">
        <f t="shared" si="3"/>
        <v>0.87327305039997205</v>
      </c>
    </row>
    <row r="11" spans="1:13" ht="15.75" customHeight="1" x14ac:dyDescent="0.3">
      <c r="A11" s="230" t="s">
        <v>25</v>
      </c>
      <c r="B11" s="222"/>
      <c r="C11" s="223"/>
      <c r="D11" s="223">
        <f>E11-C11</f>
        <v>0</v>
      </c>
      <c r="E11" s="223"/>
      <c r="F11" s="223"/>
      <c r="G11" s="601"/>
      <c r="H11" s="763" t="s">
        <v>270</v>
      </c>
      <c r="I11" s="764">
        <v>70000000</v>
      </c>
      <c r="J11" s="561">
        <f t="shared" si="2"/>
        <v>43006932</v>
      </c>
      <c r="K11" s="765">
        <v>113006932</v>
      </c>
      <c r="L11" s="765"/>
      <c r="M11" s="766">
        <f t="shared" si="3"/>
        <v>0</v>
      </c>
    </row>
    <row r="12" spans="1:13" ht="15.75" customHeight="1" x14ac:dyDescent="0.3">
      <c r="A12" s="230" t="s">
        <v>28</v>
      </c>
      <c r="B12" s="230"/>
      <c r="C12" s="223"/>
      <c r="D12" s="223"/>
      <c r="E12" s="223"/>
      <c r="F12" s="223"/>
      <c r="G12" s="601"/>
      <c r="H12" s="767" t="s">
        <v>271</v>
      </c>
      <c r="I12" s="764">
        <v>17146343</v>
      </c>
      <c r="J12" s="561">
        <f t="shared" si="2"/>
        <v>-17146343</v>
      </c>
      <c r="K12" s="765">
        <v>0</v>
      </c>
      <c r="L12" s="765"/>
      <c r="M12" s="766"/>
    </row>
    <row r="13" spans="1:13" ht="15.75" customHeight="1" x14ac:dyDescent="0.3">
      <c r="A13" s="20" t="s">
        <v>31</v>
      </c>
      <c r="B13" s="199" t="s">
        <v>715</v>
      </c>
      <c r="C13" s="17">
        <f>SUM(C6:C12)</f>
        <v>1893528434</v>
      </c>
      <c r="D13" s="17">
        <f t="shared" ref="D13" si="4">SUM(D6:D12)</f>
        <v>439900622</v>
      </c>
      <c r="E13" s="17">
        <f>SUM(E6:E12)</f>
        <v>2333429056</v>
      </c>
      <c r="F13" s="17">
        <f>SUM(F6:F12)</f>
        <v>2324588655</v>
      </c>
      <c r="G13" s="601">
        <f t="shared" si="1"/>
        <v>0.99621141213731423</v>
      </c>
      <c r="H13" s="199" t="s">
        <v>272</v>
      </c>
      <c r="I13" s="17">
        <f>SUM(I6:I10)</f>
        <v>2004505223</v>
      </c>
      <c r="J13" s="17">
        <f t="shared" ref="J13:L13" si="5">SUM(J6:J10)</f>
        <v>2091200429</v>
      </c>
      <c r="K13" s="17">
        <f t="shared" si="5"/>
        <v>4095705652</v>
      </c>
      <c r="L13" s="17">
        <f t="shared" si="5"/>
        <v>2202230180</v>
      </c>
      <c r="M13" s="605">
        <f t="shared" si="3"/>
        <v>0.53769249236077676</v>
      </c>
    </row>
    <row r="14" spans="1:13" ht="15.75" customHeight="1" x14ac:dyDescent="0.3">
      <c r="A14" s="230" t="s">
        <v>34</v>
      </c>
      <c r="B14" s="229" t="str">
        <f>'1.sz.mell.'!B71</f>
        <v xml:space="preserve">Hitel-, kölcsönfelvétel államháztartáson kívülről </v>
      </c>
      <c r="C14" s="231">
        <f>'[15]1.1.sz.mell.'!D71</f>
        <v>0</v>
      </c>
      <c r="D14" s="231"/>
      <c r="E14" s="231"/>
      <c r="F14" s="231"/>
      <c r="G14" s="601" t="s">
        <v>799</v>
      </c>
      <c r="H14" s="228" t="s">
        <v>251</v>
      </c>
      <c r="I14" s="223"/>
      <c r="J14" s="562"/>
      <c r="K14" s="224"/>
      <c r="L14" s="224"/>
      <c r="M14" s="605" t="s">
        <v>799</v>
      </c>
    </row>
    <row r="15" spans="1:13" ht="15.75" customHeight="1" x14ac:dyDescent="0.3">
      <c r="A15" s="230" t="s">
        <v>37</v>
      </c>
      <c r="B15" s="758" t="s">
        <v>189</v>
      </c>
      <c r="C15" s="759">
        <f>SUM(C16:C17)</f>
        <v>229723597</v>
      </c>
      <c r="D15" s="759">
        <f>E15-C15</f>
        <v>107029296</v>
      </c>
      <c r="E15" s="759">
        <v>336752893</v>
      </c>
      <c r="F15" s="759">
        <v>336752893</v>
      </c>
      <c r="G15" s="601">
        <f t="shared" si="1"/>
        <v>1</v>
      </c>
      <c r="H15" s="229" t="s">
        <v>253</v>
      </c>
      <c r="I15" s="223"/>
      <c r="J15" s="562"/>
      <c r="K15" s="224"/>
      <c r="L15" s="224"/>
      <c r="M15" s="605" t="s">
        <v>799</v>
      </c>
    </row>
    <row r="16" spans="1:13" ht="15.75" customHeight="1" x14ac:dyDescent="0.3">
      <c r="A16" s="233" t="s">
        <v>273</v>
      </c>
      <c r="B16" s="761" t="str">
        <f>'1.sz.mell.'!B73</f>
        <v>Előző év költségvetési maradványának igénybevétele</v>
      </c>
      <c r="C16" s="762">
        <f>30364900+52858697+2000000+140000000</f>
        <v>225223597</v>
      </c>
      <c r="D16" s="759">
        <f t="shared" ref="D16:D17" si="6">E16-C16</f>
        <v>100954986</v>
      </c>
      <c r="E16" s="762">
        <v>326178583</v>
      </c>
      <c r="F16" s="762">
        <v>326178583</v>
      </c>
      <c r="G16" s="601">
        <f t="shared" si="1"/>
        <v>1</v>
      </c>
      <c r="H16" s="229" t="s">
        <v>255</v>
      </c>
      <c r="I16" s="223">
        <f>'1.sz.mell.'!D110</f>
        <v>30364900</v>
      </c>
      <c r="J16" s="562">
        <f>K16-I16</f>
        <v>0</v>
      </c>
      <c r="K16" s="224">
        <v>30364900</v>
      </c>
      <c r="L16" s="224">
        <v>30364900</v>
      </c>
      <c r="M16" s="605">
        <f t="shared" si="3"/>
        <v>1</v>
      </c>
    </row>
    <row r="17" spans="1:13" ht="15.75" customHeight="1" x14ac:dyDescent="0.3">
      <c r="A17" s="233" t="s">
        <v>274</v>
      </c>
      <c r="B17" s="761" t="str">
        <f>'1.sz.mell.'!B74</f>
        <v>Előző év vállalkozási maradványának igénybevétele</v>
      </c>
      <c r="C17" s="762">
        <v>4500000</v>
      </c>
      <c r="D17" s="759">
        <f t="shared" si="6"/>
        <v>6074310</v>
      </c>
      <c r="E17" s="762">
        <v>10574310</v>
      </c>
      <c r="F17" s="762">
        <v>10574310</v>
      </c>
      <c r="G17" s="601">
        <f t="shared" si="1"/>
        <v>1</v>
      </c>
      <c r="H17" s="229" t="s">
        <v>257</v>
      </c>
      <c r="I17" s="223"/>
      <c r="J17" s="562"/>
      <c r="K17" s="224"/>
      <c r="L17" s="224"/>
      <c r="M17" s="605" t="s">
        <v>799</v>
      </c>
    </row>
    <row r="18" spans="1:13" ht="15.75" customHeight="1" x14ac:dyDescent="0.3">
      <c r="A18" s="230" t="s">
        <v>39</v>
      </c>
      <c r="B18" s="774" t="s">
        <v>957</v>
      </c>
      <c r="C18" s="760">
        <f>'[15]1.1.sz.mell.'!D75</f>
        <v>0</v>
      </c>
      <c r="D18" s="760"/>
      <c r="E18" s="760">
        <v>31792796</v>
      </c>
      <c r="F18" s="760">
        <v>31792796</v>
      </c>
      <c r="G18" s="601" t="s">
        <v>799</v>
      </c>
      <c r="H18" s="230"/>
      <c r="I18" s="223"/>
      <c r="J18" s="562"/>
      <c r="K18" s="224"/>
      <c r="L18" s="224"/>
      <c r="M18" s="605" t="s">
        <v>799</v>
      </c>
    </row>
    <row r="19" spans="1:13" ht="27" customHeight="1" x14ac:dyDescent="0.3">
      <c r="A19" s="230" t="s">
        <v>41</v>
      </c>
      <c r="B19" s="199" t="s">
        <v>275</v>
      </c>
      <c r="C19" s="17">
        <f>SUM(C14+C15+C18)</f>
        <v>229723597</v>
      </c>
      <c r="D19" s="17">
        <f t="shared" ref="D19" si="7">SUM(D14+D15+D18)</f>
        <v>107029296</v>
      </c>
      <c r="E19" s="17">
        <f>SUM(E14+E15+E18)</f>
        <v>368545689</v>
      </c>
      <c r="F19" s="17">
        <f>SUM(F14+F15+F18)</f>
        <v>368545689</v>
      </c>
      <c r="G19" s="601">
        <f t="shared" si="1"/>
        <v>1</v>
      </c>
      <c r="H19" s="199" t="s">
        <v>276</v>
      </c>
      <c r="I19" s="17">
        <f>SUM(I14:I18)</f>
        <v>30364900</v>
      </c>
      <c r="J19" s="17">
        <f t="shared" ref="J19:L19" si="8">SUM(J14:J18)</f>
        <v>0</v>
      </c>
      <c r="K19" s="17">
        <f t="shared" si="8"/>
        <v>30364900</v>
      </c>
      <c r="L19" s="17">
        <f t="shared" si="8"/>
        <v>30364900</v>
      </c>
      <c r="M19" s="605">
        <f t="shared" si="3"/>
        <v>1</v>
      </c>
    </row>
    <row r="20" spans="1:13" ht="24" customHeight="1" x14ac:dyDescent="0.3">
      <c r="A20" s="230" t="s">
        <v>43</v>
      </c>
      <c r="B20" s="199" t="s">
        <v>277</v>
      </c>
      <c r="C20" s="17">
        <f>SUM(C13+C19)</f>
        <v>2123252031</v>
      </c>
      <c r="D20" s="17">
        <f t="shared" ref="D20:F20" si="9">SUM(D13+D19)</f>
        <v>546929918</v>
      </c>
      <c r="E20" s="17">
        <f t="shared" si="9"/>
        <v>2701974745</v>
      </c>
      <c r="F20" s="17">
        <f t="shared" si="9"/>
        <v>2693134344</v>
      </c>
      <c r="G20" s="601">
        <f t="shared" si="1"/>
        <v>0.996728170381178</v>
      </c>
      <c r="H20" s="199" t="s">
        <v>278</v>
      </c>
      <c r="I20" s="17">
        <f>SUM(I13+I19)</f>
        <v>2034870123</v>
      </c>
      <c r="J20" s="17">
        <f t="shared" ref="J20:L20" si="10">SUM(J13+J19)</f>
        <v>2091200429</v>
      </c>
      <c r="K20" s="17">
        <f t="shared" si="10"/>
        <v>4126070552</v>
      </c>
      <c r="L20" s="17">
        <f t="shared" si="10"/>
        <v>2232595080</v>
      </c>
      <c r="M20" s="605">
        <f t="shared" si="3"/>
        <v>0.54109474180411443</v>
      </c>
    </row>
    <row r="21" spans="1:13" ht="18" customHeight="1" x14ac:dyDescent="0.3">
      <c r="A21" s="15" t="s">
        <v>45</v>
      </c>
      <c r="B21" s="199" t="s">
        <v>709</v>
      </c>
      <c r="C21" s="17">
        <f>IF(C13-I13&lt;0,I13-C13,"-")</f>
        <v>110976789</v>
      </c>
      <c r="D21" s="17">
        <f>IF(D13-J13&lt;0,J13-D13,"-")</f>
        <v>1651299807</v>
      </c>
      <c r="E21" s="17">
        <f>IF(E13-K13&lt;0,K13-E13,"-")</f>
        <v>1762276596</v>
      </c>
      <c r="F21" s="17" t="str">
        <f>IF(F13-L13&lt;0,L13-F13,"-")</f>
        <v>-</v>
      </c>
      <c r="G21" s="601" t="s">
        <v>799</v>
      </c>
      <c r="H21" s="199" t="s">
        <v>710</v>
      </c>
      <c r="I21" s="17" t="str">
        <f>IF(C13-I13&gt;0,C13-I13,"-")</f>
        <v>-</v>
      </c>
      <c r="J21" s="17" t="str">
        <f>IF(D13-J13&gt;0,D13-J13,"-")</f>
        <v>-</v>
      </c>
      <c r="K21" s="17" t="str">
        <f>IF(E13-K13&gt;0,E13-K13,"-")</f>
        <v>-</v>
      </c>
      <c r="L21" s="17">
        <f>IF(F13-L13&gt;0,F13-L13,"-")</f>
        <v>122358475</v>
      </c>
      <c r="M21" s="605" t="s">
        <v>799</v>
      </c>
    </row>
    <row r="22" spans="1:13" ht="18" customHeight="1" x14ac:dyDescent="0.3">
      <c r="A22" s="15" t="s">
        <v>47</v>
      </c>
      <c r="B22" s="199" t="s">
        <v>711</v>
      </c>
      <c r="C22" s="17" t="str">
        <f>IF(C13+C19-I20&lt;0,I20-(C13+C19),"-")</f>
        <v>-</v>
      </c>
      <c r="D22" s="17">
        <f>IF(D13+D19-J20&lt;0,J20-(D13+D19),"-")</f>
        <v>1544270511</v>
      </c>
      <c r="E22" s="17">
        <f>IF(E13+E19-K20&lt;0,K20-(E13+E19),"-")</f>
        <v>1424095807</v>
      </c>
      <c r="F22" s="17" t="str">
        <f>IF(F13+F19-L20&lt;0,L20-(F13+F19),"-")</f>
        <v>-</v>
      </c>
      <c r="G22" s="601" t="s">
        <v>799</v>
      </c>
      <c r="H22" s="199" t="s">
        <v>712</v>
      </c>
      <c r="I22" s="17">
        <f>IF(C13+C19-I20&gt;0,C13+C19-I20,"-")</f>
        <v>88381908</v>
      </c>
      <c r="J22" s="17" t="str">
        <f t="shared" ref="J22:L22" si="11">IF(D13+D19-J20&gt;0,D13+D19-J20,"-")</f>
        <v>-</v>
      </c>
      <c r="K22" s="17" t="str">
        <f t="shared" si="11"/>
        <v>-</v>
      </c>
      <c r="L22" s="17">
        <f t="shared" si="11"/>
        <v>460539264</v>
      </c>
      <c r="M22" s="605" t="s">
        <v>799</v>
      </c>
    </row>
    <row r="23" spans="1:13" ht="15" x14ac:dyDescent="0.3">
      <c r="B23" s="18"/>
    </row>
  </sheetData>
  <mergeCells count="4">
    <mergeCell ref="A3:A4"/>
    <mergeCell ref="B3:G3"/>
    <mergeCell ref="H3:M3"/>
    <mergeCell ref="A1:M1"/>
  </mergeCells>
  <printOptions horizontalCentered="1" verticalCentered="1"/>
  <pageMargins left="0.59055118110236227" right="0.59055118110236227" top="0.9055118110236221" bottom="0.78740157480314965" header="0.59055118110236227" footer="0.55118110236220474"/>
  <pageSetup paperSize="9" scale="52" orientation="landscape" r:id="rId1"/>
  <headerFooter>
    <oddHeader xml:space="preserve">&amp;R&amp;"Times New Roman CE,Félkövér dőlt"&amp;11 2.1. melléklet a 7/2018. (V.31.) önkormányzati rendelethez  </oddHeader>
  </headerFooter>
  <colBreaks count="1" manualBreakCount="1">
    <brk id="12" max="22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view="pageLayout" topLeftCell="B47" zoomScaleNormal="100" workbookViewId="0">
      <selection activeCell="S48" sqref="S48"/>
    </sheetView>
  </sheetViews>
  <sheetFormatPr defaultRowHeight="15.5" x14ac:dyDescent="0.35"/>
  <cols>
    <col min="1" max="1" width="4.796875" style="835" customWidth="1"/>
    <col min="2" max="2" width="37.19921875" style="835" customWidth="1"/>
    <col min="3" max="3" width="14.5" style="835" bestFit="1" customWidth="1"/>
    <col min="4" max="4" width="12.796875" style="835" bestFit="1" customWidth="1"/>
    <col min="5" max="5" width="15.5" style="835" bestFit="1" customWidth="1"/>
    <col min="6" max="6" width="14.5" style="835" bestFit="1" customWidth="1"/>
    <col min="7" max="7" width="11.296875" style="835" bestFit="1" customWidth="1"/>
    <col min="8" max="8" width="15.5" style="835" bestFit="1" customWidth="1"/>
    <col min="9" max="9" width="14.5" style="835" bestFit="1" customWidth="1"/>
    <col min="10" max="10" width="11" style="835" customWidth="1"/>
    <col min="11" max="11" width="15.5" style="835" bestFit="1" customWidth="1"/>
    <col min="12" max="12" width="14.5" style="835" bestFit="1" customWidth="1"/>
    <col min="13" max="13" width="12.796875" style="835" bestFit="1" customWidth="1"/>
    <col min="14" max="14" width="15.5" style="835" bestFit="1" customWidth="1"/>
  </cols>
  <sheetData>
    <row r="1" spans="1:14" x14ac:dyDescent="0.35">
      <c r="D1" s="836"/>
      <c r="E1" s="837"/>
    </row>
    <row r="2" spans="1:14" ht="30" customHeight="1" x14ac:dyDescent="0.3">
      <c r="A2" s="1105" t="s">
        <v>1137</v>
      </c>
      <c r="B2" s="1105"/>
      <c r="C2" s="1105"/>
      <c r="D2" s="1105"/>
      <c r="E2" s="1105"/>
      <c r="F2" s="1105"/>
      <c r="G2" s="1105"/>
      <c r="H2" s="1105"/>
      <c r="I2" s="1105"/>
      <c r="J2" s="1105"/>
      <c r="K2" s="1105"/>
      <c r="L2" s="1105"/>
      <c r="M2" s="1105"/>
      <c r="N2" s="1105"/>
    </row>
    <row r="3" spans="1:14" ht="20.5" customHeight="1" x14ac:dyDescent="0.35">
      <c r="A3" s="838"/>
      <c r="B3" s="838"/>
      <c r="C3" s="838"/>
      <c r="D3" s="838"/>
      <c r="E3" s="838"/>
      <c r="L3" s="1123" t="s">
        <v>998</v>
      </c>
      <c r="M3" s="1123"/>
      <c r="N3" s="1123"/>
    </row>
    <row r="4" spans="1:14" ht="13.15" customHeight="1" x14ac:dyDescent="0.3">
      <c r="A4" s="1124" t="s">
        <v>404</v>
      </c>
      <c r="B4" s="1124" t="s">
        <v>267</v>
      </c>
      <c r="C4" s="1126" t="s">
        <v>381</v>
      </c>
      <c r="D4" s="1127"/>
      <c r="E4" s="1128"/>
      <c r="F4" s="1129" t="s">
        <v>1098</v>
      </c>
      <c r="G4" s="1130"/>
      <c r="H4" s="1131"/>
      <c r="I4" s="1129" t="s">
        <v>993</v>
      </c>
      <c r="J4" s="1130"/>
      <c r="K4" s="1131"/>
      <c r="L4" s="1129" t="s">
        <v>997</v>
      </c>
      <c r="M4" s="1130"/>
      <c r="N4" s="1131"/>
    </row>
    <row r="5" spans="1:14" ht="26" x14ac:dyDescent="0.3">
      <c r="A5" s="1125"/>
      <c r="B5" s="1125"/>
      <c r="C5" s="839" t="s">
        <v>1000</v>
      </c>
      <c r="D5" s="840" t="s">
        <v>1001</v>
      </c>
      <c r="E5" s="841" t="s">
        <v>1002</v>
      </c>
      <c r="F5" s="839" t="s">
        <v>1000</v>
      </c>
      <c r="G5" s="840" t="s">
        <v>1001</v>
      </c>
      <c r="H5" s="841" t="s">
        <v>1002</v>
      </c>
      <c r="I5" s="839" t="s">
        <v>1000</v>
      </c>
      <c r="J5" s="840" t="s">
        <v>1001</v>
      </c>
      <c r="K5" s="841" t="s">
        <v>1002</v>
      </c>
      <c r="L5" s="839" t="s">
        <v>1000</v>
      </c>
      <c r="M5" s="840" t="s">
        <v>1001</v>
      </c>
      <c r="N5" s="841" t="s">
        <v>1002</v>
      </c>
    </row>
    <row r="6" spans="1:14" ht="13" x14ac:dyDescent="0.3">
      <c r="A6" s="842">
        <v>1</v>
      </c>
      <c r="B6" s="843">
        <v>2</v>
      </c>
      <c r="C6" s="844">
        <v>3</v>
      </c>
      <c r="D6" s="845">
        <v>4</v>
      </c>
      <c r="E6" s="846">
        <v>5</v>
      </c>
      <c r="F6" s="844">
        <v>6</v>
      </c>
      <c r="G6" s="845">
        <v>7</v>
      </c>
      <c r="H6" s="846">
        <v>8</v>
      </c>
      <c r="I6" s="844">
        <v>9</v>
      </c>
      <c r="J6" s="845">
        <v>10</v>
      </c>
      <c r="K6" s="846">
        <v>11</v>
      </c>
      <c r="L6" s="844">
        <v>12</v>
      </c>
      <c r="M6" s="845">
        <v>13</v>
      </c>
      <c r="N6" s="846">
        <v>14</v>
      </c>
    </row>
    <row r="7" spans="1:14" ht="26" x14ac:dyDescent="0.3">
      <c r="A7" s="847" t="s">
        <v>10</v>
      </c>
      <c r="B7" s="873" t="s">
        <v>1099</v>
      </c>
      <c r="C7" s="820">
        <v>718560675</v>
      </c>
      <c r="D7" s="820"/>
      <c r="E7" s="820">
        <v>791500524</v>
      </c>
      <c r="F7" s="848"/>
      <c r="G7" s="848"/>
      <c r="H7" s="848"/>
      <c r="I7" s="848"/>
      <c r="J7" s="848"/>
      <c r="K7" s="848"/>
      <c r="L7" s="848">
        <f>SUM(C7+F7+I7)</f>
        <v>718560675</v>
      </c>
      <c r="M7" s="848">
        <f t="shared" ref="M7:N22" si="0">SUM(D7+G7+J7)</f>
        <v>0</v>
      </c>
      <c r="N7" s="849">
        <f t="shared" si="0"/>
        <v>791500524</v>
      </c>
    </row>
    <row r="8" spans="1:14" ht="26" x14ac:dyDescent="0.3">
      <c r="A8" s="850" t="s">
        <v>13</v>
      </c>
      <c r="B8" s="874" t="s">
        <v>1100</v>
      </c>
      <c r="C8" s="823">
        <v>95728695</v>
      </c>
      <c r="D8" s="823"/>
      <c r="E8" s="823">
        <v>111110088</v>
      </c>
      <c r="F8" s="851">
        <v>4547949</v>
      </c>
      <c r="G8" s="851"/>
      <c r="H8" s="851">
        <v>7227719</v>
      </c>
      <c r="I8" s="851">
        <v>894975</v>
      </c>
      <c r="J8" s="851"/>
      <c r="K8" s="851">
        <v>1063390</v>
      </c>
      <c r="L8" s="851">
        <f t="shared" ref="L8:N41" si="1">SUM(C8+F8+I8)</f>
        <v>101171619</v>
      </c>
      <c r="M8" s="851">
        <f t="shared" si="0"/>
        <v>0</v>
      </c>
      <c r="N8" s="852">
        <f t="shared" si="0"/>
        <v>119401197</v>
      </c>
    </row>
    <row r="9" spans="1:14" ht="26" x14ac:dyDescent="0.3">
      <c r="A9" s="895" t="s">
        <v>16</v>
      </c>
      <c r="B9" s="876" t="s">
        <v>1101</v>
      </c>
      <c r="C9" s="877">
        <v>23295039</v>
      </c>
      <c r="D9" s="877"/>
      <c r="E9" s="877">
        <v>35011770</v>
      </c>
      <c r="F9" s="896"/>
      <c r="G9" s="896"/>
      <c r="H9" s="896"/>
      <c r="I9" s="896"/>
      <c r="J9" s="896"/>
      <c r="K9" s="896"/>
      <c r="L9" s="896">
        <f t="shared" si="1"/>
        <v>23295039</v>
      </c>
      <c r="M9" s="896">
        <f t="shared" si="0"/>
        <v>0</v>
      </c>
      <c r="N9" s="897">
        <f t="shared" si="0"/>
        <v>35011770</v>
      </c>
    </row>
    <row r="10" spans="1:14" ht="26" x14ac:dyDescent="0.3">
      <c r="A10" s="853" t="s">
        <v>19</v>
      </c>
      <c r="B10" s="881" t="s">
        <v>1102</v>
      </c>
      <c r="C10" s="854">
        <f t="shared" ref="C10" si="2">SUM(C7:C9)</f>
        <v>837584409</v>
      </c>
      <c r="D10" s="854"/>
      <c r="E10" s="854">
        <f t="shared" ref="E10:N10" si="3">SUM(E7:E9)</f>
        <v>937622382</v>
      </c>
      <c r="F10" s="854">
        <f t="shared" ref="F10" si="4">SUM(F7:F9)</f>
        <v>4547949</v>
      </c>
      <c r="G10" s="854"/>
      <c r="H10" s="854">
        <f t="shared" si="3"/>
        <v>7227719</v>
      </c>
      <c r="I10" s="854">
        <f t="shared" ref="I10" si="5">SUM(I7:I9)</f>
        <v>894975</v>
      </c>
      <c r="J10" s="854"/>
      <c r="K10" s="854">
        <f t="shared" si="3"/>
        <v>1063390</v>
      </c>
      <c r="L10" s="854">
        <f t="shared" si="3"/>
        <v>843027333</v>
      </c>
      <c r="M10" s="854">
        <f t="shared" si="3"/>
        <v>0</v>
      </c>
      <c r="N10" s="855">
        <f t="shared" si="3"/>
        <v>945913491</v>
      </c>
    </row>
    <row r="11" spans="1:14" ht="26" x14ac:dyDescent="0.3">
      <c r="A11" s="898" t="s">
        <v>22</v>
      </c>
      <c r="B11" s="880" t="s">
        <v>1103</v>
      </c>
      <c r="C11" s="827">
        <v>6861582</v>
      </c>
      <c r="D11" s="827"/>
      <c r="E11" s="827">
        <v>0</v>
      </c>
      <c r="F11" s="899"/>
      <c r="G11" s="899"/>
      <c r="H11" s="899"/>
      <c r="I11" s="899"/>
      <c r="J11" s="899"/>
      <c r="K11" s="899"/>
      <c r="L11" s="899">
        <f t="shared" si="1"/>
        <v>6861582</v>
      </c>
      <c r="M11" s="899">
        <f t="shared" si="0"/>
        <v>0</v>
      </c>
      <c r="N11" s="900">
        <f t="shared" si="0"/>
        <v>0</v>
      </c>
    </row>
    <row r="12" spans="1:14" ht="13" x14ac:dyDescent="0.3">
      <c r="A12" s="895" t="s">
        <v>25</v>
      </c>
      <c r="B12" s="876" t="s">
        <v>1104</v>
      </c>
      <c r="C12" s="877"/>
      <c r="D12" s="877"/>
      <c r="E12" s="877"/>
      <c r="F12" s="896"/>
      <c r="G12" s="896"/>
      <c r="H12" s="896"/>
      <c r="I12" s="896"/>
      <c r="J12" s="896"/>
      <c r="K12" s="896"/>
      <c r="L12" s="896">
        <f t="shared" si="1"/>
        <v>0</v>
      </c>
      <c r="M12" s="896">
        <f t="shared" si="0"/>
        <v>0</v>
      </c>
      <c r="N12" s="897">
        <f t="shared" si="0"/>
        <v>0</v>
      </c>
    </row>
    <row r="13" spans="1:14" ht="26" x14ac:dyDescent="0.3">
      <c r="A13" s="853" t="s">
        <v>28</v>
      </c>
      <c r="B13" s="881" t="s">
        <v>1134</v>
      </c>
      <c r="C13" s="854">
        <f t="shared" ref="C13" si="6">SUM(C11:C12)</f>
        <v>6861582</v>
      </c>
      <c r="D13" s="854"/>
      <c r="E13" s="854">
        <f t="shared" ref="E13:N13" si="7">SUM(E11:E12)</f>
        <v>0</v>
      </c>
      <c r="F13" s="854">
        <f t="shared" ref="F13" si="8">SUM(F11:F12)</f>
        <v>0</v>
      </c>
      <c r="G13" s="854"/>
      <c r="H13" s="854">
        <f t="shared" si="7"/>
        <v>0</v>
      </c>
      <c r="I13" s="854">
        <f t="shared" ref="I13" si="9">SUM(I11:I12)</f>
        <v>0</v>
      </c>
      <c r="J13" s="854"/>
      <c r="K13" s="854">
        <f t="shared" si="7"/>
        <v>0</v>
      </c>
      <c r="L13" s="854">
        <f t="shared" si="7"/>
        <v>6861582</v>
      </c>
      <c r="M13" s="854">
        <f t="shared" si="7"/>
        <v>0</v>
      </c>
      <c r="N13" s="855">
        <f t="shared" si="7"/>
        <v>0</v>
      </c>
    </row>
    <row r="14" spans="1:14" ht="26" x14ac:dyDescent="0.3">
      <c r="A14" s="898" t="s">
        <v>31</v>
      </c>
      <c r="B14" s="880" t="s">
        <v>1105</v>
      </c>
      <c r="C14" s="827">
        <v>893972289</v>
      </c>
      <c r="D14" s="827"/>
      <c r="E14" s="827">
        <v>922697310</v>
      </c>
      <c r="F14" s="899">
        <v>274562591</v>
      </c>
      <c r="G14" s="899"/>
      <c r="H14" s="899">
        <v>266256738</v>
      </c>
      <c r="I14" s="899">
        <v>24599626</v>
      </c>
      <c r="J14" s="899"/>
      <c r="K14" s="899">
        <v>27808686</v>
      </c>
      <c r="L14" s="899">
        <f t="shared" si="1"/>
        <v>1193134506</v>
      </c>
      <c r="M14" s="899">
        <f t="shared" si="0"/>
        <v>0</v>
      </c>
      <c r="N14" s="900">
        <f t="shared" si="0"/>
        <v>1216762734</v>
      </c>
    </row>
    <row r="15" spans="1:14" ht="26" x14ac:dyDescent="0.3">
      <c r="A15" s="850" t="s">
        <v>34</v>
      </c>
      <c r="B15" s="874" t="s">
        <v>1106</v>
      </c>
      <c r="C15" s="823">
        <v>489031839</v>
      </c>
      <c r="D15" s="823"/>
      <c r="E15" s="823">
        <v>395067209</v>
      </c>
      <c r="F15" s="851">
        <v>3768001</v>
      </c>
      <c r="G15" s="851"/>
      <c r="H15" s="851">
        <v>32329388</v>
      </c>
      <c r="I15" s="851">
        <v>2523894</v>
      </c>
      <c r="J15" s="851"/>
      <c r="K15" s="851">
        <v>3900861</v>
      </c>
      <c r="L15" s="851">
        <f t="shared" si="1"/>
        <v>495323734</v>
      </c>
      <c r="M15" s="851">
        <f t="shared" si="0"/>
        <v>0</v>
      </c>
      <c r="N15" s="852">
        <f t="shared" si="0"/>
        <v>431297458</v>
      </c>
    </row>
    <row r="16" spans="1:14" ht="26" x14ac:dyDescent="0.3">
      <c r="A16" s="850" t="s">
        <v>37</v>
      </c>
      <c r="B16" s="874" t="s">
        <v>1107</v>
      </c>
      <c r="C16" s="823">
        <v>1798173</v>
      </c>
      <c r="D16" s="823"/>
      <c r="E16" s="823">
        <v>17453251</v>
      </c>
      <c r="F16" s="851"/>
      <c r="G16" s="851"/>
      <c r="H16" s="851"/>
      <c r="I16" s="851"/>
      <c r="J16" s="851"/>
      <c r="K16" s="851"/>
      <c r="L16" s="851">
        <f t="shared" si="1"/>
        <v>1798173</v>
      </c>
      <c r="M16" s="851">
        <f t="shared" si="0"/>
        <v>0</v>
      </c>
      <c r="N16" s="852">
        <f t="shared" si="0"/>
        <v>17453251</v>
      </c>
    </row>
    <row r="17" spans="1:14" ht="26" x14ac:dyDescent="0.3">
      <c r="A17" s="895" t="s">
        <v>39</v>
      </c>
      <c r="B17" s="876" t="s">
        <v>1108</v>
      </c>
      <c r="C17" s="877">
        <v>135157208</v>
      </c>
      <c r="D17" s="877"/>
      <c r="E17" s="877">
        <v>45691142</v>
      </c>
      <c r="F17" s="896">
        <v>-114313</v>
      </c>
      <c r="G17" s="896"/>
      <c r="H17" s="896">
        <v>395289</v>
      </c>
      <c r="I17" s="896"/>
      <c r="J17" s="896"/>
      <c r="K17" s="896">
        <v>1</v>
      </c>
      <c r="L17" s="896">
        <f t="shared" si="1"/>
        <v>135042895</v>
      </c>
      <c r="M17" s="896">
        <f t="shared" si="0"/>
        <v>0</v>
      </c>
      <c r="N17" s="897">
        <f t="shared" si="0"/>
        <v>46086432</v>
      </c>
    </row>
    <row r="18" spans="1:14" ht="26" x14ac:dyDescent="0.3">
      <c r="A18" s="853" t="s">
        <v>41</v>
      </c>
      <c r="B18" s="881" t="s">
        <v>1109</v>
      </c>
      <c r="C18" s="854">
        <f t="shared" ref="C18" si="10">SUM(C14:C17)</f>
        <v>1519959509</v>
      </c>
      <c r="D18" s="854"/>
      <c r="E18" s="854">
        <f t="shared" ref="E18:N18" si="11">SUM(E14:E17)</f>
        <v>1380908912</v>
      </c>
      <c r="F18" s="854">
        <f t="shared" ref="F18" si="12">SUM(F14:F17)</f>
        <v>278216279</v>
      </c>
      <c r="G18" s="854"/>
      <c r="H18" s="854">
        <f t="shared" si="11"/>
        <v>298981415</v>
      </c>
      <c r="I18" s="854">
        <f t="shared" ref="I18" si="13">SUM(I14:I17)</f>
        <v>27123520</v>
      </c>
      <c r="J18" s="854"/>
      <c r="K18" s="854">
        <f t="shared" si="11"/>
        <v>31709548</v>
      </c>
      <c r="L18" s="854">
        <f t="shared" si="11"/>
        <v>1825299308</v>
      </c>
      <c r="M18" s="854">
        <f t="shared" si="11"/>
        <v>0</v>
      </c>
      <c r="N18" s="855">
        <f t="shared" si="11"/>
        <v>1711599875</v>
      </c>
    </row>
    <row r="19" spans="1:14" ht="13" x14ac:dyDescent="0.3">
      <c r="A19" s="898" t="s">
        <v>43</v>
      </c>
      <c r="B19" s="880" t="s">
        <v>1110</v>
      </c>
      <c r="C19" s="827">
        <v>27379390</v>
      </c>
      <c r="D19" s="827"/>
      <c r="E19" s="827">
        <v>68179790</v>
      </c>
      <c r="F19" s="899">
        <v>2988337</v>
      </c>
      <c r="G19" s="899"/>
      <c r="H19" s="899">
        <v>4298697</v>
      </c>
      <c r="I19" s="899">
        <v>3879459</v>
      </c>
      <c r="J19" s="899"/>
      <c r="K19" s="899">
        <v>4810497</v>
      </c>
      <c r="L19" s="899">
        <f t="shared" si="1"/>
        <v>34247186</v>
      </c>
      <c r="M19" s="899">
        <f t="shared" si="0"/>
        <v>0</v>
      </c>
      <c r="N19" s="900">
        <f t="shared" si="0"/>
        <v>77288984</v>
      </c>
    </row>
    <row r="20" spans="1:14" ht="13" x14ac:dyDescent="0.3">
      <c r="A20" s="850" t="s">
        <v>45</v>
      </c>
      <c r="B20" s="874" t="s">
        <v>1111</v>
      </c>
      <c r="C20" s="823">
        <v>359260705</v>
      </c>
      <c r="D20" s="823"/>
      <c r="E20" s="823">
        <v>417022353</v>
      </c>
      <c r="F20" s="851">
        <v>35387434</v>
      </c>
      <c r="G20" s="851"/>
      <c r="H20" s="851">
        <v>33091239</v>
      </c>
      <c r="I20" s="851">
        <v>1314467</v>
      </c>
      <c r="J20" s="851"/>
      <c r="K20" s="851">
        <v>1579063</v>
      </c>
      <c r="L20" s="851">
        <f t="shared" si="1"/>
        <v>395962606</v>
      </c>
      <c r="M20" s="851">
        <f t="shared" si="0"/>
        <v>0</v>
      </c>
      <c r="N20" s="852">
        <f t="shared" si="0"/>
        <v>451692655</v>
      </c>
    </row>
    <row r="21" spans="1:14" ht="13" x14ac:dyDescent="0.3">
      <c r="A21" s="850" t="s">
        <v>47</v>
      </c>
      <c r="B21" s="874" t="s">
        <v>1112</v>
      </c>
      <c r="C21" s="823"/>
      <c r="D21" s="823"/>
      <c r="E21" s="823"/>
      <c r="F21" s="851"/>
      <c r="G21" s="851"/>
      <c r="H21" s="851"/>
      <c r="I21" s="851"/>
      <c r="J21" s="851"/>
      <c r="K21" s="851"/>
      <c r="L21" s="851">
        <f t="shared" si="1"/>
        <v>0</v>
      </c>
      <c r="M21" s="851">
        <f t="shared" si="0"/>
        <v>0</v>
      </c>
      <c r="N21" s="852">
        <f t="shared" si="0"/>
        <v>0</v>
      </c>
    </row>
    <row r="22" spans="1:14" ht="13" x14ac:dyDescent="0.3">
      <c r="A22" s="895" t="s">
        <v>49</v>
      </c>
      <c r="B22" s="876" t="s">
        <v>1113</v>
      </c>
      <c r="C22" s="877"/>
      <c r="D22" s="877"/>
      <c r="E22" s="877"/>
      <c r="F22" s="896"/>
      <c r="G22" s="896"/>
      <c r="H22" s="896"/>
      <c r="I22" s="896"/>
      <c r="J22" s="896"/>
      <c r="K22" s="896"/>
      <c r="L22" s="896">
        <f t="shared" si="1"/>
        <v>0</v>
      </c>
      <c r="M22" s="896">
        <f t="shared" si="0"/>
        <v>0</v>
      </c>
      <c r="N22" s="897">
        <f t="shared" si="0"/>
        <v>0</v>
      </c>
    </row>
    <row r="23" spans="1:14" ht="13" x14ac:dyDescent="0.3">
      <c r="A23" s="853" t="s">
        <v>51</v>
      </c>
      <c r="B23" s="881" t="s">
        <v>1114</v>
      </c>
      <c r="C23" s="854">
        <f t="shared" ref="C23" si="14">SUM(C19:C22)</f>
        <v>386640095</v>
      </c>
      <c r="D23" s="854"/>
      <c r="E23" s="854">
        <f t="shared" ref="E23:N23" si="15">SUM(E19:E22)</f>
        <v>485202143</v>
      </c>
      <c r="F23" s="854">
        <f t="shared" ref="F23" si="16">SUM(F19:F22)</f>
        <v>38375771</v>
      </c>
      <c r="G23" s="854"/>
      <c r="H23" s="854">
        <f t="shared" si="15"/>
        <v>37389936</v>
      </c>
      <c r="I23" s="854">
        <f t="shared" ref="I23" si="17">SUM(I19:I22)</f>
        <v>5193926</v>
      </c>
      <c r="J23" s="854"/>
      <c r="K23" s="854">
        <f t="shared" si="15"/>
        <v>6389560</v>
      </c>
      <c r="L23" s="854">
        <f t="shared" si="15"/>
        <v>430209792</v>
      </c>
      <c r="M23" s="854">
        <f t="shared" si="15"/>
        <v>0</v>
      </c>
      <c r="N23" s="855">
        <f t="shared" si="15"/>
        <v>528981639</v>
      </c>
    </row>
    <row r="24" spans="1:14" ht="13" x14ac:dyDescent="0.3">
      <c r="A24" s="898" t="s">
        <v>54</v>
      </c>
      <c r="B24" s="880" t="s">
        <v>1115</v>
      </c>
      <c r="C24" s="827">
        <v>331404723</v>
      </c>
      <c r="D24" s="827"/>
      <c r="E24" s="827">
        <v>180991150</v>
      </c>
      <c r="F24" s="899">
        <v>171574109</v>
      </c>
      <c r="G24" s="899"/>
      <c r="H24" s="899">
        <v>161013723</v>
      </c>
      <c r="I24" s="899">
        <v>17306014</v>
      </c>
      <c r="J24" s="899"/>
      <c r="K24" s="899">
        <v>18167551</v>
      </c>
      <c r="L24" s="899">
        <f t="shared" si="1"/>
        <v>520284846</v>
      </c>
      <c r="M24" s="899">
        <f t="shared" si="1"/>
        <v>0</v>
      </c>
      <c r="N24" s="900">
        <f t="shared" si="1"/>
        <v>360172424</v>
      </c>
    </row>
    <row r="25" spans="1:14" ht="13" x14ac:dyDescent="0.3">
      <c r="A25" s="850" t="s">
        <v>57</v>
      </c>
      <c r="B25" s="874" t="s">
        <v>1116</v>
      </c>
      <c r="C25" s="823">
        <v>53670146</v>
      </c>
      <c r="D25" s="823"/>
      <c r="E25" s="823">
        <v>58137867</v>
      </c>
      <c r="F25" s="851">
        <v>18167699</v>
      </c>
      <c r="G25" s="851"/>
      <c r="H25" s="851">
        <v>26965265</v>
      </c>
      <c r="I25" s="851">
        <v>1418800</v>
      </c>
      <c r="J25" s="851"/>
      <c r="K25" s="851">
        <v>2996603</v>
      </c>
      <c r="L25" s="851">
        <f t="shared" si="1"/>
        <v>73256645</v>
      </c>
      <c r="M25" s="851">
        <f t="shared" si="1"/>
        <v>0</v>
      </c>
      <c r="N25" s="852">
        <f t="shared" si="1"/>
        <v>88099735</v>
      </c>
    </row>
    <row r="26" spans="1:14" ht="13" x14ac:dyDescent="0.3">
      <c r="A26" s="895" t="s">
        <v>60</v>
      </c>
      <c r="B26" s="876" t="s">
        <v>1117</v>
      </c>
      <c r="C26" s="877">
        <v>62877602</v>
      </c>
      <c r="D26" s="877"/>
      <c r="E26" s="877">
        <v>33929231</v>
      </c>
      <c r="F26" s="896">
        <v>52471604</v>
      </c>
      <c r="G26" s="896"/>
      <c r="H26" s="896">
        <v>42459025</v>
      </c>
      <c r="I26" s="896">
        <v>4809963</v>
      </c>
      <c r="J26" s="896"/>
      <c r="K26" s="896">
        <v>4335861</v>
      </c>
      <c r="L26" s="896">
        <f t="shared" si="1"/>
        <v>120159169</v>
      </c>
      <c r="M26" s="896">
        <f t="shared" si="1"/>
        <v>0</v>
      </c>
      <c r="N26" s="897">
        <f t="shared" si="1"/>
        <v>80724117</v>
      </c>
    </row>
    <row r="27" spans="1:14" s="668" customFormat="1" ht="13" x14ac:dyDescent="0.3">
      <c r="A27" s="853" t="s">
        <v>62</v>
      </c>
      <c r="B27" s="881" t="s">
        <v>1118</v>
      </c>
      <c r="C27" s="854">
        <f t="shared" ref="C27" si="18">SUM(C24:C26)</f>
        <v>447952471</v>
      </c>
      <c r="D27" s="854"/>
      <c r="E27" s="854">
        <f t="shared" ref="E27:N27" si="19">SUM(E24:E26)</f>
        <v>273058248</v>
      </c>
      <c r="F27" s="854">
        <f t="shared" ref="F27" si="20">SUM(F24:F26)</f>
        <v>242213412</v>
      </c>
      <c r="G27" s="854"/>
      <c r="H27" s="854">
        <f t="shared" si="19"/>
        <v>230438013</v>
      </c>
      <c r="I27" s="854">
        <f t="shared" ref="I27" si="21">SUM(I24:I26)</f>
        <v>23534777</v>
      </c>
      <c r="J27" s="854"/>
      <c r="K27" s="854">
        <f t="shared" si="19"/>
        <v>25500015</v>
      </c>
      <c r="L27" s="854">
        <f t="shared" si="19"/>
        <v>713700660</v>
      </c>
      <c r="M27" s="854">
        <f t="shared" si="19"/>
        <v>0</v>
      </c>
      <c r="N27" s="855">
        <f t="shared" si="19"/>
        <v>528996276</v>
      </c>
    </row>
    <row r="28" spans="1:14" s="668" customFormat="1" ht="13" x14ac:dyDescent="0.3">
      <c r="A28" s="853" t="s">
        <v>64</v>
      </c>
      <c r="B28" s="881" t="s">
        <v>1119</v>
      </c>
      <c r="C28" s="854">
        <v>294163504</v>
      </c>
      <c r="D28" s="854"/>
      <c r="E28" s="854">
        <v>287293855</v>
      </c>
      <c r="F28" s="901">
        <v>2348748</v>
      </c>
      <c r="G28" s="901"/>
      <c r="H28" s="901">
        <v>1511081</v>
      </c>
      <c r="I28" s="901">
        <v>432190</v>
      </c>
      <c r="J28" s="901"/>
      <c r="K28" s="901">
        <v>510316</v>
      </c>
      <c r="L28" s="901">
        <f t="shared" si="1"/>
        <v>296944442</v>
      </c>
      <c r="M28" s="901">
        <f t="shared" si="1"/>
        <v>0</v>
      </c>
      <c r="N28" s="902">
        <f t="shared" si="1"/>
        <v>289315252</v>
      </c>
    </row>
    <row r="29" spans="1:14" s="668" customFormat="1" ht="13" x14ac:dyDescent="0.3">
      <c r="A29" s="853" t="s">
        <v>66</v>
      </c>
      <c r="B29" s="881" t="s">
        <v>1120</v>
      </c>
      <c r="C29" s="854">
        <v>1699298446</v>
      </c>
      <c r="D29" s="854"/>
      <c r="E29" s="854">
        <v>1434935588</v>
      </c>
      <c r="F29" s="901">
        <v>21369112</v>
      </c>
      <c r="G29" s="901"/>
      <c r="H29" s="901">
        <v>20075715</v>
      </c>
      <c r="I29" s="901">
        <v>656036</v>
      </c>
      <c r="J29" s="901"/>
      <c r="K29" s="901">
        <v>719554</v>
      </c>
      <c r="L29" s="901">
        <f t="shared" si="1"/>
        <v>1721323594</v>
      </c>
      <c r="M29" s="901">
        <f t="shared" si="1"/>
        <v>0</v>
      </c>
      <c r="N29" s="902">
        <f t="shared" si="1"/>
        <v>1455730857</v>
      </c>
    </row>
    <row r="30" spans="1:14" ht="26" x14ac:dyDescent="0.3">
      <c r="A30" s="853" t="s">
        <v>68</v>
      </c>
      <c r="B30" s="881" t="s">
        <v>1135</v>
      </c>
      <c r="C30" s="854">
        <f t="shared" ref="C30" si="22">C10+C13+C18-C23-C27-C28-C29</f>
        <v>-463649016</v>
      </c>
      <c r="D30" s="854"/>
      <c r="E30" s="854">
        <f t="shared" ref="E30:N30" si="23">E10+E13+E18-E23-E27-E28-E29</f>
        <v>-161958540</v>
      </c>
      <c r="F30" s="854">
        <f t="shared" ref="F30" si="24">F10+F13+F18-F23-F27-F28-F29</f>
        <v>-21542815</v>
      </c>
      <c r="G30" s="854"/>
      <c r="H30" s="854">
        <f t="shared" si="23"/>
        <v>16794389</v>
      </c>
      <c r="I30" s="854">
        <f t="shared" ref="I30" si="25">I10+I13+I18-I23-I27-I28-I29</f>
        <v>-1798434</v>
      </c>
      <c r="J30" s="854"/>
      <c r="K30" s="854">
        <f t="shared" si="23"/>
        <v>-346507</v>
      </c>
      <c r="L30" s="854">
        <f t="shared" si="23"/>
        <v>-486990265</v>
      </c>
      <c r="M30" s="854">
        <f t="shared" si="23"/>
        <v>0</v>
      </c>
      <c r="N30" s="855">
        <f t="shared" si="23"/>
        <v>-145510658</v>
      </c>
    </row>
    <row r="31" spans="1:14" ht="13" x14ac:dyDescent="0.3">
      <c r="A31" s="898" t="s">
        <v>70</v>
      </c>
      <c r="B31" s="880" t="s">
        <v>1121</v>
      </c>
      <c r="C31" s="827"/>
      <c r="D31" s="827"/>
      <c r="E31" s="827"/>
      <c r="F31" s="899"/>
      <c r="G31" s="899"/>
      <c r="H31" s="899"/>
      <c r="I31" s="899"/>
      <c r="J31" s="899"/>
      <c r="K31" s="899"/>
      <c r="L31" s="899">
        <f t="shared" si="1"/>
        <v>0</v>
      </c>
      <c r="M31" s="899">
        <f t="shared" si="1"/>
        <v>0</v>
      </c>
      <c r="N31" s="900">
        <f t="shared" si="1"/>
        <v>0</v>
      </c>
    </row>
    <row r="32" spans="1:14" ht="13" x14ac:dyDescent="0.3">
      <c r="A32" s="850" t="s">
        <v>72</v>
      </c>
      <c r="B32" s="874" t="s">
        <v>1122</v>
      </c>
      <c r="C32" s="823"/>
      <c r="D32" s="823"/>
      <c r="E32" s="823"/>
      <c r="F32" s="851"/>
      <c r="G32" s="851"/>
      <c r="H32" s="851"/>
      <c r="I32" s="851"/>
      <c r="J32" s="851"/>
      <c r="K32" s="851"/>
      <c r="L32" s="851">
        <f t="shared" si="1"/>
        <v>0</v>
      </c>
      <c r="M32" s="851">
        <f t="shared" si="1"/>
        <v>0</v>
      </c>
      <c r="N32" s="852">
        <f t="shared" si="1"/>
        <v>0</v>
      </c>
    </row>
    <row r="33" spans="1:14" ht="39" x14ac:dyDescent="0.3">
      <c r="A33" s="850" t="s">
        <v>75</v>
      </c>
      <c r="B33" s="874" t="s">
        <v>1123</v>
      </c>
      <c r="C33" s="823"/>
      <c r="D33" s="823"/>
      <c r="E33" s="823"/>
      <c r="F33" s="851"/>
      <c r="G33" s="851"/>
      <c r="H33" s="851"/>
      <c r="I33" s="851"/>
      <c r="J33" s="851"/>
      <c r="K33" s="851"/>
      <c r="L33" s="851">
        <f t="shared" si="1"/>
        <v>0</v>
      </c>
      <c r="M33" s="851">
        <f t="shared" si="1"/>
        <v>0</v>
      </c>
      <c r="N33" s="852">
        <f t="shared" si="1"/>
        <v>0</v>
      </c>
    </row>
    <row r="34" spans="1:14" ht="26" x14ac:dyDescent="0.3">
      <c r="A34" s="850" t="s">
        <v>78</v>
      </c>
      <c r="B34" s="874" t="s">
        <v>1124</v>
      </c>
      <c r="C34" s="823">
        <v>2082588</v>
      </c>
      <c r="D34" s="823"/>
      <c r="E34" s="823">
        <v>2524728</v>
      </c>
      <c r="F34" s="851">
        <v>4753</v>
      </c>
      <c r="G34" s="851"/>
      <c r="H34" s="851">
        <v>1258</v>
      </c>
      <c r="I34" s="851">
        <v>8153</v>
      </c>
      <c r="J34" s="851"/>
      <c r="K34" s="851">
        <v>1680</v>
      </c>
      <c r="L34" s="851">
        <f t="shared" si="1"/>
        <v>2095494</v>
      </c>
      <c r="M34" s="851">
        <f t="shared" si="1"/>
        <v>0</v>
      </c>
      <c r="N34" s="852">
        <f t="shared" si="1"/>
        <v>2527666</v>
      </c>
    </row>
    <row r="35" spans="1:14" ht="26" x14ac:dyDescent="0.3">
      <c r="A35" s="895" t="s">
        <v>81</v>
      </c>
      <c r="B35" s="876" t="s">
        <v>1125</v>
      </c>
      <c r="C35" s="877"/>
      <c r="D35" s="877"/>
      <c r="E35" s="877"/>
      <c r="F35" s="896"/>
      <c r="G35" s="896"/>
      <c r="H35" s="896"/>
      <c r="I35" s="896"/>
      <c r="J35" s="896"/>
      <c r="K35" s="896"/>
      <c r="L35" s="896">
        <f t="shared" si="1"/>
        <v>0</v>
      </c>
      <c r="M35" s="896">
        <f t="shared" si="1"/>
        <v>0</v>
      </c>
      <c r="N35" s="897">
        <f t="shared" si="1"/>
        <v>0</v>
      </c>
    </row>
    <row r="36" spans="1:14" ht="39" x14ac:dyDescent="0.3">
      <c r="A36" s="853" t="s">
        <v>83</v>
      </c>
      <c r="B36" s="881" t="s">
        <v>1126</v>
      </c>
      <c r="C36" s="854">
        <f>SUM(C31:C35)</f>
        <v>2082588</v>
      </c>
      <c r="D36" s="854"/>
      <c r="E36" s="854">
        <f>SUM(E31:E35)</f>
        <v>2524728</v>
      </c>
      <c r="F36" s="854">
        <f t="shared" ref="F36" si="26">SUM(F31:F35)</f>
        <v>4753</v>
      </c>
      <c r="G36" s="854"/>
      <c r="H36" s="854">
        <f t="shared" ref="H36:N36" si="27">SUM(H31:H35)</f>
        <v>1258</v>
      </c>
      <c r="I36" s="854">
        <f t="shared" ref="I36" si="28">SUM(I31:I35)</f>
        <v>8153</v>
      </c>
      <c r="J36" s="854"/>
      <c r="K36" s="854">
        <f t="shared" si="27"/>
        <v>1680</v>
      </c>
      <c r="L36" s="854">
        <f t="shared" si="27"/>
        <v>2095494</v>
      </c>
      <c r="M36" s="854">
        <f t="shared" si="27"/>
        <v>0</v>
      </c>
      <c r="N36" s="855">
        <f t="shared" si="27"/>
        <v>2527666</v>
      </c>
    </row>
    <row r="37" spans="1:14" ht="26" x14ac:dyDescent="0.3">
      <c r="A37" s="898" t="s">
        <v>85</v>
      </c>
      <c r="B37" s="880" t="s">
        <v>1127</v>
      </c>
      <c r="C37" s="827">
        <v>1318240</v>
      </c>
      <c r="D37" s="827"/>
      <c r="E37" s="827">
        <v>35990000</v>
      </c>
      <c r="F37" s="899"/>
      <c r="G37" s="899"/>
      <c r="H37" s="899"/>
      <c r="I37" s="899"/>
      <c r="J37" s="899"/>
      <c r="K37" s="899"/>
      <c r="L37" s="899">
        <f t="shared" si="1"/>
        <v>1318240</v>
      </c>
      <c r="M37" s="899">
        <f t="shared" si="1"/>
        <v>0</v>
      </c>
      <c r="N37" s="900">
        <f t="shared" si="1"/>
        <v>35990000</v>
      </c>
    </row>
    <row r="38" spans="1:14" ht="26" x14ac:dyDescent="0.3">
      <c r="A38" s="850" t="s">
        <v>87</v>
      </c>
      <c r="B38" s="874" t="s">
        <v>1128</v>
      </c>
      <c r="C38" s="823"/>
      <c r="D38" s="823"/>
      <c r="E38" s="823"/>
      <c r="F38" s="851"/>
      <c r="G38" s="851"/>
      <c r="H38" s="851"/>
      <c r="I38" s="851"/>
      <c r="J38" s="851"/>
      <c r="K38" s="851"/>
      <c r="L38" s="851">
        <f t="shared" si="1"/>
        <v>0</v>
      </c>
      <c r="M38" s="851">
        <f t="shared" si="1"/>
        <v>0</v>
      </c>
      <c r="N38" s="852">
        <f t="shared" si="1"/>
        <v>0</v>
      </c>
    </row>
    <row r="39" spans="1:14" ht="26" x14ac:dyDescent="0.3">
      <c r="A39" s="850" t="s">
        <v>92</v>
      </c>
      <c r="B39" s="874" t="s">
        <v>1129</v>
      </c>
      <c r="C39" s="823">
        <v>512331</v>
      </c>
      <c r="D39" s="823"/>
      <c r="E39" s="823">
        <v>34558</v>
      </c>
      <c r="F39" s="851"/>
      <c r="G39" s="851"/>
      <c r="H39" s="851">
        <v>19018</v>
      </c>
      <c r="I39" s="851"/>
      <c r="J39" s="851"/>
      <c r="K39" s="851"/>
      <c r="L39" s="851">
        <f t="shared" si="1"/>
        <v>512331</v>
      </c>
      <c r="M39" s="851">
        <f t="shared" si="1"/>
        <v>0</v>
      </c>
      <c r="N39" s="852">
        <f t="shared" si="1"/>
        <v>53576</v>
      </c>
    </row>
    <row r="40" spans="1:14" ht="26" x14ac:dyDescent="0.3">
      <c r="A40" s="850" t="s">
        <v>94</v>
      </c>
      <c r="B40" s="874" t="s">
        <v>1130</v>
      </c>
      <c r="C40" s="823">
        <v>5283000</v>
      </c>
      <c r="D40" s="823"/>
      <c r="E40" s="823">
        <v>0</v>
      </c>
      <c r="F40" s="851"/>
      <c r="G40" s="851"/>
      <c r="H40" s="851"/>
      <c r="I40" s="851"/>
      <c r="J40" s="851"/>
      <c r="K40" s="851"/>
      <c r="L40" s="851">
        <f t="shared" si="1"/>
        <v>5283000</v>
      </c>
      <c r="M40" s="851">
        <f t="shared" si="1"/>
        <v>0</v>
      </c>
      <c r="N40" s="852">
        <f t="shared" si="1"/>
        <v>0</v>
      </c>
    </row>
    <row r="41" spans="1:14" ht="13" x14ac:dyDescent="0.3">
      <c r="A41" s="895" t="s">
        <v>97</v>
      </c>
      <c r="B41" s="876" t="s">
        <v>1131</v>
      </c>
      <c r="C41" s="877">
        <v>2500000</v>
      </c>
      <c r="D41" s="877"/>
      <c r="E41" s="877">
        <v>15191648</v>
      </c>
      <c r="F41" s="896"/>
      <c r="G41" s="896"/>
      <c r="H41" s="896"/>
      <c r="I41" s="896"/>
      <c r="J41" s="896"/>
      <c r="K41" s="896"/>
      <c r="L41" s="896">
        <f t="shared" si="1"/>
        <v>2500000</v>
      </c>
      <c r="M41" s="896">
        <f t="shared" si="1"/>
        <v>0</v>
      </c>
      <c r="N41" s="897">
        <f t="shared" si="1"/>
        <v>15191648</v>
      </c>
    </row>
    <row r="42" spans="1:14" ht="13" x14ac:dyDescent="0.3">
      <c r="A42" s="853" t="s">
        <v>100</v>
      </c>
      <c r="B42" s="881" t="s">
        <v>1132</v>
      </c>
      <c r="C42" s="854">
        <f t="shared" ref="C42" si="29">SUM(C37:C41)</f>
        <v>9613571</v>
      </c>
      <c r="D42" s="854"/>
      <c r="E42" s="854">
        <f t="shared" ref="E42:N42" si="30">SUM(E37:E41)</f>
        <v>51216206</v>
      </c>
      <c r="F42" s="854">
        <f t="shared" ref="F42" si="31">SUM(F37:F41)</f>
        <v>0</v>
      </c>
      <c r="G42" s="854"/>
      <c r="H42" s="854">
        <f t="shared" si="30"/>
        <v>19018</v>
      </c>
      <c r="I42" s="854">
        <f t="shared" ref="I42" si="32">SUM(I37:I41)</f>
        <v>0</v>
      </c>
      <c r="J42" s="854"/>
      <c r="K42" s="854">
        <f t="shared" si="30"/>
        <v>0</v>
      </c>
      <c r="L42" s="854">
        <f t="shared" si="30"/>
        <v>9613571</v>
      </c>
      <c r="M42" s="854">
        <f t="shared" si="30"/>
        <v>0</v>
      </c>
      <c r="N42" s="855">
        <f t="shared" si="30"/>
        <v>51235224</v>
      </c>
    </row>
    <row r="43" spans="1:14" ht="26" x14ac:dyDescent="0.3">
      <c r="A43" s="853" t="s">
        <v>102</v>
      </c>
      <c r="B43" s="881" t="s">
        <v>1133</v>
      </c>
      <c r="C43" s="854">
        <f t="shared" ref="C43" si="33">C36-C42</f>
        <v>-7530983</v>
      </c>
      <c r="D43" s="854"/>
      <c r="E43" s="854">
        <f t="shared" ref="E43:N43" si="34">E36-E42</f>
        <v>-48691478</v>
      </c>
      <c r="F43" s="854">
        <f t="shared" ref="F43" si="35">F36-F42</f>
        <v>4753</v>
      </c>
      <c r="G43" s="854"/>
      <c r="H43" s="854">
        <f t="shared" si="34"/>
        <v>-17760</v>
      </c>
      <c r="I43" s="854">
        <f t="shared" ref="I43" si="36">I36-I42</f>
        <v>8153</v>
      </c>
      <c r="J43" s="854"/>
      <c r="K43" s="854">
        <f t="shared" si="34"/>
        <v>1680</v>
      </c>
      <c r="L43" s="854">
        <f t="shared" si="34"/>
        <v>-7518077</v>
      </c>
      <c r="M43" s="854">
        <f t="shared" si="34"/>
        <v>0</v>
      </c>
      <c r="N43" s="855">
        <f t="shared" si="34"/>
        <v>-48707558</v>
      </c>
    </row>
    <row r="44" spans="1:14" ht="26" x14ac:dyDescent="0.3">
      <c r="A44" s="903" t="s">
        <v>104</v>
      </c>
      <c r="B44" s="904" t="s">
        <v>1136</v>
      </c>
      <c r="C44" s="905">
        <f t="shared" ref="C44" si="37">C30+C43</f>
        <v>-471179999</v>
      </c>
      <c r="D44" s="905"/>
      <c r="E44" s="905">
        <f t="shared" ref="E44:N44" si="38">E30+E43</f>
        <v>-210650018</v>
      </c>
      <c r="F44" s="905">
        <f t="shared" ref="F44" si="39">F30+F43</f>
        <v>-21538062</v>
      </c>
      <c r="G44" s="905"/>
      <c r="H44" s="905">
        <f t="shared" si="38"/>
        <v>16776629</v>
      </c>
      <c r="I44" s="905">
        <f t="shared" ref="I44" si="40">I30+I43</f>
        <v>-1790281</v>
      </c>
      <c r="J44" s="905"/>
      <c r="K44" s="905">
        <f t="shared" si="38"/>
        <v>-344827</v>
      </c>
      <c r="L44" s="905">
        <f t="shared" si="38"/>
        <v>-494508342</v>
      </c>
      <c r="M44" s="905">
        <f t="shared" si="38"/>
        <v>0</v>
      </c>
      <c r="N44" s="906">
        <f t="shared" si="38"/>
        <v>-194218216</v>
      </c>
    </row>
    <row r="46" spans="1:14" x14ac:dyDescent="0.35">
      <c r="D46" s="856" t="s">
        <v>799</v>
      </c>
      <c r="G46" s="856" t="s">
        <v>799</v>
      </c>
      <c r="J46" s="856" t="s">
        <v>799</v>
      </c>
      <c r="M46" s="856" t="s">
        <v>799</v>
      </c>
    </row>
  </sheetData>
  <mergeCells count="8">
    <mergeCell ref="A2:N2"/>
    <mergeCell ref="L3:N3"/>
    <mergeCell ref="A4:A5"/>
    <mergeCell ref="B4:B5"/>
    <mergeCell ref="C4:E4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 xml:space="preserve">&amp;C23. melléklet a 7/2018. (V.31.) önkormányzati rendelethez&amp;R   
 </oddHeader>
  </headerFooter>
  <rowBreaks count="1" manualBreakCount="1">
    <brk id="44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tabSelected="1" view="pageLayout" zoomScaleNormal="100" workbookViewId="0"/>
  </sheetViews>
  <sheetFormatPr defaultRowHeight="13" x14ac:dyDescent="0.3"/>
  <cols>
    <col min="2" max="2" width="44.69921875" customWidth="1"/>
    <col min="3" max="3" width="20.19921875" customWidth="1"/>
    <col min="4" max="4" width="22.69921875" customWidth="1"/>
  </cols>
  <sheetData>
    <row r="2" spans="1:4" ht="17.5" customHeight="1" x14ac:dyDescent="0.3">
      <c r="A2" s="1132" t="s">
        <v>1154</v>
      </c>
      <c r="B2" s="1132"/>
      <c r="C2" s="1132"/>
      <c r="D2" s="1132"/>
    </row>
    <row r="3" spans="1:4" x14ac:dyDescent="0.3">
      <c r="A3" s="858"/>
      <c r="B3" s="858"/>
      <c r="C3" s="859"/>
      <c r="D3" s="859" t="s">
        <v>1</v>
      </c>
    </row>
    <row r="4" spans="1:4" ht="26" x14ac:dyDescent="0.3">
      <c r="A4" s="929" t="s">
        <v>404</v>
      </c>
      <c r="B4" s="930" t="s">
        <v>267</v>
      </c>
      <c r="C4" s="931" t="s">
        <v>1141</v>
      </c>
      <c r="D4" s="932" t="s">
        <v>1169</v>
      </c>
    </row>
    <row r="5" spans="1:4" x14ac:dyDescent="0.3">
      <c r="A5" s="933" t="s">
        <v>10</v>
      </c>
      <c r="B5" s="934" t="s">
        <v>1142</v>
      </c>
      <c r="C5" s="935">
        <v>192896000</v>
      </c>
      <c r="D5" s="936">
        <v>192896000</v>
      </c>
    </row>
    <row r="6" spans="1:4" x14ac:dyDescent="0.3">
      <c r="A6" s="933" t="s">
        <v>13</v>
      </c>
      <c r="B6" s="937" t="s">
        <v>1143</v>
      </c>
      <c r="C6" s="938">
        <v>151900000</v>
      </c>
      <c r="D6" s="939">
        <v>30000000</v>
      </c>
    </row>
    <row r="7" spans="1:4" ht="26" x14ac:dyDescent="0.3">
      <c r="A7" s="933" t="s">
        <v>16</v>
      </c>
      <c r="B7" s="940" t="s">
        <v>1144</v>
      </c>
      <c r="C7" s="938">
        <v>500000</v>
      </c>
      <c r="D7" s="939">
        <v>3000000</v>
      </c>
    </row>
    <row r="8" spans="1:4" x14ac:dyDescent="0.3">
      <c r="A8" s="933" t="s">
        <v>19</v>
      </c>
      <c r="B8" s="941" t="s">
        <v>1145</v>
      </c>
      <c r="C8" s="938">
        <v>3000000</v>
      </c>
      <c r="D8" s="939">
        <v>3000000</v>
      </c>
    </row>
    <row r="9" spans="1:4" x14ac:dyDescent="0.3">
      <c r="A9" s="933" t="s">
        <v>22</v>
      </c>
      <c r="B9" s="942" t="s">
        <v>1146</v>
      </c>
      <c r="C9" s="938">
        <v>100268</v>
      </c>
      <c r="D9" s="939">
        <v>100268</v>
      </c>
    </row>
    <row r="10" spans="1:4" x14ac:dyDescent="0.3">
      <c r="A10" s="933" t="s">
        <v>25</v>
      </c>
      <c r="B10" s="943" t="s">
        <v>1147</v>
      </c>
      <c r="C10" s="938">
        <v>120000</v>
      </c>
      <c r="D10" s="939">
        <v>120000</v>
      </c>
    </row>
    <row r="11" spans="1:4" x14ac:dyDescent="0.3">
      <c r="A11" s="933" t="s">
        <v>28</v>
      </c>
      <c r="B11" s="943" t="s">
        <v>1148</v>
      </c>
      <c r="C11" s="938">
        <v>70480000</v>
      </c>
      <c r="D11" s="939">
        <v>70480000</v>
      </c>
    </row>
    <row r="12" spans="1:4" x14ac:dyDescent="0.3">
      <c r="A12" s="933" t="s">
        <v>31</v>
      </c>
      <c r="B12" s="943" t="s">
        <v>1149</v>
      </c>
      <c r="C12" s="938">
        <v>5600000</v>
      </c>
      <c r="D12" s="939">
        <v>1691187</v>
      </c>
    </row>
    <row r="13" spans="1:4" x14ac:dyDescent="0.3">
      <c r="A13" s="933" t="s">
        <v>34</v>
      </c>
      <c r="B13" s="943" t="s">
        <v>1150</v>
      </c>
      <c r="C13" s="938">
        <v>5200000</v>
      </c>
      <c r="D13" s="939">
        <v>5200000</v>
      </c>
    </row>
    <row r="14" spans="1:4" x14ac:dyDescent="0.3">
      <c r="A14" s="933" t="s">
        <v>37</v>
      </c>
      <c r="B14" s="943" t="s">
        <v>1151</v>
      </c>
      <c r="C14" s="938">
        <v>38200</v>
      </c>
      <c r="D14" s="939">
        <v>38200</v>
      </c>
    </row>
    <row r="15" spans="1:4" x14ac:dyDescent="0.3">
      <c r="A15" s="933" t="s">
        <v>39</v>
      </c>
      <c r="B15" s="943" t="s">
        <v>1152</v>
      </c>
      <c r="C15" s="938">
        <v>49000</v>
      </c>
      <c r="D15" s="939">
        <v>49000</v>
      </c>
    </row>
    <row r="16" spans="1:4" x14ac:dyDescent="0.3">
      <c r="A16" s="944" t="s">
        <v>41</v>
      </c>
      <c r="B16" s="945" t="s">
        <v>1153</v>
      </c>
      <c r="C16" s="946">
        <v>43296539</v>
      </c>
      <c r="D16" s="947">
        <v>43296539</v>
      </c>
    </row>
    <row r="17" spans="1:4" x14ac:dyDescent="0.3">
      <c r="A17" s="948" t="s">
        <v>43</v>
      </c>
      <c r="B17" s="949" t="s">
        <v>405</v>
      </c>
      <c r="C17" s="950">
        <v>473180007</v>
      </c>
      <c r="D17" s="951">
        <f>SUM(D5:D16)</f>
        <v>349871194</v>
      </c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&amp;R24. melléklet a 7/2018. V.31.)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Layout" zoomScaleNormal="100" workbookViewId="0">
      <selection activeCell="F23" sqref="F23"/>
    </sheetView>
  </sheetViews>
  <sheetFormatPr defaultRowHeight="13" x14ac:dyDescent="0.3"/>
  <cols>
    <col min="2" max="2" width="57.796875" customWidth="1"/>
    <col min="3" max="4" width="19.19921875" customWidth="1"/>
    <col min="5" max="5" width="16.5" customWidth="1"/>
    <col min="6" max="6" width="16.69921875" bestFit="1" customWidth="1"/>
    <col min="7" max="7" width="10.796875" bestFit="1" customWidth="1"/>
    <col min="8" max="8" width="12.296875" bestFit="1" customWidth="1"/>
  </cols>
  <sheetData>
    <row r="1" spans="1:8" ht="15.5" x14ac:dyDescent="0.35">
      <c r="A1" s="860"/>
      <c r="B1" s="860"/>
      <c r="C1" s="861"/>
      <c r="D1" s="862"/>
      <c r="E1" s="860"/>
      <c r="F1" s="860"/>
    </row>
    <row r="2" spans="1:8" ht="34.15" customHeight="1" x14ac:dyDescent="0.3">
      <c r="A2" s="1133" t="s">
        <v>1165</v>
      </c>
      <c r="B2" s="1133"/>
      <c r="C2" s="1133"/>
      <c r="D2" s="1133"/>
      <c r="E2" s="1133"/>
      <c r="F2" s="1133"/>
    </row>
    <row r="3" spans="1:8" ht="17.5" x14ac:dyDescent="0.3">
      <c r="A3" s="865"/>
      <c r="B3" s="865"/>
      <c r="C3" s="865"/>
      <c r="D3" s="863"/>
      <c r="E3" s="864"/>
      <c r="F3" s="864"/>
    </row>
    <row r="4" spans="1:8" ht="17.5" x14ac:dyDescent="0.3">
      <c r="A4" s="865"/>
      <c r="B4" s="865"/>
      <c r="C4" s="866"/>
      <c r="D4" s="866"/>
      <c r="E4" s="866"/>
      <c r="F4" s="866" t="s">
        <v>998</v>
      </c>
    </row>
    <row r="5" spans="1:8" ht="39" x14ac:dyDescent="0.3">
      <c r="A5" s="952" t="s">
        <v>404</v>
      </c>
      <c r="B5" s="952" t="s">
        <v>267</v>
      </c>
      <c r="C5" s="953" t="s">
        <v>381</v>
      </c>
      <c r="D5" s="954" t="s">
        <v>400</v>
      </c>
      <c r="E5" s="955" t="s">
        <v>1067</v>
      </c>
      <c r="F5" s="956" t="s">
        <v>997</v>
      </c>
    </row>
    <row r="6" spans="1:8" x14ac:dyDescent="0.3">
      <c r="A6" s="847" t="s">
        <v>10</v>
      </c>
      <c r="B6" s="819" t="s">
        <v>1068</v>
      </c>
      <c r="C6" s="957">
        <v>4843246767</v>
      </c>
      <c r="D6" s="958">
        <v>20042678</v>
      </c>
      <c r="E6" s="958">
        <v>4965932</v>
      </c>
      <c r="F6" s="959">
        <f>SUM(C6:E6)</f>
        <v>4868255377</v>
      </c>
      <c r="H6" s="857"/>
    </row>
    <row r="7" spans="1:8" x14ac:dyDescent="0.3">
      <c r="A7" s="895" t="s">
        <v>13</v>
      </c>
      <c r="B7" s="960" t="s">
        <v>1069</v>
      </c>
      <c r="C7" s="961">
        <v>2047838020</v>
      </c>
      <c r="D7" s="962">
        <v>286434729</v>
      </c>
      <c r="E7" s="962">
        <v>33202016</v>
      </c>
      <c r="F7" s="963">
        <f>SUM(C7:E7)</f>
        <v>2367474765</v>
      </c>
      <c r="H7" s="857"/>
    </row>
    <row r="8" spans="1:8" x14ac:dyDescent="0.3">
      <c r="A8" s="853" t="s">
        <v>16</v>
      </c>
      <c r="B8" s="964" t="s">
        <v>1070</v>
      </c>
      <c r="C8" s="965">
        <f>C6-C7</f>
        <v>2795408747</v>
      </c>
      <c r="D8" s="966">
        <f t="shared" ref="D8:F8" si="0">D6-D7</f>
        <v>-266392051</v>
      </c>
      <c r="E8" s="966">
        <f t="shared" si="0"/>
        <v>-28236084</v>
      </c>
      <c r="F8" s="967">
        <f t="shared" si="0"/>
        <v>2500780612</v>
      </c>
    </row>
    <row r="9" spans="1:8" x14ac:dyDescent="0.3">
      <c r="A9" s="898" t="s">
        <v>19</v>
      </c>
      <c r="B9" s="968" t="s">
        <v>1071</v>
      </c>
      <c r="C9" s="969">
        <v>405372894</v>
      </c>
      <c r="D9" s="970">
        <v>267337926</v>
      </c>
      <c r="E9" s="970">
        <v>28597012</v>
      </c>
      <c r="F9" s="971">
        <f>C9+D9+E9</f>
        <v>701307832</v>
      </c>
      <c r="H9" s="857"/>
    </row>
    <row r="10" spans="1:8" x14ac:dyDescent="0.3">
      <c r="A10" s="895" t="s">
        <v>22</v>
      </c>
      <c r="B10" s="960" t="s">
        <v>1072</v>
      </c>
      <c r="C10" s="961">
        <v>351521432</v>
      </c>
      <c r="D10" s="962"/>
      <c r="E10" s="962"/>
      <c r="F10" s="963">
        <f>C10</f>
        <v>351521432</v>
      </c>
      <c r="H10" s="857"/>
    </row>
    <row r="11" spans="1:8" x14ac:dyDescent="0.3">
      <c r="A11" s="853" t="s">
        <v>25</v>
      </c>
      <c r="B11" s="964" t="s">
        <v>1073</v>
      </c>
      <c r="C11" s="965">
        <f>C9-C10</f>
        <v>53851462</v>
      </c>
      <c r="D11" s="966">
        <f t="shared" ref="D11:F11" si="1">D9-D10</f>
        <v>267337926</v>
      </c>
      <c r="E11" s="966">
        <f t="shared" si="1"/>
        <v>28597012</v>
      </c>
      <c r="F11" s="967">
        <f t="shared" si="1"/>
        <v>349786400</v>
      </c>
      <c r="G11" s="857"/>
      <c r="H11" s="857" t="s">
        <v>799</v>
      </c>
    </row>
    <row r="12" spans="1:8" ht="14" x14ac:dyDescent="0.3">
      <c r="A12" s="853" t="s">
        <v>28</v>
      </c>
      <c r="B12" s="964" t="s">
        <v>1074</v>
      </c>
      <c r="C12" s="965">
        <f>C8+C11</f>
        <v>2849260209</v>
      </c>
      <c r="D12" s="966">
        <f t="shared" ref="D12:F12" si="2">D8+D11</f>
        <v>945875</v>
      </c>
      <c r="E12" s="966">
        <f t="shared" si="2"/>
        <v>360928</v>
      </c>
      <c r="F12" s="967">
        <f t="shared" si="2"/>
        <v>2850567012</v>
      </c>
      <c r="G12" s="907"/>
    </row>
    <row r="13" spans="1:8" x14ac:dyDescent="0.3">
      <c r="A13" s="898" t="s">
        <v>31</v>
      </c>
      <c r="B13" s="968" t="s">
        <v>1075</v>
      </c>
      <c r="C13" s="969">
        <v>67594423</v>
      </c>
      <c r="D13" s="970"/>
      <c r="E13" s="970"/>
      <c r="F13" s="971">
        <f>SUM(C13:E13)</f>
        <v>67594423</v>
      </c>
      <c r="G13" s="857"/>
    </row>
    <row r="14" spans="1:8" x14ac:dyDescent="0.3">
      <c r="A14" s="895" t="s">
        <v>34</v>
      </c>
      <c r="B14" s="960" t="s">
        <v>1076</v>
      </c>
      <c r="C14" s="961">
        <v>52954949</v>
      </c>
      <c r="D14" s="962"/>
      <c r="E14" s="962"/>
      <c r="F14" s="963">
        <f>SUM(C14:E14)</f>
        <v>52954949</v>
      </c>
    </row>
    <row r="15" spans="1:8" x14ac:dyDescent="0.3">
      <c r="A15" s="853" t="s">
        <v>1077</v>
      </c>
      <c r="B15" s="964" t="s">
        <v>1078</v>
      </c>
      <c r="C15" s="965">
        <f>C13-C14</f>
        <v>14639474</v>
      </c>
      <c r="D15" s="966">
        <f t="shared" ref="D15:F15" si="3">D13-D14</f>
        <v>0</v>
      </c>
      <c r="E15" s="966">
        <f t="shared" si="3"/>
        <v>0</v>
      </c>
      <c r="F15" s="967">
        <f t="shared" si="3"/>
        <v>14639474</v>
      </c>
    </row>
    <row r="16" spans="1:8" x14ac:dyDescent="0.3">
      <c r="A16" s="898" t="s">
        <v>1079</v>
      </c>
      <c r="B16" s="968" t="s">
        <v>1080</v>
      </c>
      <c r="C16" s="969">
        <v>36074310</v>
      </c>
      <c r="D16" s="970"/>
      <c r="E16" s="970"/>
      <c r="F16" s="971">
        <f>SUM(C16:E16)</f>
        <v>36074310</v>
      </c>
    </row>
    <row r="17" spans="1:6" x14ac:dyDescent="0.3">
      <c r="A17" s="895" t="s">
        <v>1081</v>
      </c>
      <c r="B17" s="960" t="s">
        <v>1082</v>
      </c>
      <c r="C17" s="961"/>
      <c r="D17" s="962"/>
      <c r="E17" s="962"/>
      <c r="F17" s="963">
        <f>SUM(C17:E17)</f>
        <v>0</v>
      </c>
    </row>
    <row r="18" spans="1:6" ht="26" x14ac:dyDescent="0.3">
      <c r="A18" s="853" t="s">
        <v>1083</v>
      </c>
      <c r="B18" s="964" t="s">
        <v>1084</v>
      </c>
      <c r="C18" s="965">
        <f>C16-C17</f>
        <v>36074310</v>
      </c>
      <c r="D18" s="966">
        <f t="shared" ref="D18:F18" si="4">D16-D17</f>
        <v>0</v>
      </c>
      <c r="E18" s="966">
        <f t="shared" si="4"/>
        <v>0</v>
      </c>
      <c r="F18" s="967">
        <f t="shared" si="4"/>
        <v>36074310</v>
      </c>
    </row>
    <row r="19" spans="1:6" x14ac:dyDescent="0.3">
      <c r="A19" s="853" t="s">
        <v>1085</v>
      </c>
      <c r="B19" s="964" t="s">
        <v>1086</v>
      </c>
      <c r="C19" s="965">
        <f>C15+C18</f>
        <v>50713784</v>
      </c>
      <c r="D19" s="966">
        <f t="shared" ref="D19:F19" si="5">D15+D18</f>
        <v>0</v>
      </c>
      <c r="E19" s="966">
        <f t="shared" si="5"/>
        <v>0</v>
      </c>
      <c r="F19" s="967">
        <f t="shared" si="5"/>
        <v>50713784</v>
      </c>
    </row>
    <row r="20" spans="1:6" ht="13.5" x14ac:dyDescent="0.3">
      <c r="A20" s="972" t="s">
        <v>1087</v>
      </c>
      <c r="B20" s="973" t="s">
        <v>1088</v>
      </c>
      <c r="C20" s="974">
        <f>C12+C19</f>
        <v>2899973993</v>
      </c>
      <c r="D20" s="975">
        <f t="shared" ref="D20:E20" si="6">D12+D19</f>
        <v>945875</v>
      </c>
      <c r="E20" s="975">
        <f t="shared" si="6"/>
        <v>360928</v>
      </c>
      <c r="F20" s="976">
        <f>F12+F19</f>
        <v>2901280796</v>
      </c>
    </row>
    <row r="21" spans="1:6" x14ac:dyDescent="0.3">
      <c r="A21" s="850" t="s">
        <v>1089</v>
      </c>
      <c r="B21" s="822" t="s">
        <v>1090</v>
      </c>
      <c r="C21" s="977">
        <f>C12-C22</f>
        <v>0</v>
      </c>
      <c r="D21" s="978"/>
      <c r="E21" s="978"/>
      <c r="F21" s="979">
        <f>SUM(C21:E21)</f>
        <v>0</v>
      </c>
    </row>
    <row r="22" spans="1:6" x14ac:dyDescent="0.3">
      <c r="A22" s="850" t="s">
        <v>1091</v>
      </c>
      <c r="B22" s="822" t="s">
        <v>1092</v>
      </c>
      <c r="C22" s="977">
        <v>2849260209</v>
      </c>
      <c r="D22" s="978">
        <v>945875</v>
      </c>
      <c r="E22" s="978">
        <v>360928</v>
      </c>
      <c r="F22" s="979">
        <f>C22+E22+D22</f>
        <v>2850567012</v>
      </c>
    </row>
    <row r="23" spans="1:6" ht="26" x14ac:dyDescent="0.3">
      <c r="A23" s="850" t="s">
        <v>1093</v>
      </c>
      <c r="B23" s="822" t="s">
        <v>1094</v>
      </c>
      <c r="C23" s="977">
        <v>4564241</v>
      </c>
      <c r="D23" s="978"/>
      <c r="E23" s="978"/>
      <c r="F23" s="979">
        <f t="shared" ref="F23:F24" si="7">SUM(C23:E23)</f>
        <v>4564241</v>
      </c>
    </row>
    <row r="24" spans="1:6" x14ac:dyDescent="0.3">
      <c r="A24" s="980" t="s">
        <v>1095</v>
      </c>
      <c r="B24" s="981" t="s">
        <v>1096</v>
      </c>
      <c r="C24" s="982">
        <v>46149543</v>
      </c>
      <c r="D24" s="983"/>
      <c r="E24" s="983"/>
      <c r="F24" s="984">
        <f t="shared" si="7"/>
        <v>46149543</v>
      </c>
    </row>
    <row r="25" spans="1:6" x14ac:dyDescent="0.3">
      <c r="A25" s="908"/>
      <c r="B25" s="908"/>
      <c r="C25" s="908"/>
      <c r="D25" s="908"/>
      <c r="E25" s="908"/>
      <c r="F25" s="908"/>
    </row>
  </sheetData>
  <mergeCells count="1">
    <mergeCell ref="A2:F2"/>
  </mergeCells>
  <pageMargins left="0.7" right="0.7" top="0.75" bottom="0.75" header="0.3" footer="0.3"/>
  <pageSetup paperSize="9" scale="80" orientation="landscape" r:id="rId1"/>
  <headerFooter>
    <oddHeader>&amp;C25. melléklet a 7/2018. (V.31.)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view="pageLayout" zoomScaleNormal="100" workbookViewId="0">
      <selection sqref="A1:M1"/>
    </sheetView>
  </sheetViews>
  <sheetFormatPr defaultColWidth="9.296875" defaultRowHeight="13" x14ac:dyDescent="0.3"/>
  <cols>
    <col min="1" max="1" width="6.796875" style="11" customWidth="1"/>
    <col min="2" max="2" width="56.69921875" style="12" customWidth="1"/>
    <col min="3" max="6" width="16.69921875" style="11" customWidth="1"/>
    <col min="7" max="7" width="16.69921875" style="606" customWidth="1"/>
    <col min="8" max="8" width="55.19921875" style="11" customWidth="1"/>
    <col min="9" max="9" width="16.69921875" style="11" customWidth="1"/>
    <col min="10" max="10" width="16" style="236" bestFit="1" customWidth="1"/>
    <col min="11" max="11" width="16" style="234" bestFit="1" customWidth="1"/>
    <col min="12" max="12" width="16" style="11" bestFit="1" customWidth="1"/>
    <col min="13" max="13" width="13.69921875" style="599" customWidth="1"/>
    <col min="14" max="16384" width="9.296875" style="11"/>
  </cols>
  <sheetData>
    <row r="1" spans="1:13" ht="44.25" customHeight="1" x14ac:dyDescent="0.3">
      <c r="A1" s="1022" t="s">
        <v>635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2"/>
      <c r="L1" s="1022"/>
      <c r="M1" s="1022"/>
    </row>
    <row r="2" spans="1:13" x14ac:dyDescent="0.3">
      <c r="J2" s="235"/>
      <c r="K2" s="11"/>
      <c r="L2" s="13" t="s">
        <v>799</v>
      </c>
      <c r="M2" s="611" t="s">
        <v>1</v>
      </c>
    </row>
    <row r="3" spans="1:13" ht="15.75" customHeight="1" x14ac:dyDescent="0.3">
      <c r="A3" s="1017" t="s">
        <v>2</v>
      </c>
      <c r="B3" s="1018" t="s">
        <v>265</v>
      </c>
      <c r="C3" s="1019"/>
      <c r="D3" s="1019"/>
      <c r="E3" s="1019"/>
      <c r="F3" s="1019"/>
      <c r="G3" s="1020"/>
      <c r="H3" s="1018" t="s">
        <v>266</v>
      </c>
      <c r="I3" s="1019"/>
      <c r="J3" s="1019"/>
      <c r="K3" s="1019"/>
      <c r="L3" s="1019"/>
      <c r="M3" s="1020"/>
    </row>
    <row r="4" spans="1:13" s="14" customFormat="1" ht="26" x14ac:dyDescent="0.3">
      <c r="A4" s="1017"/>
      <c r="B4" s="260" t="s">
        <v>267</v>
      </c>
      <c r="C4" s="260" t="s">
        <v>268</v>
      </c>
      <c r="D4" s="260" t="s">
        <v>959</v>
      </c>
      <c r="E4" s="260" t="s">
        <v>796</v>
      </c>
      <c r="F4" s="542" t="s">
        <v>823</v>
      </c>
      <c r="G4" s="607" t="s">
        <v>824</v>
      </c>
      <c r="H4" s="260" t="s">
        <v>267</v>
      </c>
      <c r="I4" s="260" t="str">
        <f>+C4</f>
        <v>2017. évi előirányzat</v>
      </c>
      <c r="J4" s="238" t="s">
        <v>959</v>
      </c>
      <c r="K4" s="238" t="s">
        <v>796</v>
      </c>
      <c r="L4" s="533" t="s">
        <v>823</v>
      </c>
      <c r="M4" s="603" t="s">
        <v>824</v>
      </c>
    </row>
    <row r="5" spans="1:13" s="14" customFormat="1" x14ac:dyDescent="0.3">
      <c r="A5" s="19" t="s">
        <v>6</v>
      </c>
      <c r="B5" s="19" t="s">
        <v>7</v>
      </c>
      <c r="C5" s="19" t="s">
        <v>8</v>
      </c>
      <c r="D5" s="19" t="s">
        <v>9</v>
      </c>
      <c r="E5" s="19" t="s">
        <v>269</v>
      </c>
      <c r="F5" s="19" t="s">
        <v>472</v>
      </c>
      <c r="G5" s="608" t="s">
        <v>794</v>
      </c>
      <c r="H5" s="19" t="s">
        <v>960</v>
      </c>
      <c r="I5" s="19" t="s">
        <v>798</v>
      </c>
      <c r="J5" s="648" t="s">
        <v>825</v>
      </c>
      <c r="K5" s="240" t="s">
        <v>826</v>
      </c>
      <c r="L5" s="533" t="s">
        <v>827</v>
      </c>
      <c r="M5" s="603" t="s">
        <v>828</v>
      </c>
    </row>
    <row r="6" spans="1:13" ht="16.5" customHeight="1" x14ac:dyDescent="0.3">
      <c r="A6" s="313" t="s">
        <v>10</v>
      </c>
      <c r="B6" s="222" t="s">
        <v>567</v>
      </c>
      <c r="C6" s="223">
        <f>'1.sz.mell.'!D31</f>
        <v>50000000</v>
      </c>
      <c r="D6" s="223">
        <f>E6-C6</f>
        <v>2540419970</v>
      </c>
      <c r="E6" s="223">
        <v>2590419970</v>
      </c>
      <c r="F6" s="223">
        <v>2590419970</v>
      </c>
      <c r="G6" s="609">
        <f>F6/E6</f>
        <v>1</v>
      </c>
      <c r="H6" s="222" t="str">
        <f>'1.sz.mell.'!B97</f>
        <v>Beruházások</v>
      </c>
      <c r="I6" s="223">
        <f>'1.sz.mell.'!D97</f>
        <v>62504500</v>
      </c>
      <c r="J6" s="237">
        <f>K6-I6</f>
        <v>968668305</v>
      </c>
      <c r="K6" s="239">
        <v>1031172805</v>
      </c>
      <c r="L6" s="224">
        <v>75832435</v>
      </c>
      <c r="M6" s="605">
        <f>L6/K6</f>
        <v>7.3539987315705047E-2</v>
      </c>
    </row>
    <row r="7" spans="1:13" ht="16.5" customHeight="1" x14ac:dyDescent="0.3">
      <c r="A7" s="313" t="s">
        <v>13</v>
      </c>
      <c r="B7" s="222" t="s">
        <v>713</v>
      </c>
      <c r="C7" s="223">
        <f>'1.sz.mell.'!D63</f>
        <v>2160072</v>
      </c>
      <c r="D7" s="223">
        <f t="shared" ref="D7:D8" si="0">E7-C7</f>
        <v>17384249</v>
      </c>
      <c r="E7" s="223">
        <v>19544321</v>
      </c>
      <c r="F7" s="223">
        <v>19543577</v>
      </c>
      <c r="G7" s="609">
        <f t="shared" ref="G7:G19" si="1">F7/E7</f>
        <v>0.9999619326759932</v>
      </c>
      <c r="H7" s="222" t="str">
        <f>'1.sz.mell.'!B98</f>
        <v>Felújítások</v>
      </c>
      <c r="I7" s="223">
        <f>'1.sz.mell.'!D98</f>
        <v>123810571</v>
      </c>
      <c r="J7" s="237">
        <f t="shared" ref="J7:J8" si="2">K7-I7</f>
        <v>57138826</v>
      </c>
      <c r="K7" s="239">
        <v>180949397</v>
      </c>
      <c r="L7" s="224">
        <v>126942757</v>
      </c>
      <c r="M7" s="605">
        <f t="shared" ref="M7:M19" si="3">L7/K7</f>
        <v>0.70153733090362269</v>
      </c>
    </row>
    <row r="8" spans="1:13" ht="16.5" customHeight="1" x14ac:dyDescent="0.3">
      <c r="A8" s="313" t="s">
        <v>16</v>
      </c>
      <c r="B8" s="222" t="s">
        <v>714</v>
      </c>
      <c r="C8" s="223">
        <f>'1.sz.mell.'!D69</f>
        <v>0</v>
      </c>
      <c r="D8" s="223">
        <f t="shared" si="0"/>
        <v>1311275</v>
      </c>
      <c r="E8" s="223">
        <v>1311275</v>
      </c>
      <c r="F8" s="223">
        <v>1303598</v>
      </c>
      <c r="G8" s="609">
        <f t="shared" si="1"/>
        <v>0.99414539284284376</v>
      </c>
      <c r="H8" s="222" t="str">
        <f>'1.sz.mell.'!B99</f>
        <v>Egyéb felhalmozási kiadások</v>
      </c>
      <c r="I8" s="223">
        <f>'1.sz.mell.'!D99+I9</f>
        <v>5000000</v>
      </c>
      <c r="J8" s="237">
        <f t="shared" si="2"/>
        <v>17730648</v>
      </c>
      <c r="K8" s="239">
        <v>22730648</v>
      </c>
      <c r="L8" s="224">
        <v>15424342</v>
      </c>
      <c r="M8" s="605">
        <f t="shared" si="3"/>
        <v>0.67857027217173926</v>
      </c>
    </row>
    <row r="9" spans="1:13" ht="19.5" customHeight="1" x14ac:dyDescent="0.3">
      <c r="A9" s="313" t="s">
        <v>19</v>
      </c>
      <c r="B9" s="314" t="s">
        <v>799</v>
      </c>
      <c r="C9" s="226"/>
      <c r="D9" s="223" t="s">
        <v>799</v>
      </c>
      <c r="E9" s="226" t="s">
        <v>799</v>
      </c>
      <c r="F9" s="226" t="s">
        <v>799</v>
      </c>
      <c r="G9" s="609"/>
      <c r="H9" s="225"/>
      <c r="I9" s="226"/>
      <c r="J9" s="237">
        <f>K9-I9</f>
        <v>0</v>
      </c>
      <c r="K9" s="239"/>
      <c r="L9" s="224"/>
      <c r="M9" s="605"/>
    </row>
    <row r="10" spans="1:13" ht="16.5" customHeight="1" x14ac:dyDescent="0.3">
      <c r="A10" s="313" t="s">
        <v>22</v>
      </c>
      <c r="B10" s="222"/>
      <c r="C10" s="223"/>
      <c r="D10" s="223">
        <f>E10-C10</f>
        <v>0</v>
      </c>
      <c r="E10" s="223"/>
      <c r="F10" s="223"/>
      <c r="G10" s="609"/>
      <c r="H10" s="227"/>
      <c r="I10" s="226"/>
      <c r="J10" s="237">
        <f>K10-I10</f>
        <v>0</v>
      </c>
      <c r="K10" s="239"/>
      <c r="L10" s="224"/>
      <c r="M10" s="605"/>
    </row>
    <row r="11" spans="1:13" ht="16.5" customHeight="1" x14ac:dyDescent="0.3">
      <c r="A11" s="313" t="s">
        <v>25</v>
      </c>
      <c r="B11" s="315"/>
      <c r="C11" s="223"/>
      <c r="D11" s="223">
        <f>E11-C11</f>
        <v>0</v>
      </c>
      <c r="E11" s="223"/>
      <c r="F11" s="223"/>
      <c r="G11" s="609"/>
      <c r="H11" s="227"/>
      <c r="I11" s="223"/>
      <c r="J11" s="237"/>
      <c r="K11" s="239"/>
      <c r="L11" s="224"/>
      <c r="M11" s="605"/>
    </row>
    <row r="12" spans="1:13" s="21" customFormat="1" ht="25.5" customHeight="1" x14ac:dyDescent="0.3">
      <c r="A12" s="260" t="s">
        <v>28</v>
      </c>
      <c r="B12" s="199" t="s">
        <v>951</v>
      </c>
      <c r="C12" s="17">
        <f>SUM(C6:C11)</f>
        <v>52160072</v>
      </c>
      <c r="D12" s="17">
        <f t="shared" ref="D12:F12" si="4">SUM(D6:D11)</f>
        <v>2559115494</v>
      </c>
      <c r="E12" s="17">
        <f t="shared" si="4"/>
        <v>2611275566</v>
      </c>
      <c r="F12" s="17">
        <f t="shared" si="4"/>
        <v>2611267145</v>
      </c>
      <c r="G12" s="609">
        <f t="shared" si="1"/>
        <v>0.99999677513928076</v>
      </c>
      <c r="H12" s="199" t="s">
        <v>952</v>
      </c>
      <c r="I12" s="17">
        <f>SUM(I6:I8)</f>
        <v>191315071</v>
      </c>
      <c r="J12" s="17">
        <f t="shared" ref="J12:L12" si="5">SUM(J6:J8)</f>
        <v>1043537779</v>
      </c>
      <c r="K12" s="17">
        <f t="shared" si="5"/>
        <v>1234852850</v>
      </c>
      <c r="L12" s="17">
        <f t="shared" si="5"/>
        <v>218199534</v>
      </c>
      <c r="M12" s="605">
        <f t="shared" si="3"/>
        <v>0.17670083848452064</v>
      </c>
    </row>
    <row r="13" spans="1:13" ht="16.5" customHeight="1" x14ac:dyDescent="0.3">
      <c r="A13" s="230" t="s">
        <v>31</v>
      </c>
      <c r="B13" s="228" t="s">
        <v>279</v>
      </c>
      <c r="C13" s="316"/>
      <c r="D13" s="316"/>
      <c r="E13" s="316"/>
      <c r="F13" s="316"/>
      <c r="G13" s="609"/>
      <c r="H13" s="228" t="s">
        <v>251</v>
      </c>
      <c r="I13" s="210">
        <f>'1.sz.mell.'!D108</f>
        <v>23997938</v>
      </c>
      <c r="J13" s="237">
        <f>K13-I13</f>
        <v>3100000</v>
      </c>
      <c r="K13" s="239">
        <v>27097938</v>
      </c>
      <c r="L13" s="224">
        <v>27091108</v>
      </c>
      <c r="M13" s="605">
        <f t="shared" si="3"/>
        <v>0.99974795130168204</v>
      </c>
    </row>
    <row r="14" spans="1:13" ht="16.5" customHeight="1" x14ac:dyDescent="0.3">
      <c r="A14" s="230" t="s">
        <v>34</v>
      </c>
      <c r="B14" s="758" t="s">
        <v>189</v>
      </c>
      <c r="C14" s="768">
        <f>SUM(C15:C16)</f>
        <v>74771029</v>
      </c>
      <c r="D14" s="768">
        <f>E14-C14</f>
        <v>0</v>
      </c>
      <c r="E14" s="768">
        <v>74771029</v>
      </c>
      <c r="F14" s="768">
        <v>74771029</v>
      </c>
      <c r="G14" s="609">
        <f t="shared" si="1"/>
        <v>1</v>
      </c>
      <c r="H14" s="229" t="s">
        <v>257</v>
      </c>
      <c r="I14" s="210"/>
      <c r="J14" s="237"/>
      <c r="K14" s="239"/>
      <c r="L14" s="224"/>
      <c r="M14" s="605"/>
    </row>
    <row r="15" spans="1:13" ht="16.5" customHeight="1" x14ac:dyDescent="0.3">
      <c r="A15" s="233" t="s">
        <v>280</v>
      </c>
      <c r="B15" s="769" t="s">
        <v>281</v>
      </c>
      <c r="C15" s="770">
        <f>32320000+16951029</f>
        <v>49271029</v>
      </c>
      <c r="D15" s="768">
        <f t="shared" ref="D15:D16" si="6">E15-C15</f>
        <v>0</v>
      </c>
      <c r="E15" s="770">
        <v>49271029</v>
      </c>
      <c r="F15" s="770">
        <v>49271029</v>
      </c>
      <c r="G15" s="609">
        <f t="shared" si="1"/>
        <v>1</v>
      </c>
      <c r="H15" s="222"/>
      <c r="I15" s="210"/>
      <c r="J15" s="237"/>
      <c r="K15" s="239"/>
      <c r="L15" s="224"/>
      <c r="M15" s="605"/>
    </row>
    <row r="16" spans="1:13" ht="16.5" customHeight="1" x14ac:dyDescent="0.3">
      <c r="A16" s="233" t="s">
        <v>282</v>
      </c>
      <c r="B16" s="769" t="s">
        <v>283</v>
      </c>
      <c r="C16" s="770">
        <v>25500000</v>
      </c>
      <c r="D16" s="768">
        <f t="shared" si="6"/>
        <v>0</v>
      </c>
      <c r="E16" s="770">
        <v>25500000</v>
      </c>
      <c r="F16" s="770">
        <v>25500000</v>
      </c>
      <c r="G16" s="609">
        <f t="shared" si="1"/>
        <v>1</v>
      </c>
      <c r="H16" s="222"/>
      <c r="I16" s="210"/>
      <c r="J16" s="237"/>
      <c r="K16" s="239"/>
      <c r="L16" s="224"/>
      <c r="M16" s="605"/>
    </row>
    <row r="17" spans="1:13" ht="16.5" customHeight="1" x14ac:dyDescent="0.3">
      <c r="A17" s="20" t="s">
        <v>37</v>
      </c>
      <c r="B17" s="771" t="s">
        <v>284</v>
      </c>
      <c r="C17" s="772">
        <f>SUM(C13:C14)</f>
        <v>74771029</v>
      </c>
      <c r="D17" s="772">
        <f t="shared" ref="D17:F17" si="7">SUM(D13:D14)</f>
        <v>0</v>
      </c>
      <c r="E17" s="772">
        <f t="shared" si="7"/>
        <v>74771029</v>
      </c>
      <c r="F17" s="772">
        <f t="shared" si="7"/>
        <v>74771029</v>
      </c>
      <c r="G17" s="609">
        <f t="shared" si="1"/>
        <v>1</v>
      </c>
      <c r="H17" s="199" t="s">
        <v>285</v>
      </c>
      <c r="I17" s="317">
        <f>SUM(I13:I16)</f>
        <v>23997938</v>
      </c>
      <c r="J17" s="317">
        <f t="shared" ref="J17:L17" si="8">SUM(J13:J16)</f>
        <v>3100000</v>
      </c>
      <c r="K17" s="317">
        <f t="shared" si="8"/>
        <v>27097938</v>
      </c>
      <c r="L17" s="317">
        <f t="shared" si="8"/>
        <v>27091108</v>
      </c>
      <c r="M17" s="605">
        <f t="shared" si="3"/>
        <v>0.99974795130168204</v>
      </c>
    </row>
    <row r="18" spans="1:13" ht="22.5" customHeight="1" x14ac:dyDescent="0.3">
      <c r="A18" s="20" t="s">
        <v>39</v>
      </c>
      <c r="B18" s="199" t="s">
        <v>953</v>
      </c>
      <c r="C18" s="17">
        <f>+C12+C17</f>
        <v>126931101</v>
      </c>
      <c r="D18" s="17">
        <f t="shared" ref="D18:F18" si="9">+D12+D17</f>
        <v>2559115494</v>
      </c>
      <c r="E18" s="17">
        <f t="shared" si="9"/>
        <v>2686046595</v>
      </c>
      <c r="F18" s="17">
        <f t="shared" si="9"/>
        <v>2686038174</v>
      </c>
      <c r="G18" s="609">
        <f t="shared" si="1"/>
        <v>0.99999686490918827</v>
      </c>
      <c r="H18" s="199" t="s">
        <v>954</v>
      </c>
      <c r="I18" s="17">
        <f>SUM(I12+I17)</f>
        <v>215313009</v>
      </c>
      <c r="J18" s="17">
        <f t="shared" ref="J18:L18" si="10">SUM(J12+J17)</f>
        <v>1046637779</v>
      </c>
      <c r="K18" s="17">
        <f t="shared" si="10"/>
        <v>1261950788</v>
      </c>
      <c r="L18" s="17">
        <f t="shared" si="10"/>
        <v>245290642</v>
      </c>
      <c r="M18" s="605">
        <f t="shared" si="3"/>
        <v>0.19437417396343035</v>
      </c>
    </row>
    <row r="19" spans="1:13" ht="22.5" customHeight="1" x14ac:dyDescent="0.3">
      <c r="A19" s="20" t="s">
        <v>41</v>
      </c>
      <c r="B19" s="199" t="s">
        <v>955</v>
      </c>
      <c r="C19" s="17">
        <f>C18+'2.1.sz.mell  '!C20</f>
        <v>2250183132</v>
      </c>
      <c r="D19" s="17">
        <f>D18+'2.1.sz.mell  '!D20</f>
        <v>3106045412</v>
      </c>
      <c r="E19" s="17">
        <f>E18+'2.1.sz.mell  '!E20</f>
        <v>5388021340</v>
      </c>
      <c r="F19" s="17">
        <f>F18+'2.1.sz.mell  '!F20</f>
        <v>5379172518</v>
      </c>
      <c r="G19" s="609">
        <f t="shared" si="1"/>
        <v>0.99835768616313614</v>
      </c>
      <c r="H19" s="199" t="s">
        <v>956</v>
      </c>
      <c r="I19" s="17">
        <f>I18+'2.1.sz.mell  '!I20</f>
        <v>2250183132</v>
      </c>
      <c r="J19" s="17">
        <f>J18+'2.1.sz.mell  '!J20</f>
        <v>3137838208</v>
      </c>
      <c r="K19" s="17">
        <f>K18+'2.1.sz.mell  '!K20</f>
        <v>5388021340</v>
      </c>
      <c r="L19" s="17">
        <f>L18+'2.1.sz.mell  '!L20</f>
        <v>2477885722</v>
      </c>
      <c r="M19" s="605">
        <f t="shared" si="3"/>
        <v>0.4598878819585373</v>
      </c>
    </row>
    <row r="20" spans="1:13" ht="18" customHeight="1" x14ac:dyDescent="0.3">
      <c r="A20" s="260" t="s">
        <v>43</v>
      </c>
      <c r="B20" s="199" t="s">
        <v>709</v>
      </c>
      <c r="C20" s="17">
        <f>IF(C12-I12&lt;0,I12-C12,"-")</f>
        <v>139154999</v>
      </c>
      <c r="D20" s="17" t="str">
        <f>IF(D12-J12&lt;0,J12-D12,"-")</f>
        <v>-</v>
      </c>
      <c r="E20" s="17" t="str">
        <f>IF(E12-K12&lt;0,K12-E12,"-")</f>
        <v>-</v>
      </c>
      <c r="F20" s="17" t="str">
        <f>IF(F12-L12&lt;0,L12-F12,"-")</f>
        <v>-</v>
      </c>
      <c r="G20" s="610"/>
      <c r="H20" s="199" t="s">
        <v>710</v>
      </c>
      <c r="I20" s="200" t="str">
        <f>IF(C12-I12&gt;0,C12-I12,"-")</f>
        <v>-</v>
      </c>
      <c r="J20" s="200">
        <f>IF(D12-J12&gt;0,D12-J12,"-")</f>
        <v>1515577715</v>
      </c>
      <c r="K20" s="200">
        <f>IF(E12-K12&gt;0,E12-K12,"-")</f>
        <v>1376422716</v>
      </c>
      <c r="L20" s="200">
        <f>IF(F12-L12&gt;0,F12-L12,"-")</f>
        <v>2393067611</v>
      </c>
      <c r="M20" s="605"/>
    </row>
    <row r="21" spans="1:13" ht="18" customHeight="1" x14ac:dyDescent="0.3">
      <c r="A21" s="260" t="s">
        <v>45</v>
      </c>
      <c r="B21" s="199" t="s">
        <v>711</v>
      </c>
      <c r="C21" s="17">
        <f>IF(C12+C17-I18&lt;0,I18-(C12+C17),"-")</f>
        <v>88381908</v>
      </c>
      <c r="D21" s="17" t="str">
        <f>IF(D12+D17-J18&lt;0,J18-(D12+D17),"-")</f>
        <v>-</v>
      </c>
      <c r="E21" s="17" t="str">
        <f>IF(E12+E17-K18&lt;0,K18-(E12+E17),"-")</f>
        <v>-</v>
      </c>
      <c r="F21" s="17" t="str">
        <f>IF(F12+F17-L18&lt;0,L18-(F12+F17),"-")</f>
        <v>-</v>
      </c>
      <c r="G21" s="610"/>
      <c r="H21" s="199" t="s">
        <v>712</v>
      </c>
      <c r="I21" s="200" t="str">
        <f>IF(C12+C17-I18&gt;0,C12+C17-I18,"-")</f>
        <v>-</v>
      </c>
      <c r="J21" s="200">
        <f>IF(D12+D17-J18&gt;0,D12+D17-J18,"-")</f>
        <v>1512477715</v>
      </c>
      <c r="K21" s="200">
        <f>IF(E12+E17-K18&gt;0,E12+E17-K18,"-")</f>
        <v>1424095807</v>
      </c>
      <c r="L21" s="200">
        <f>IF(F12+F17-L18&gt;0,F12+F17-L18,"-")</f>
        <v>2440747532</v>
      </c>
      <c r="M21" s="605"/>
    </row>
  </sheetData>
  <mergeCells count="4">
    <mergeCell ref="A3:A4"/>
    <mergeCell ref="B3:G3"/>
    <mergeCell ref="H3:M3"/>
    <mergeCell ref="A1:M1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51" orientation="landscape" verticalDpi="300" r:id="rId1"/>
  <headerFooter alignWithMargins="0">
    <oddHeader>&amp;R&amp;"Times New Roman CE,Félkövér dőlt"&amp;12 2.2. melléklet a 7/2018. (V.31.)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view="pageLayout" zoomScaleNormal="100" workbookViewId="0">
      <selection sqref="A1:J1"/>
    </sheetView>
  </sheetViews>
  <sheetFormatPr defaultColWidth="18.296875" defaultRowHeight="13" x14ac:dyDescent="0.3"/>
  <cols>
    <col min="1" max="1" width="9.296875" style="22" customWidth="1"/>
    <col min="2" max="2" width="61" style="23" customWidth="1"/>
    <col min="3" max="3" width="16" style="22" customWidth="1"/>
    <col min="4" max="5" width="13.796875" style="24" customWidth="1"/>
    <col min="6" max="6" width="13.796875" style="23" customWidth="1"/>
    <col min="7" max="8" width="18.296875" style="783"/>
    <col min="9" max="9" width="18.296875" style="784"/>
    <col min="10" max="10" width="13.5" style="616" customWidth="1"/>
    <col min="11" max="16384" width="18.296875" style="23"/>
  </cols>
  <sheetData>
    <row r="1" spans="1:10" ht="43.5" customHeight="1" x14ac:dyDescent="0.3">
      <c r="A1" s="1026" t="s">
        <v>403</v>
      </c>
      <c r="B1" s="1026"/>
      <c r="C1" s="1026"/>
      <c r="D1" s="1026"/>
      <c r="E1" s="1026"/>
      <c r="F1" s="1026"/>
      <c r="G1" s="1026"/>
      <c r="H1" s="1026"/>
      <c r="I1" s="1026"/>
      <c r="J1" s="1026"/>
    </row>
    <row r="2" spans="1:10" ht="15.75" customHeight="1" x14ac:dyDescent="0.3">
      <c r="A2" s="545"/>
      <c r="B2" s="545"/>
      <c r="C2" s="545"/>
      <c r="D2" s="545"/>
      <c r="E2" s="545"/>
      <c r="F2" s="545"/>
      <c r="G2" s="779"/>
      <c r="H2" s="784"/>
      <c r="I2" s="779" t="s">
        <v>799</v>
      </c>
      <c r="J2" s="612" t="s">
        <v>1</v>
      </c>
    </row>
    <row r="3" spans="1:10" s="27" customFormat="1" ht="22.5" customHeight="1" x14ac:dyDescent="0.3">
      <c r="A3" s="1023" t="s">
        <v>286</v>
      </c>
      <c r="B3" s="1023" t="s">
        <v>287</v>
      </c>
      <c r="C3" s="318"/>
      <c r="D3" s="1024" t="s">
        <v>402</v>
      </c>
      <c r="E3" s="1025"/>
      <c r="F3" s="1025"/>
      <c r="G3" s="1025"/>
      <c r="H3" s="1025"/>
      <c r="I3" s="785"/>
      <c r="J3" s="613"/>
    </row>
    <row r="4" spans="1:10" s="28" customFormat="1" ht="25.5" customHeight="1" x14ac:dyDescent="0.3">
      <c r="A4" s="1023"/>
      <c r="B4" s="1023"/>
      <c r="C4" s="319" t="s">
        <v>288</v>
      </c>
      <c r="D4" s="318" t="s">
        <v>289</v>
      </c>
      <c r="E4" s="319" t="s">
        <v>290</v>
      </c>
      <c r="F4" s="318" t="s">
        <v>407</v>
      </c>
      <c r="G4" s="780" t="s">
        <v>959</v>
      </c>
      <c r="H4" s="786" t="s">
        <v>807</v>
      </c>
      <c r="I4" s="787" t="s">
        <v>823</v>
      </c>
      <c r="J4" s="614" t="s">
        <v>824</v>
      </c>
    </row>
    <row r="5" spans="1:10" ht="28.5" customHeight="1" x14ac:dyDescent="0.3">
      <c r="A5" s="320" t="s">
        <v>291</v>
      </c>
      <c r="B5" s="321" t="s">
        <v>292</v>
      </c>
      <c r="C5" s="322" t="s">
        <v>293</v>
      </c>
      <c r="D5" s="323">
        <v>44.75</v>
      </c>
      <c r="E5" s="324">
        <v>4580000</v>
      </c>
      <c r="F5" s="325">
        <f>D5*E5</f>
        <v>204955000</v>
      </c>
      <c r="G5" s="781">
        <f>H5-F5</f>
        <v>0</v>
      </c>
      <c r="H5" s="788">
        <v>204955000</v>
      </c>
      <c r="I5" s="788">
        <v>204955000</v>
      </c>
      <c r="J5" s="615"/>
    </row>
    <row r="6" spans="1:10" ht="29.25" customHeight="1" x14ac:dyDescent="0.3">
      <c r="A6" s="322" t="s">
        <v>294</v>
      </c>
      <c r="B6" s="321" t="s">
        <v>295</v>
      </c>
      <c r="C6" s="320"/>
      <c r="D6" s="326"/>
      <c r="E6" s="326"/>
      <c r="F6" s="325">
        <f>SUM(F7:F10)</f>
        <v>43969616</v>
      </c>
      <c r="G6" s="781">
        <f t="shared" ref="G6:G53" si="0">H6-F6</f>
        <v>0</v>
      </c>
      <c r="H6" s="788">
        <v>43969616</v>
      </c>
      <c r="I6" s="788">
        <v>43969616</v>
      </c>
      <c r="J6" s="615"/>
    </row>
    <row r="7" spans="1:10" ht="28.5" customHeight="1" x14ac:dyDescent="0.3">
      <c r="A7" s="327" t="s">
        <v>296</v>
      </c>
      <c r="B7" s="328" t="s">
        <v>297</v>
      </c>
      <c r="C7" s="327" t="s">
        <v>298</v>
      </c>
      <c r="D7" s="329"/>
      <c r="E7" s="330">
        <v>22300</v>
      </c>
      <c r="F7" s="330">
        <v>0</v>
      </c>
      <c r="G7" s="781">
        <f t="shared" si="0"/>
        <v>22337910</v>
      </c>
      <c r="H7" s="788">
        <v>22337910</v>
      </c>
      <c r="I7" s="788">
        <v>22337910</v>
      </c>
      <c r="J7" s="615"/>
    </row>
    <row r="8" spans="1:10" ht="29.25" customHeight="1" x14ac:dyDescent="0.3">
      <c r="A8" s="327" t="s">
        <v>299</v>
      </c>
      <c r="B8" s="328" t="s">
        <v>300</v>
      </c>
      <c r="C8" s="327" t="s">
        <v>301</v>
      </c>
      <c r="D8" s="329"/>
      <c r="E8" s="329"/>
      <c r="F8" s="330">
        <v>15582166</v>
      </c>
      <c r="G8" s="781">
        <f t="shared" si="0"/>
        <v>0</v>
      </c>
      <c r="H8" s="788">
        <v>15582166</v>
      </c>
      <c r="I8" s="788">
        <v>15582166</v>
      </c>
      <c r="J8" s="615"/>
    </row>
    <row r="9" spans="1:10" ht="23.25" customHeight="1" x14ac:dyDescent="0.3">
      <c r="A9" s="327" t="s">
        <v>302</v>
      </c>
      <c r="B9" s="328" t="s">
        <v>303</v>
      </c>
      <c r="C9" s="327" t="s">
        <v>304</v>
      </c>
      <c r="D9" s="329"/>
      <c r="E9" s="329"/>
      <c r="F9" s="330">
        <v>524700</v>
      </c>
      <c r="G9" s="781">
        <f t="shared" si="0"/>
        <v>0</v>
      </c>
      <c r="H9" s="788">
        <v>524700</v>
      </c>
      <c r="I9" s="788">
        <v>524700</v>
      </c>
      <c r="J9" s="615"/>
    </row>
    <row r="10" spans="1:10" ht="18.75" customHeight="1" x14ac:dyDescent="0.3">
      <c r="A10" s="327" t="s">
        <v>305</v>
      </c>
      <c r="B10" s="328" t="s">
        <v>306</v>
      </c>
      <c r="C10" s="327" t="s">
        <v>301</v>
      </c>
      <c r="D10" s="329"/>
      <c r="E10" s="329"/>
      <c r="F10" s="330">
        <v>27862750</v>
      </c>
      <c r="G10" s="781">
        <f t="shared" si="0"/>
        <v>0</v>
      </c>
      <c r="H10" s="788">
        <v>27862750</v>
      </c>
      <c r="I10" s="788">
        <v>27862750</v>
      </c>
      <c r="J10" s="615"/>
    </row>
    <row r="11" spans="1:10" ht="24" customHeight="1" x14ac:dyDescent="0.3">
      <c r="A11" s="320" t="s">
        <v>307</v>
      </c>
      <c r="B11" s="321" t="s">
        <v>308</v>
      </c>
      <c r="C11" s="320" t="s">
        <v>309</v>
      </c>
      <c r="D11" s="326"/>
      <c r="E11" s="324">
        <v>2700</v>
      </c>
      <c r="F11" s="324">
        <v>47055600</v>
      </c>
      <c r="G11" s="781">
        <f t="shared" si="0"/>
        <v>0</v>
      </c>
      <c r="H11" s="788">
        <v>47055600</v>
      </c>
      <c r="I11" s="788">
        <v>47055600</v>
      </c>
      <c r="J11" s="615"/>
    </row>
    <row r="12" spans="1:10" ht="35.25" customHeight="1" x14ac:dyDescent="0.3">
      <c r="A12" s="320" t="s">
        <v>310</v>
      </c>
      <c r="B12" s="321" t="s">
        <v>311</v>
      </c>
      <c r="C12" s="322" t="s">
        <v>312</v>
      </c>
      <c r="D12" s="326"/>
      <c r="E12" s="324">
        <v>2550</v>
      </c>
      <c r="F12" s="324">
        <v>2144550</v>
      </c>
      <c r="G12" s="781">
        <f t="shared" si="0"/>
        <v>0</v>
      </c>
      <c r="H12" s="788">
        <v>2144550</v>
      </c>
      <c r="I12" s="788">
        <v>2144550</v>
      </c>
      <c r="J12" s="615"/>
    </row>
    <row r="13" spans="1:10" ht="24.75" customHeight="1" x14ac:dyDescent="0.3">
      <c r="A13" s="320" t="s">
        <v>313</v>
      </c>
      <c r="B13" s="321" t="s">
        <v>314</v>
      </c>
      <c r="C13" s="322" t="s">
        <v>315</v>
      </c>
      <c r="D13" s="326"/>
      <c r="E13" s="323">
        <v>1</v>
      </c>
      <c r="F13" s="325">
        <v>1078000</v>
      </c>
      <c r="G13" s="781">
        <f t="shared" si="0"/>
        <v>0</v>
      </c>
      <c r="H13" s="788">
        <v>1078000</v>
      </c>
      <c r="I13" s="788">
        <v>1078000</v>
      </c>
      <c r="J13" s="615"/>
    </row>
    <row r="14" spans="1:10" ht="24.75" customHeight="1" x14ac:dyDescent="0.3">
      <c r="A14" s="320"/>
      <c r="B14" s="321" t="s">
        <v>406</v>
      </c>
      <c r="C14" s="322"/>
      <c r="D14" s="326"/>
      <c r="E14" s="323"/>
      <c r="F14" s="324">
        <v>119555894</v>
      </c>
      <c r="G14" s="781">
        <f t="shared" si="0"/>
        <v>0</v>
      </c>
      <c r="H14" s="788">
        <v>119555894</v>
      </c>
      <c r="I14" s="788">
        <v>119555894</v>
      </c>
      <c r="J14" s="615"/>
    </row>
    <row r="15" spans="1:10" s="27" customFormat="1" ht="31.5" customHeight="1" x14ac:dyDescent="0.3">
      <c r="A15" s="331" t="s">
        <v>316</v>
      </c>
      <c r="B15" s="332" t="s">
        <v>317</v>
      </c>
      <c r="C15" s="331" t="s">
        <v>318</v>
      </c>
      <c r="D15" s="333"/>
      <c r="E15" s="333"/>
      <c r="F15" s="334">
        <f>SUM(F5+F6+F13)</f>
        <v>250002616</v>
      </c>
      <c r="G15" s="781">
        <f t="shared" si="0"/>
        <v>0</v>
      </c>
      <c r="H15" s="789">
        <f t="shared" ref="H15" si="1">SUM(H5+H6+H13)</f>
        <v>250002616</v>
      </c>
      <c r="I15" s="789">
        <f t="shared" ref="I15" si="2">SUM(I5+I6+I13)</f>
        <v>250002616</v>
      </c>
      <c r="J15" s="613"/>
    </row>
    <row r="16" spans="1:10" s="27" customFormat="1" ht="18.75" customHeight="1" x14ac:dyDescent="0.3">
      <c r="A16" s="331" t="s">
        <v>319</v>
      </c>
      <c r="B16" s="333" t="s">
        <v>401</v>
      </c>
      <c r="C16" s="331" t="s">
        <v>318</v>
      </c>
      <c r="D16" s="333" t="s">
        <v>320</v>
      </c>
      <c r="E16" s="333" t="s">
        <v>320</v>
      </c>
      <c r="F16" s="335">
        <v>948944</v>
      </c>
      <c r="G16" s="781">
        <f t="shared" si="0"/>
        <v>0</v>
      </c>
      <c r="H16" s="790">
        <v>948944</v>
      </c>
      <c r="I16" s="790">
        <v>948945</v>
      </c>
      <c r="J16" s="613"/>
    </row>
    <row r="17" spans="1:10" s="530" customFormat="1" ht="30" customHeight="1" x14ac:dyDescent="0.3">
      <c r="A17" s="331" t="s">
        <v>321</v>
      </c>
      <c r="B17" s="332" t="s">
        <v>322</v>
      </c>
      <c r="C17" s="331" t="s">
        <v>318</v>
      </c>
      <c r="D17" s="333"/>
      <c r="E17" s="333"/>
      <c r="F17" s="335">
        <f>SUM(F15:F16)</f>
        <v>250951560</v>
      </c>
      <c r="G17" s="781">
        <f t="shared" si="0"/>
        <v>0</v>
      </c>
      <c r="H17" s="782">
        <f t="shared" ref="H17" si="3">SUM(H15:H16)</f>
        <v>250951560</v>
      </c>
      <c r="I17" s="782">
        <v>250951560</v>
      </c>
      <c r="J17" s="624">
        <f>I17/H17</f>
        <v>1</v>
      </c>
    </row>
    <row r="18" spans="1:10" ht="34.5" customHeight="1" x14ac:dyDescent="0.3">
      <c r="A18" s="320" t="s">
        <v>323</v>
      </c>
      <c r="B18" s="321" t="s">
        <v>324</v>
      </c>
      <c r="C18" s="320"/>
      <c r="D18" s="326"/>
      <c r="E18" s="326"/>
      <c r="F18" s="645">
        <f>SUM(F19:F25)</f>
        <v>211844783.33333337</v>
      </c>
      <c r="G18" s="781">
        <f t="shared" si="0"/>
        <v>2995583.6666666269</v>
      </c>
      <c r="H18" s="791">
        <f>SUM(H19:H26)</f>
        <v>214840367</v>
      </c>
      <c r="I18" s="791">
        <f>SUM(I19:I26)</f>
        <v>214840367</v>
      </c>
      <c r="J18" s="615"/>
    </row>
    <row r="19" spans="1:10" ht="18.75" customHeight="1" x14ac:dyDescent="0.3">
      <c r="A19" s="327" t="s">
        <v>325</v>
      </c>
      <c r="B19" s="329" t="s">
        <v>326</v>
      </c>
      <c r="C19" s="327" t="s">
        <v>309</v>
      </c>
      <c r="D19" s="336">
        <v>36.5</v>
      </c>
      <c r="E19" s="330">
        <v>4469900</v>
      </c>
      <c r="F19" s="330">
        <f>D19*E19/12*8</f>
        <v>108767566.66666667</v>
      </c>
      <c r="G19" s="781">
        <f t="shared" si="0"/>
        <v>0.3333333283662796</v>
      </c>
      <c r="H19" s="788">
        <v>108767567</v>
      </c>
      <c r="I19" s="788">
        <v>108767567</v>
      </c>
      <c r="J19" s="615"/>
    </row>
    <row r="20" spans="1:10" ht="49.5" customHeight="1" x14ac:dyDescent="0.3">
      <c r="A20" s="327" t="s">
        <v>327</v>
      </c>
      <c r="B20" s="328" t="s">
        <v>328</v>
      </c>
      <c r="C20" s="327" t="s">
        <v>309</v>
      </c>
      <c r="D20" s="336">
        <v>24</v>
      </c>
      <c r="E20" s="330">
        <v>1800000</v>
      </c>
      <c r="F20" s="330">
        <f>D20*E20/12*8</f>
        <v>28800000</v>
      </c>
      <c r="G20" s="781">
        <f t="shared" si="0"/>
        <v>0</v>
      </c>
      <c r="H20" s="788">
        <v>28800000</v>
      </c>
      <c r="I20" s="788">
        <v>28800000</v>
      </c>
      <c r="J20" s="615"/>
    </row>
    <row r="21" spans="1:10" ht="45.75" customHeight="1" x14ac:dyDescent="0.3">
      <c r="A21" s="327" t="s">
        <v>329</v>
      </c>
      <c r="B21" s="328" t="s">
        <v>330</v>
      </c>
      <c r="C21" s="327" t="s">
        <v>309</v>
      </c>
      <c r="D21" s="336">
        <v>1</v>
      </c>
      <c r="E21" s="330">
        <v>4469900</v>
      </c>
      <c r="F21" s="330">
        <f>D21*E21/12*8</f>
        <v>2979933.3333333335</v>
      </c>
      <c r="G21" s="781">
        <f t="shared" si="0"/>
        <v>-0.33333333348855376</v>
      </c>
      <c r="H21" s="788">
        <v>2979933</v>
      </c>
      <c r="I21" s="788">
        <v>2979933</v>
      </c>
      <c r="J21" s="615"/>
    </row>
    <row r="22" spans="1:10" ht="18.75" customHeight="1" x14ac:dyDescent="0.3">
      <c r="A22" s="327" t="s">
        <v>331</v>
      </c>
      <c r="B22" s="329" t="s">
        <v>326</v>
      </c>
      <c r="C22" s="327" t="s">
        <v>309</v>
      </c>
      <c r="D22" s="336">
        <v>34.700000000000003</v>
      </c>
      <c r="E22" s="330">
        <v>4469900</v>
      </c>
      <c r="F22" s="330">
        <f>D22*E22/12*4</f>
        <v>51701843.333333336</v>
      </c>
      <c r="G22" s="781">
        <f t="shared" si="0"/>
        <v>4618896.6666666642</v>
      </c>
      <c r="H22" s="788">
        <v>56320740</v>
      </c>
      <c r="I22" s="788">
        <v>56320740</v>
      </c>
      <c r="J22" s="615"/>
    </row>
    <row r="23" spans="1:10" ht="45" customHeight="1" x14ac:dyDescent="0.3">
      <c r="A23" s="327" t="s">
        <v>332</v>
      </c>
      <c r="B23" s="328" t="s">
        <v>328</v>
      </c>
      <c r="C23" s="327" t="s">
        <v>309</v>
      </c>
      <c r="D23" s="336">
        <v>23</v>
      </c>
      <c r="E23" s="330">
        <v>1800000</v>
      </c>
      <c r="F23" s="330">
        <f>D23*E23/12*4</f>
        <v>13800000</v>
      </c>
      <c r="G23" s="781">
        <f t="shared" si="0"/>
        <v>1200000</v>
      </c>
      <c r="H23" s="788">
        <v>15000000</v>
      </c>
      <c r="I23" s="788">
        <v>15000000</v>
      </c>
      <c r="J23" s="615"/>
    </row>
    <row r="24" spans="1:10" ht="45" customHeight="1" x14ac:dyDescent="0.3">
      <c r="A24" s="327" t="s">
        <v>918</v>
      </c>
      <c r="B24" s="328" t="s">
        <v>330</v>
      </c>
      <c r="C24" s="327" t="s">
        <v>309</v>
      </c>
      <c r="D24" s="336"/>
      <c r="E24" s="330">
        <v>4469900</v>
      </c>
      <c r="F24" s="330">
        <v>4469900</v>
      </c>
      <c r="G24" s="781">
        <f t="shared" si="0"/>
        <v>-2979933</v>
      </c>
      <c r="H24" s="788">
        <v>1489967</v>
      </c>
      <c r="I24" s="788">
        <v>1489967</v>
      </c>
      <c r="J24" s="615"/>
    </row>
    <row r="25" spans="1:10" ht="24.75" customHeight="1" x14ac:dyDescent="0.3">
      <c r="A25" s="327" t="s">
        <v>333</v>
      </c>
      <c r="B25" s="328" t="s">
        <v>334</v>
      </c>
      <c r="C25" s="327" t="s">
        <v>309</v>
      </c>
      <c r="D25" s="336">
        <v>34.700000000000003</v>
      </c>
      <c r="E25" s="330">
        <v>38200</v>
      </c>
      <c r="F25" s="330">
        <f>D25*E25</f>
        <v>1325540</v>
      </c>
      <c r="G25" s="781">
        <f t="shared" si="0"/>
        <v>118420</v>
      </c>
      <c r="H25" s="788">
        <v>1443960</v>
      </c>
      <c r="I25" s="788">
        <v>1443960</v>
      </c>
      <c r="J25" s="615"/>
    </row>
    <row r="26" spans="1:10" ht="26" x14ac:dyDescent="0.3">
      <c r="A26" s="327" t="s">
        <v>919</v>
      </c>
      <c r="B26" s="328" t="s">
        <v>920</v>
      </c>
      <c r="C26" s="327" t="s">
        <v>309</v>
      </c>
      <c r="D26" s="336"/>
      <c r="E26" s="330"/>
      <c r="F26" s="330"/>
      <c r="G26" s="781">
        <f t="shared" si="0"/>
        <v>38200</v>
      </c>
      <c r="H26" s="788">
        <v>38200</v>
      </c>
      <c r="I26" s="788">
        <v>38200</v>
      </c>
      <c r="J26" s="615"/>
    </row>
    <row r="27" spans="1:10" ht="18.75" customHeight="1" x14ac:dyDescent="0.3">
      <c r="A27" s="320" t="s">
        <v>335</v>
      </c>
      <c r="B27" s="321" t="s">
        <v>336</v>
      </c>
      <c r="C27" s="320" t="s">
        <v>309</v>
      </c>
      <c r="D27" s="324"/>
      <c r="E27" s="324">
        <v>80000</v>
      </c>
      <c r="F27" s="324"/>
      <c r="G27" s="781">
        <f t="shared" si="0"/>
        <v>0</v>
      </c>
      <c r="H27" s="788"/>
      <c r="I27" s="788"/>
      <c r="J27" s="615"/>
    </row>
    <row r="28" spans="1:10" ht="18.75" customHeight="1" x14ac:dyDescent="0.3">
      <c r="A28" s="320" t="s">
        <v>337</v>
      </c>
      <c r="B28" s="321" t="s">
        <v>338</v>
      </c>
      <c r="C28" s="320" t="s">
        <v>309</v>
      </c>
      <c r="D28" s="324">
        <v>403</v>
      </c>
      <c r="E28" s="324">
        <v>81700</v>
      </c>
      <c r="F28" s="324">
        <f>D28*E28/12*8</f>
        <v>21950066.666666668</v>
      </c>
      <c r="G28" s="781">
        <f t="shared" si="0"/>
        <v>0.3333333320915699</v>
      </c>
      <c r="H28" s="788">
        <v>21950067</v>
      </c>
      <c r="I28" s="788">
        <v>21950067</v>
      </c>
      <c r="J28" s="615"/>
    </row>
    <row r="29" spans="1:10" ht="18.75" customHeight="1" x14ac:dyDescent="0.3">
      <c r="A29" s="320" t="s">
        <v>339</v>
      </c>
      <c r="B29" s="321" t="s">
        <v>336</v>
      </c>
      <c r="C29" s="320" t="s">
        <v>309</v>
      </c>
      <c r="D29" s="324"/>
      <c r="E29" s="324">
        <v>80000</v>
      </c>
      <c r="F29" s="324"/>
      <c r="G29" s="781">
        <f t="shared" si="0"/>
        <v>0</v>
      </c>
      <c r="H29" s="788"/>
      <c r="I29" s="788"/>
      <c r="J29" s="615"/>
    </row>
    <row r="30" spans="1:10" ht="18.75" customHeight="1" x14ac:dyDescent="0.3">
      <c r="A30" s="320" t="s">
        <v>340</v>
      </c>
      <c r="B30" s="321" t="s">
        <v>338</v>
      </c>
      <c r="C30" s="320" t="s">
        <v>309</v>
      </c>
      <c r="D30" s="324">
        <v>383</v>
      </c>
      <c r="E30" s="324">
        <v>81700</v>
      </c>
      <c r="F30" s="324">
        <f>D30*E30/12*4</f>
        <v>10430366.666666666</v>
      </c>
      <c r="G30" s="781">
        <f t="shared" si="0"/>
        <v>980400.33333333395</v>
      </c>
      <c r="H30" s="788">
        <v>11410767</v>
      </c>
      <c r="I30" s="788">
        <v>11410767</v>
      </c>
      <c r="J30" s="615"/>
    </row>
    <row r="31" spans="1:10" ht="18.75" customHeight="1" x14ac:dyDescent="0.3">
      <c r="A31" s="331" t="s">
        <v>341</v>
      </c>
      <c r="B31" s="332" t="s">
        <v>342</v>
      </c>
      <c r="C31" s="331" t="s">
        <v>318</v>
      </c>
      <c r="D31" s="324"/>
      <c r="E31" s="324"/>
      <c r="F31" s="324"/>
      <c r="G31" s="781" t="s">
        <v>799</v>
      </c>
      <c r="H31" s="788"/>
      <c r="I31" s="788"/>
      <c r="J31" s="615"/>
    </row>
    <row r="32" spans="1:10" ht="33.75" customHeight="1" x14ac:dyDescent="0.3">
      <c r="A32" s="322" t="s">
        <v>341</v>
      </c>
      <c r="B32" s="321" t="s">
        <v>343</v>
      </c>
      <c r="C32" s="331"/>
      <c r="D32" s="333"/>
      <c r="E32" s="333"/>
      <c r="F32" s="335">
        <f>SUM(F33:F34)</f>
        <v>2932300</v>
      </c>
      <c r="G32" s="782">
        <f>SUM(G33:G34)</f>
        <v>1284628</v>
      </c>
      <c r="H32" s="782">
        <f t="shared" ref="H32" si="4">SUM(H33:H34)</f>
        <v>4216928</v>
      </c>
      <c r="I32" s="782">
        <f t="shared" ref="I32" si="5">SUM(I33:I34)</f>
        <v>4216928</v>
      </c>
      <c r="J32" s="615"/>
    </row>
    <row r="33" spans="1:10" ht="37.5" customHeight="1" x14ac:dyDescent="0.3">
      <c r="A33" s="320" t="s">
        <v>344</v>
      </c>
      <c r="B33" s="321" t="s">
        <v>345</v>
      </c>
      <c r="C33" s="320" t="s">
        <v>309</v>
      </c>
      <c r="D33" s="324">
        <v>7</v>
      </c>
      <c r="E33" s="324">
        <v>418900</v>
      </c>
      <c r="F33" s="324">
        <f>D33*E33</f>
        <v>2932300</v>
      </c>
      <c r="G33" s="781">
        <f t="shared" si="0"/>
        <v>-251340</v>
      </c>
      <c r="H33" s="788">
        <v>2680960</v>
      </c>
      <c r="I33" s="788">
        <v>2680960</v>
      </c>
      <c r="J33" s="615"/>
    </row>
    <row r="34" spans="1:10" ht="44.25" customHeight="1" x14ac:dyDescent="0.3">
      <c r="A34" s="320" t="s">
        <v>346</v>
      </c>
      <c r="B34" s="321" t="s">
        <v>347</v>
      </c>
      <c r="C34" s="320" t="s">
        <v>309</v>
      </c>
      <c r="D34" s="324"/>
      <c r="E34" s="324">
        <v>383992</v>
      </c>
      <c r="F34" s="324"/>
      <c r="G34" s="781">
        <f t="shared" si="0"/>
        <v>1535968</v>
      </c>
      <c r="H34" s="788">
        <v>1535968</v>
      </c>
      <c r="I34" s="788">
        <v>1535968</v>
      </c>
      <c r="J34" s="615"/>
    </row>
    <row r="35" spans="1:10" s="27" customFormat="1" ht="30.75" customHeight="1" x14ac:dyDescent="0.3">
      <c r="A35" s="331" t="s">
        <v>348</v>
      </c>
      <c r="B35" s="332" t="s">
        <v>349</v>
      </c>
      <c r="C35" s="331" t="s">
        <v>318</v>
      </c>
      <c r="D35" s="333"/>
      <c r="E35" s="333"/>
      <c r="F35" s="335">
        <f>SUM(F18+F27+F28+F29+F30+F32)</f>
        <v>247157516.66666669</v>
      </c>
      <c r="G35" s="782">
        <f>SUM(G18+G27+G28+G29+G30+G32)</f>
        <v>5260612.333333293</v>
      </c>
      <c r="H35" s="782">
        <f>SUM(H18+H27+H28+H29+H30+H32)</f>
        <v>252418129</v>
      </c>
      <c r="I35" s="782">
        <v>252418129</v>
      </c>
      <c r="J35" s="614">
        <f>I35/H35</f>
        <v>1</v>
      </c>
    </row>
    <row r="36" spans="1:10" s="27" customFormat="1" ht="29.25" customHeight="1" x14ac:dyDescent="0.3">
      <c r="A36" s="331" t="s">
        <v>350</v>
      </c>
      <c r="B36" s="332" t="s">
        <v>351</v>
      </c>
      <c r="C36" s="331" t="s">
        <v>318</v>
      </c>
      <c r="D36" s="333"/>
      <c r="E36" s="333"/>
      <c r="F36" s="335">
        <v>71143000</v>
      </c>
      <c r="G36" s="781">
        <f t="shared" si="0"/>
        <v>0</v>
      </c>
      <c r="H36" s="790">
        <v>71143000</v>
      </c>
      <c r="I36" s="790">
        <v>71143000</v>
      </c>
      <c r="J36" s="613"/>
    </row>
    <row r="37" spans="1:10" ht="22.5" customHeight="1" x14ac:dyDescent="0.3">
      <c r="A37" s="320" t="s">
        <v>352</v>
      </c>
      <c r="B37" s="321" t="s">
        <v>353</v>
      </c>
      <c r="C37" s="322" t="s">
        <v>354</v>
      </c>
      <c r="D37" s="326"/>
      <c r="E37" s="324">
        <v>3000000</v>
      </c>
      <c r="F37" s="324">
        <f>E37*4.2</f>
        <v>12600000</v>
      </c>
      <c r="G37" s="781">
        <f t="shared" si="0"/>
        <v>0</v>
      </c>
      <c r="H37" s="788">
        <v>12600000</v>
      </c>
      <c r="I37" s="788">
        <v>12600000</v>
      </c>
      <c r="J37" s="615"/>
    </row>
    <row r="38" spans="1:10" ht="22.5" customHeight="1" x14ac:dyDescent="0.3">
      <c r="A38" s="320" t="s">
        <v>355</v>
      </c>
      <c r="B38" s="321" t="s">
        <v>356</v>
      </c>
      <c r="C38" s="322" t="s">
        <v>354</v>
      </c>
      <c r="D38" s="326"/>
      <c r="E38" s="324">
        <v>3000000</v>
      </c>
      <c r="F38" s="324">
        <f>E38*4.4</f>
        <v>13200000.000000002</v>
      </c>
      <c r="G38" s="781">
        <f t="shared" si="0"/>
        <v>0</v>
      </c>
      <c r="H38" s="788">
        <v>13200000</v>
      </c>
      <c r="I38" s="788">
        <v>13200000</v>
      </c>
      <c r="J38" s="615"/>
    </row>
    <row r="39" spans="1:10" ht="18.75" customHeight="1" x14ac:dyDescent="0.3">
      <c r="A39" s="320" t="s">
        <v>357</v>
      </c>
      <c r="B39" s="321" t="s">
        <v>358</v>
      </c>
      <c r="C39" s="320" t="s">
        <v>309</v>
      </c>
      <c r="D39" s="324"/>
      <c r="E39" s="324">
        <v>55360</v>
      </c>
      <c r="F39" s="324"/>
      <c r="G39" s="781">
        <f t="shared" si="0"/>
        <v>0</v>
      </c>
      <c r="H39" s="788"/>
      <c r="I39" s="788"/>
      <c r="J39" s="615"/>
    </row>
    <row r="40" spans="1:10" ht="18.75" customHeight="1" x14ac:dyDescent="0.3">
      <c r="A40" s="320" t="s">
        <v>359</v>
      </c>
      <c r="B40" s="321" t="s">
        <v>360</v>
      </c>
      <c r="C40" s="320" t="s">
        <v>309</v>
      </c>
      <c r="D40" s="324">
        <v>208</v>
      </c>
      <c r="E40" s="324">
        <v>60896</v>
      </c>
      <c r="F40" s="324">
        <f>D40*E40</f>
        <v>12666368</v>
      </c>
      <c r="G40" s="781">
        <f t="shared" si="0"/>
        <v>243584</v>
      </c>
      <c r="H40" s="788">
        <v>12909952</v>
      </c>
      <c r="I40" s="788">
        <v>12909952</v>
      </c>
      <c r="J40" s="615"/>
    </row>
    <row r="41" spans="1:10" ht="18.75" customHeight="1" x14ac:dyDescent="0.3">
      <c r="A41" s="320" t="s">
        <v>361</v>
      </c>
      <c r="B41" s="321" t="s">
        <v>362</v>
      </c>
      <c r="C41" s="320" t="s">
        <v>309</v>
      </c>
      <c r="D41" s="324"/>
      <c r="E41" s="324"/>
      <c r="F41" s="324"/>
      <c r="G41" s="781">
        <f t="shared" si="0"/>
        <v>0</v>
      </c>
      <c r="H41" s="788"/>
      <c r="I41" s="788"/>
      <c r="J41" s="615"/>
    </row>
    <row r="42" spans="1:10" ht="18.75" customHeight="1" x14ac:dyDescent="0.3">
      <c r="A42" s="320" t="s">
        <v>363</v>
      </c>
      <c r="B42" s="321" t="s">
        <v>364</v>
      </c>
      <c r="C42" s="320" t="s">
        <v>309</v>
      </c>
      <c r="D42" s="324"/>
      <c r="E42" s="324"/>
      <c r="F42" s="324"/>
      <c r="G42" s="781">
        <f t="shared" si="0"/>
        <v>0</v>
      </c>
      <c r="H42" s="788"/>
      <c r="I42" s="788"/>
      <c r="J42" s="615"/>
    </row>
    <row r="43" spans="1:10" ht="18.75" customHeight="1" x14ac:dyDescent="0.3">
      <c r="A43" s="320" t="s">
        <v>365</v>
      </c>
      <c r="B43" s="321" t="s">
        <v>366</v>
      </c>
      <c r="C43" s="320" t="s">
        <v>309</v>
      </c>
      <c r="D43" s="324">
        <v>4</v>
      </c>
      <c r="E43" s="324">
        <v>25000</v>
      </c>
      <c r="F43" s="324">
        <f>D43*E43</f>
        <v>100000</v>
      </c>
      <c r="G43" s="781">
        <f t="shared" si="0"/>
        <v>0</v>
      </c>
      <c r="H43" s="788">
        <v>100000</v>
      </c>
      <c r="I43" s="788">
        <v>100000</v>
      </c>
      <c r="J43" s="615"/>
    </row>
    <row r="44" spans="1:10" ht="18.75" customHeight="1" x14ac:dyDescent="0.3">
      <c r="A44" s="320" t="s">
        <v>367</v>
      </c>
      <c r="B44" s="321" t="s">
        <v>368</v>
      </c>
      <c r="C44" s="320" t="s">
        <v>309</v>
      </c>
      <c r="D44" s="324"/>
      <c r="E44" s="324">
        <v>210000</v>
      </c>
      <c r="F44" s="324"/>
      <c r="G44" s="781">
        <f t="shared" si="0"/>
        <v>0</v>
      </c>
      <c r="H44" s="788"/>
      <c r="I44" s="788"/>
      <c r="J44" s="615"/>
    </row>
    <row r="45" spans="1:10" ht="25.5" customHeight="1" x14ac:dyDescent="0.3">
      <c r="A45" s="320" t="s">
        <v>369</v>
      </c>
      <c r="B45" s="321" t="s">
        <v>370</v>
      </c>
      <c r="C45" s="320" t="s">
        <v>309</v>
      </c>
      <c r="D45" s="324">
        <v>67</v>
      </c>
      <c r="E45" s="324">
        <v>273000</v>
      </c>
      <c r="F45" s="324">
        <f>D45*E45</f>
        <v>18291000</v>
      </c>
      <c r="G45" s="781">
        <f t="shared" si="0"/>
        <v>-1638000</v>
      </c>
      <c r="H45" s="788">
        <v>16653000</v>
      </c>
      <c r="I45" s="788">
        <v>16653000</v>
      </c>
      <c r="J45" s="615"/>
    </row>
    <row r="46" spans="1:10" ht="30" customHeight="1" x14ac:dyDescent="0.3">
      <c r="A46" s="320" t="s">
        <v>371</v>
      </c>
      <c r="B46" s="321" t="s">
        <v>372</v>
      </c>
      <c r="C46" s="320" t="s">
        <v>309</v>
      </c>
      <c r="D46" s="324">
        <v>100</v>
      </c>
      <c r="E46" s="324">
        <v>163500</v>
      </c>
      <c r="F46" s="324">
        <f>D46*E46</f>
        <v>16350000</v>
      </c>
      <c r="G46" s="781">
        <f t="shared" si="0"/>
        <v>-163500</v>
      </c>
      <c r="H46" s="788">
        <v>16186500</v>
      </c>
      <c r="I46" s="788">
        <v>16186500</v>
      </c>
      <c r="J46" s="615"/>
    </row>
    <row r="47" spans="1:10" ht="22.5" customHeight="1" x14ac:dyDescent="0.3">
      <c r="A47" s="320" t="s">
        <v>373</v>
      </c>
      <c r="B47" s="321" t="s">
        <v>374</v>
      </c>
      <c r="C47" s="320" t="s">
        <v>309</v>
      </c>
      <c r="D47" s="324"/>
      <c r="E47" s="324">
        <v>500000</v>
      </c>
      <c r="F47" s="324"/>
      <c r="G47" s="781">
        <f t="shared" si="0"/>
        <v>0</v>
      </c>
      <c r="H47" s="788"/>
      <c r="I47" s="788"/>
      <c r="J47" s="615"/>
    </row>
    <row r="48" spans="1:10" ht="33.75" customHeight="1" x14ac:dyDescent="0.3">
      <c r="A48" s="320" t="s">
        <v>375</v>
      </c>
      <c r="B48" s="321" t="s">
        <v>376</v>
      </c>
      <c r="C48" s="320" t="s">
        <v>309</v>
      </c>
      <c r="D48" s="324">
        <v>10</v>
      </c>
      <c r="E48" s="324">
        <v>550000</v>
      </c>
      <c r="F48" s="324">
        <f>D48*E48</f>
        <v>5500000</v>
      </c>
      <c r="G48" s="781">
        <f t="shared" si="0"/>
        <v>550000</v>
      </c>
      <c r="H48" s="788">
        <v>6050000</v>
      </c>
      <c r="I48" s="788">
        <v>6050000</v>
      </c>
      <c r="J48" s="615"/>
    </row>
    <row r="49" spans="1:10" ht="33.75" customHeight="1" x14ac:dyDescent="0.3">
      <c r="A49" s="320" t="s">
        <v>377</v>
      </c>
      <c r="B49" s="321" t="s">
        <v>378</v>
      </c>
      <c r="C49" s="320" t="s">
        <v>309</v>
      </c>
      <c r="D49" s="323">
        <v>15</v>
      </c>
      <c r="E49" s="324">
        <v>2606400</v>
      </c>
      <c r="F49" s="324">
        <v>39090600</v>
      </c>
      <c r="G49" s="781">
        <f t="shared" si="0"/>
        <v>0</v>
      </c>
      <c r="H49" s="788">
        <v>39090600</v>
      </c>
      <c r="I49" s="788">
        <v>39090600</v>
      </c>
      <c r="J49" s="615"/>
    </row>
    <row r="50" spans="1:10" ht="18.75" customHeight="1" x14ac:dyDescent="0.3">
      <c r="A50" s="320" t="s">
        <v>379</v>
      </c>
      <c r="B50" s="321" t="s">
        <v>380</v>
      </c>
      <c r="C50" s="320" t="s">
        <v>318</v>
      </c>
      <c r="D50" s="326" t="s">
        <v>320</v>
      </c>
      <c r="E50" s="324"/>
      <c r="F50" s="324">
        <v>17270000</v>
      </c>
      <c r="G50" s="781">
        <f t="shared" si="0"/>
        <v>-1957000</v>
      </c>
      <c r="H50" s="788">
        <v>15313000</v>
      </c>
      <c r="I50" s="788">
        <v>15313000</v>
      </c>
      <c r="J50" s="615"/>
    </row>
    <row r="51" spans="1:10" ht="27" customHeight="1" x14ac:dyDescent="0.3">
      <c r="A51" s="320" t="s">
        <v>382</v>
      </c>
      <c r="B51" s="321" t="s">
        <v>383</v>
      </c>
      <c r="C51" s="320" t="s">
        <v>309</v>
      </c>
      <c r="D51" s="323">
        <v>27.17</v>
      </c>
      <c r="E51" s="324">
        <v>1632000</v>
      </c>
      <c r="F51" s="324">
        <f>D51*E51</f>
        <v>44341440</v>
      </c>
      <c r="G51" s="781">
        <f t="shared" si="0"/>
        <v>-3916800</v>
      </c>
      <c r="H51" s="788">
        <v>40424640</v>
      </c>
      <c r="I51" s="788">
        <v>40424640</v>
      </c>
      <c r="J51" s="615"/>
    </row>
    <row r="52" spans="1:10" ht="18.75" customHeight="1" x14ac:dyDescent="0.3">
      <c r="A52" s="320" t="s">
        <v>384</v>
      </c>
      <c r="B52" s="321" t="s">
        <v>385</v>
      </c>
      <c r="C52" s="320" t="s">
        <v>318</v>
      </c>
      <c r="D52" s="324">
        <v>1106</v>
      </c>
      <c r="E52" s="326"/>
      <c r="F52" s="324">
        <v>67864670</v>
      </c>
      <c r="G52" s="781">
        <f t="shared" si="0"/>
        <v>4817794</v>
      </c>
      <c r="H52" s="788">
        <v>72682464</v>
      </c>
      <c r="I52" s="788">
        <v>72682464</v>
      </c>
      <c r="J52" s="615"/>
    </row>
    <row r="53" spans="1:10" ht="29.25" customHeight="1" x14ac:dyDescent="0.3">
      <c r="A53" s="320" t="s">
        <v>386</v>
      </c>
      <c r="B53" s="321" t="s">
        <v>387</v>
      </c>
      <c r="C53" s="320" t="s">
        <v>318</v>
      </c>
      <c r="D53" s="324">
        <v>16252</v>
      </c>
      <c r="E53" s="324">
        <v>513</v>
      </c>
      <c r="F53" s="324">
        <f>D53*E53</f>
        <v>8337276</v>
      </c>
      <c r="G53" s="781">
        <f t="shared" si="0"/>
        <v>-3400677</v>
      </c>
      <c r="H53" s="788">
        <v>4936599</v>
      </c>
      <c r="I53" s="788">
        <v>4936599</v>
      </c>
      <c r="J53" s="615"/>
    </row>
    <row r="54" spans="1:10" s="27" customFormat="1" ht="31.5" customHeight="1" x14ac:dyDescent="0.3">
      <c r="A54" s="331" t="s">
        <v>388</v>
      </c>
      <c r="B54" s="332" t="s">
        <v>389</v>
      </c>
      <c r="C54" s="331" t="s">
        <v>318</v>
      </c>
      <c r="D54" s="333"/>
      <c r="E54" s="333"/>
      <c r="F54" s="531">
        <f>SUM(F36:F53)</f>
        <v>326754354</v>
      </c>
      <c r="G54" s="782">
        <f>SUM(G36:G53)</f>
        <v>-5464599</v>
      </c>
      <c r="H54" s="782">
        <f t="shared" ref="H54" si="6">SUM(H36:H53)</f>
        <v>321289755</v>
      </c>
      <c r="I54" s="782">
        <v>321289755</v>
      </c>
      <c r="J54" s="614">
        <f>I54/H54</f>
        <v>1</v>
      </c>
    </row>
    <row r="55" spans="1:10" ht="38.25" customHeight="1" x14ac:dyDescent="0.3">
      <c r="A55" s="320" t="s">
        <v>390</v>
      </c>
      <c r="B55" s="321" t="s">
        <v>391</v>
      </c>
      <c r="C55" s="320" t="s">
        <v>392</v>
      </c>
      <c r="D55" s="324">
        <v>17428</v>
      </c>
      <c r="E55" s="324">
        <v>1140</v>
      </c>
      <c r="F55" s="324">
        <f>D55*E55</f>
        <v>19867920</v>
      </c>
      <c r="G55" s="781">
        <f>H55-F55</f>
        <v>0</v>
      </c>
      <c r="H55" s="788">
        <v>19867920</v>
      </c>
      <c r="I55" s="788">
        <v>19867920</v>
      </c>
      <c r="J55" s="626"/>
    </row>
    <row r="56" spans="1:10" ht="37.5" customHeight="1" x14ac:dyDescent="0.3">
      <c r="A56" s="320" t="s">
        <v>393</v>
      </c>
      <c r="B56" s="321" t="s">
        <v>394</v>
      </c>
      <c r="C56" s="320" t="s">
        <v>392</v>
      </c>
      <c r="D56" s="326"/>
      <c r="E56" s="326"/>
      <c r="F56" s="324">
        <v>6906000</v>
      </c>
      <c r="G56" s="781">
        <f t="shared" ref="G56:G58" si="7">H56-F56</f>
        <v>0</v>
      </c>
      <c r="H56" s="788">
        <v>6906000</v>
      </c>
      <c r="I56" s="788">
        <v>6906000</v>
      </c>
      <c r="J56" s="615"/>
    </row>
    <row r="57" spans="1:10" ht="37.5" customHeight="1" x14ac:dyDescent="0.3">
      <c r="A57" s="320" t="s">
        <v>838</v>
      </c>
      <c r="B57" s="321" t="s">
        <v>839</v>
      </c>
      <c r="C57" s="320" t="s">
        <v>392</v>
      </c>
      <c r="D57" s="326"/>
      <c r="E57" s="326"/>
      <c r="F57" s="645">
        <v>0</v>
      </c>
      <c r="G57" s="781">
        <f t="shared" si="7"/>
        <v>1210954</v>
      </c>
      <c r="H57" s="788">
        <v>1210954</v>
      </c>
      <c r="I57" s="788">
        <v>1210954</v>
      </c>
      <c r="J57" s="615"/>
    </row>
    <row r="58" spans="1:10" ht="39" customHeight="1" x14ac:dyDescent="0.3">
      <c r="A58" s="320" t="s">
        <v>395</v>
      </c>
      <c r="B58" s="321" t="s">
        <v>396</v>
      </c>
      <c r="C58" s="320" t="s">
        <v>392</v>
      </c>
      <c r="D58" s="326"/>
      <c r="E58" s="326"/>
      <c r="F58" s="645">
        <f>SUM(F55:F57)</f>
        <v>26773920</v>
      </c>
      <c r="G58" s="781">
        <f t="shared" si="7"/>
        <v>1210954</v>
      </c>
      <c r="H58" s="791">
        <v>27984874</v>
      </c>
      <c r="I58" s="791">
        <v>27984874</v>
      </c>
      <c r="J58" s="615"/>
    </row>
    <row r="59" spans="1:10" s="27" customFormat="1" ht="18" customHeight="1" x14ac:dyDescent="0.3">
      <c r="A59" s="331" t="s">
        <v>397</v>
      </c>
      <c r="B59" s="332" t="s">
        <v>398</v>
      </c>
      <c r="C59" s="331" t="s">
        <v>392</v>
      </c>
      <c r="D59" s="333"/>
      <c r="E59" s="333"/>
      <c r="F59" s="335">
        <f>F58</f>
        <v>26773920</v>
      </c>
      <c r="G59" s="782">
        <f>G58</f>
        <v>1210954</v>
      </c>
      <c r="H59" s="782">
        <f t="shared" ref="H59" si="8">H58</f>
        <v>27984874</v>
      </c>
      <c r="I59" s="782">
        <v>27984874</v>
      </c>
      <c r="J59" s="614">
        <f>I59/H59</f>
        <v>1</v>
      </c>
    </row>
    <row r="60" spans="1:10" s="27" customFormat="1" ht="18" customHeight="1" x14ac:dyDescent="0.3">
      <c r="A60" s="331" t="s">
        <v>808</v>
      </c>
      <c r="B60" s="332" t="s">
        <v>809</v>
      </c>
      <c r="C60" s="331" t="s">
        <v>392</v>
      </c>
      <c r="D60" s="333"/>
      <c r="E60" s="333"/>
      <c r="F60" s="335"/>
      <c r="G60" s="778">
        <f>H60-F60</f>
        <v>70052992</v>
      </c>
      <c r="H60" s="625">
        <v>70052992</v>
      </c>
      <c r="I60" s="625">
        <v>70052992</v>
      </c>
      <c r="J60" s="614">
        <f>I60/H60</f>
        <v>1</v>
      </c>
    </row>
    <row r="61" spans="1:10" s="27" customFormat="1" ht="21.75" customHeight="1" x14ac:dyDescent="0.3">
      <c r="A61" s="331"/>
      <c r="B61" s="333" t="s">
        <v>399</v>
      </c>
      <c r="C61" s="337"/>
      <c r="D61" s="338"/>
      <c r="E61" s="338"/>
      <c r="F61" s="335">
        <f>F17+F35+F54+F59+F60</f>
        <v>851637350.66666675</v>
      </c>
      <c r="G61" s="782">
        <f>G17+G35+G54+G59+G60</f>
        <v>71059959.333333299</v>
      </c>
      <c r="H61" s="782">
        <f t="shared" ref="H61:I61" si="9">H17+H35+H54+H59+H60</f>
        <v>922697310</v>
      </c>
      <c r="I61" s="782">
        <f t="shared" si="9"/>
        <v>922697310</v>
      </c>
      <c r="J61" s="613"/>
    </row>
    <row r="65" spans="1:6" ht="18.75" customHeight="1" x14ac:dyDescent="0.3">
      <c r="C65" s="201"/>
      <c r="D65" s="201"/>
      <c r="E65" s="201"/>
      <c r="F65" s="25"/>
    </row>
    <row r="66" spans="1:6" ht="18.75" customHeight="1" x14ac:dyDescent="0.3">
      <c r="C66" s="202"/>
      <c r="D66" s="202"/>
      <c r="E66" s="202"/>
      <c r="F66" s="26"/>
    </row>
    <row r="67" spans="1:6" ht="18.75" customHeight="1" x14ac:dyDescent="0.3">
      <c r="C67" s="201"/>
      <c r="D67" s="201"/>
      <c r="E67" s="201"/>
      <c r="F67" s="25"/>
    </row>
    <row r="68" spans="1:6" ht="18.75" customHeight="1" x14ac:dyDescent="0.3">
      <c r="A68" s="23"/>
      <c r="C68" s="201"/>
      <c r="D68" s="201"/>
      <c r="E68" s="201"/>
      <c r="F68" s="25"/>
    </row>
    <row r="69" spans="1:6" ht="18.75" customHeight="1" x14ac:dyDescent="0.3">
      <c r="A69" s="23"/>
      <c r="C69" s="201"/>
      <c r="D69" s="201"/>
      <c r="E69" s="201"/>
      <c r="F69" s="25"/>
    </row>
    <row r="70" spans="1:6" ht="18.75" customHeight="1" x14ac:dyDescent="0.3">
      <c r="A70" s="23"/>
      <c r="C70" s="203"/>
      <c r="D70" s="203"/>
      <c r="E70" s="203"/>
      <c r="F70" s="26"/>
    </row>
    <row r="71" spans="1:6" x14ac:dyDescent="0.3">
      <c r="A71" s="23"/>
      <c r="D71" s="22"/>
    </row>
  </sheetData>
  <mergeCells count="4">
    <mergeCell ref="A3:A4"/>
    <mergeCell ref="B3:B4"/>
    <mergeCell ref="D3:H3"/>
    <mergeCell ref="A1:J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3" orientation="portrait" r:id="rId1"/>
  <headerFooter>
    <oddHeader>&amp;R&amp;"Times New Roman CE,Félkövér dőlt"&amp;11 3. melléklet a 7/2018.(V.31.)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Layout" topLeftCell="A4" zoomScaleNormal="100" workbookViewId="0">
      <selection sqref="A1:N1"/>
    </sheetView>
  </sheetViews>
  <sheetFormatPr defaultColWidth="9.296875" defaultRowHeight="13" x14ac:dyDescent="0.3"/>
  <cols>
    <col min="1" max="1" width="6.796875" style="147" customWidth="1"/>
    <col min="2" max="2" width="32" style="147" customWidth="1"/>
    <col min="3" max="3" width="10.296875" style="148" customWidth="1"/>
    <col min="4" max="4" width="10.296875" style="147" customWidth="1"/>
    <col min="5" max="5" width="17.19921875" style="147" customWidth="1"/>
    <col min="6" max="6" width="12.796875" style="147" customWidth="1"/>
    <col min="7" max="7" width="14.296875" style="147" customWidth="1"/>
    <col min="8" max="8" width="13.19921875" style="147" customWidth="1"/>
    <col min="9" max="9" width="14.5" style="147" bestFit="1" customWidth="1"/>
    <col min="10" max="11" width="13.19921875" style="147" customWidth="1"/>
    <col min="12" max="12" width="16.5" style="147" customWidth="1"/>
    <col min="13" max="13" width="14.19921875" style="147" customWidth="1"/>
    <col min="14" max="14" width="16.796875" style="147" customWidth="1"/>
    <col min="15" max="16384" width="9.296875" style="147"/>
  </cols>
  <sheetData>
    <row r="1" spans="1:14" ht="37.5" customHeight="1" x14ac:dyDescent="0.3">
      <c r="A1" s="1028" t="s">
        <v>1166</v>
      </c>
      <c r="B1" s="1028"/>
      <c r="C1" s="1028"/>
      <c r="D1" s="1028"/>
      <c r="E1" s="1028"/>
      <c r="F1" s="1028"/>
      <c r="G1" s="1028"/>
      <c r="H1" s="1028"/>
      <c r="I1" s="1028"/>
      <c r="J1" s="1028"/>
      <c r="K1" s="1028"/>
      <c r="L1" s="1028"/>
      <c r="M1" s="1028"/>
      <c r="N1" s="1028"/>
    </row>
    <row r="2" spans="1:14" ht="15.75" customHeight="1" x14ac:dyDescent="0.3">
      <c r="M2" s="1029" t="s">
        <v>1</v>
      </c>
      <c r="N2" s="1029"/>
    </row>
    <row r="3" spans="1:14" ht="18" customHeight="1" x14ac:dyDescent="0.3">
      <c r="A3" s="1027" t="s">
        <v>404</v>
      </c>
      <c r="B3" s="1027" t="s">
        <v>267</v>
      </c>
      <c r="C3" s="1027" t="s">
        <v>651</v>
      </c>
      <c r="D3" s="1027" t="s">
        <v>652</v>
      </c>
      <c r="E3" s="1027" t="s">
        <v>653</v>
      </c>
      <c r="F3" s="1027" t="s">
        <v>654</v>
      </c>
      <c r="G3" s="1027"/>
      <c r="H3" s="1027"/>
      <c r="I3" s="1030" t="s">
        <v>655</v>
      </c>
      <c r="J3" s="1030"/>
      <c r="K3" s="1030"/>
      <c r="L3" s="1030"/>
      <c r="M3" s="1030"/>
      <c r="N3" s="1030"/>
    </row>
    <row r="4" spans="1:14" ht="18" customHeight="1" x14ac:dyDescent="0.3">
      <c r="A4" s="1027"/>
      <c r="B4" s="1027"/>
      <c r="C4" s="1027"/>
      <c r="D4" s="1027"/>
      <c r="E4" s="1027"/>
      <c r="F4" s="1027"/>
      <c r="G4" s="1027"/>
      <c r="H4" s="1027"/>
      <c r="I4" s="1027" t="s">
        <v>656</v>
      </c>
      <c r="J4" s="1027"/>
      <c r="K4" s="1027"/>
      <c r="L4" s="1027"/>
      <c r="M4" s="1027" t="s">
        <v>657</v>
      </c>
      <c r="N4" s="1027"/>
    </row>
    <row r="5" spans="1:14" ht="18.75" customHeight="1" x14ac:dyDescent="0.3">
      <c r="A5" s="1027"/>
      <c r="B5" s="1027"/>
      <c r="C5" s="1027"/>
      <c r="D5" s="1027"/>
      <c r="E5" s="1027"/>
      <c r="F5" s="1027" t="s">
        <v>658</v>
      </c>
      <c r="G5" s="1027" t="s">
        <v>434</v>
      </c>
      <c r="H5" s="1027" t="s">
        <v>659</v>
      </c>
      <c r="I5" s="1027" t="s">
        <v>660</v>
      </c>
      <c r="J5" s="1027"/>
      <c r="K5" s="1027" t="s">
        <v>723</v>
      </c>
      <c r="L5" s="1027" t="s">
        <v>661</v>
      </c>
      <c r="M5" s="1027" t="s">
        <v>660</v>
      </c>
      <c r="N5" s="1027" t="s">
        <v>661</v>
      </c>
    </row>
    <row r="6" spans="1:14" ht="58.5" customHeight="1" x14ac:dyDescent="0.3">
      <c r="A6" s="1027"/>
      <c r="B6" s="1027"/>
      <c r="C6" s="1027" t="s">
        <v>662</v>
      </c>
      <c r="D6" s="1027"/>
      <c r="E6" s="1027"/>
      <c r="F6" s="1027"/>
      <c r="G6" s="1027"/>
      <c r="H6" s="1027"/>
      <c r="I6" s="339" t="s">
        <v>405</v>
      </c>
      <c r="J6" s="339" t="s">
        <v>663</v>
      </c>
      <c r="K6" s="1027"/>
      <c r="L6" s="1027"/>
      <c r="M6" s="1027"/>
      <c r="N6" s="1027"/>
    </row>
    <row r="7" spans="1:14" ht="25.5" customHeight="1" x14ac:dyDescent="0.3">
      <c r="A7" s="340" t="s">
        <v>10</v>
      </c>
      <c r="B7" s="341" t="s">
        <v>593</v>
      </c>
      <c r="C7" s="342" t="s">
        <v>721</v>
      </c>
      <c r="D7" s="342" t="s">
        <v>720</v>
      </c>
      <c r="E7" s="343">
        <v>32320000</v>
      </c>
      <c r="F7" s="343"/>
      <c r="G7" s="343">
        <v>32320000</v>
      </c>
      <c r="H7" s="343"/>
      <c r="J7" s="343">
        <v>32320000</v>
      </c>
      <c r="K7" s="343">
        <v>32320000</v>
      </c>
      <c r="L7" s="343"/>
      <c r="M7" s="343"/>
      <c r="N7" s="343"/>
    </row>
    <row r="8" spans="1:14" ht="25.5" customHeight="1" x14ac:dyDescent="0.3">
      <c r="A8" s="340" t="s">
        <v>13</v>
      </c>
      <c r="B8" s="344" t="s">
        <v>649</v>
      </c>
      <c r="C8" s="342" t="s">
        <v>720</v>
      </c>
      <c r="D8" s="342" t="s">
        <v>720</v>
      </c>
      <c r="E8" s="343">
        <v>3000000</v>
      </c>
      <c r="F8" s="343"/>
      <c r="G8" s="343">
        <v>3000000</v>
      </c>
      <c r="H8" s="343"/>
      <c r="I8" s="343">
        <v>3000000</v>
      </c>
      <c r="J8" s="343"/>
      <c r="K8" s="343"/>
      <c r="L8" s="343">
        <v>3000000</v>
      </c>
      <c r="M8" s="343"/>
      <c r="N8" s="343"/>
    </row>
    <row r="9" spans="1:14" ht="25.5" customHeight="1" x14ac:dyDescent="0.3">
      <c r="A9" s="340" t="s">
        <v>16</v>
      </c>
      <c r="B9" s="344" t="s">
        <v>650</v>
      </c>
      <c r="C9" s="342">
        <v>2017</v>
      </c>
      <c r="D9" s="342">
        <v>2017</v>
      </c>
      <c r="E9" s="343">
        <v>10000000</v>
      </c>
      <c r="F9" s="343"/>
      <c r="G9" s="343">
        <v>10000000</v>
      </c>
      <c r="H9" s="343"/>
      <c r="I9" s="343">
        <v>10000000</v>
      </c>
      <c r="J9" s="343"/>
      <c r="K9" s="343"/>
      <c r="L9" s="343">
        <v>10000000</v>
      </c>
      <c r="M9" s="343"/>
      <c r="N9" s="343"/>
    </row>
    <row r="10" spans="1:14" ht="25.5" customHeight="1" x14ac:dyDescent="0.3">
      <c r="A10" s="340" t="s">
        <v>19</v>
      </c>
      <c r="B10" s="344" t="s">
        <v>736</v>
      </c>
      <c r="C10" s="342">
        <v>2017</v>
      </c>
      <c r="D10" s="342">
        <v>2017</v>
      </c>
      <c r="E10" s="343">
        <v>8000000</v>
      </c>
      <c r="F10" s="343"/>
      <c r="G10" s="343">
        <v>8000000</v>
      </c>
      <c r="H10" s="343"/>
      <c r="I10" s="343">
        <v>8000000</v>
      </c>
      <c r="J10" s="343"/>
      <c r="K10" s="343"/>
      <c r="L10" s="343">
        <v>8000000</v>
      </c>
      <c r="M10" s="343"/>
      <c r="N10" s="343"/>
    </row>
    <row r="11" spans="1:14" ht="25.5" customHeight="1" x14ac:dyDescent="0.3">
      <c r="A11" s="340" t="s">
        <v>22</v>
      </c>
      <c r="B11" s="344" t="s">
        <v>737</v>
      </c>
      <c r="C11" s="342">
        <v>2017</v>
      </c>
      <c r="D11" s="342">
        <v>2017</v>
      </c>
      <c r="E11" s="343">
        <v>4000000</v>
      </c>
      <c r="F11" s="343"/>
      <c r="G11" s="343">
        <v>4000000</v>
      </c>
      <c r="H11" s="343"/>
      <c r="I11" s="343">
        <v>4000000</v>
      </c>
      <c r="J11" s="343"/>
      <c r="K11" s="343"/>
      <c r="L11" s="343">
        <v>4000000</v>
      </c>
      <c r="M11" s="343"/>
      <c r="N11" s="343"/>
    </row>
    <row r="12" spans="1:14" ht="38.25" customHeight="1" x14ac:dyDescent="0.3">
      <c r="A12" s="340" t="s">
        <v>25</v>
      </c>
      <c r="B12" s="343" t="s">
        <v>735</v>
      </c>
      <c r="C12" s="342" t="s">
        <v>720</v>
      </c>
      <c r="D12" s="342" t="s">
        <v>734</v>
      </c>
      <c r="E12" s="343">
        <v>1120500</v>
      </c>
      <c r="F12" s="343"/>
      <c r="G12" s="343">
        <v>1120500</v>
      </c>
      <c r="H12" s="343"/>
      <c r="I12" s="343">
        <v>1120500</v>
      </c>
      <c r="J12" s="343">
        <v>1120500</v>
      </c>
      <c r="K12" s="343"/>
      <c r="L12" s="343"/>
      <c r="M12" s="343"/>
      <c r="N12" s="343"/>
    </row>
    <row r="13" spans="1:14" ht="38.25" customHeight="1" x14ac:dyDescent="0.3">
      <c r="A13" s="340" t="s">
        <v>28</v>
      </c>
      <c r="B13" s="343" t="s">
        <v>844</v>
      </c>
      <c r="C13" s="342" t="s">
        <v>720</v>
      </c>
      <c r="D13" s="342" t="s">
        <v>722</v>
      </c>
      <c r="E13" s="343">
        <v>2476500</v>
      </c>
      <c r="F13" s="343"/>
      <c r="G13" s="343">
        <v>2476500</v>
      </c>
      <c r="H13" s="343"/>
      <c r="I13" s="343">
        <v>2476500</v>
      </c>
      <c r="J13" s="343">
        <v>2476500</v>
      </c>
      <c r="K13" s="343"/>
      <c r="L13" s="343"/>
      <c r="M13" s="343"/>
      <c r="N13" s="343"/>
    </row>
    <row r="14" spans="1:14" ht="38.25" customHeight="1" x14ac:dyDescent="0.3">
      <c r="A14" s="340" t="s">
        <v>31</v>
      </c>
      <c r="B14" s="343" t="s">
        <v>846</v>
      </c>
      <c r="C14" s="342" t="s">
        <v>720</v>
      </c>
      <c r="D14" s="342" t="s">
        <v>722</v>
      </c>
      <c r="E14" s="343">
        <v>13445514</v>
      </c>
      <c r="F14" s="343"/>
      <c r="G14" s="343">
        <v>13445514</v>
      </c>
      <c r="H14" s="343"/>
      <c r="I14" s="343">
        <v>13445514</v>
      </c>
      <c r="J14" s="343">
        <v>13445514</v>
      </c>
      <c r="K14" s="343"/>
      <c r="L14" s="343"/>
      <c r="M14" s="343"/>
      <c r="N14" s="343"/>
    </row>
    <row r="15" spans="1:14" ht="38.25" customHeight="1" x14ac:dyDescent="0.3">
      <c r="A15" s="340" t="s">
        <v>34</v>
      </c>
      <c r="B15" s="343" t="s">
        <v>847</v>
      </c>
      <c r="C15" s="342" t="s">
        <v>720</v>
      </c>
      <c r="D15" s="342"/>
      <c r="E15" s="343">
        <v>2581770675</v>
      </c>
      <c r="F15" s="343"/>
      <c r="G15" s="343">
        <v>2581770675</v>
      </c>
      <c r="H15" s="343"/>
      <c r="I15" s="343">
        <v>2581770675</v>
      </c>
      <c r="J15" s="343">
        <v>610102278</v>
      </c>
      <c r="K15" s="343"/>
      <c r="L15" s="343"/>
      <c r="M15" s="343"/>
      <c r="N15" s="343"/>
    </row>
    <row r="16" spans="1:14" ht="25.5" customHeight="1" x14ac:dyDescent="0.3">
      <c r="A16" s="206" t="s">
        <v>37</v>
      </c>
      <c r="B16" s="345" t="s">
        <v>664</v>
      </c>
      <c r="C16" s="346"/>
      <c r="D16" s="347"/>
      <c r="E16" s="345">
        <f>SUM(E7:E15)</f>
        <v>2656133189</v>
      </c>
      <c r="F16" s="345">
        <f>SUM(F7:F12)</f>
        <v>0</v>
      </c>
      <c r="G16" s="345">
        <f>SUM(G7:G15)</f>
        <v>2656133189</v>
      </c>
      <c r="H16" s="345">
        <f>SUM(H7:H12)</f>
        <v>0</v>
      </c>
      <c r="I16" s="345">
        <f>SUM(I7:I15)</f>
        <v>2623813189</v>
      </c>
      <c r="J16" s="345">
        <f>SUM(J7:J12)</f>
        <v>33440500</v>
      </c>
      <c r="K16" s="345">
        <f>SUM(K7:K12)</f>
        <v>32320000</v>
      </c>
      <c r="L16" s="345">
        <f>SUM(L7:L12)</f>
        <v>25000000</v>
      </c>
      <c r="M16" s="345">
        <f>SUM(M7:M12)</f>
        <v>0</v>
      </c>
      <c r="N16" s="345">
        <f>SUM(N7:N12)</f>
        <v>0</v>
      </c>
    </row>
    <row r="17" spans="1:14" ht="25.5" customHeight="1" x14ac:dyDescent="0.3">
      <c r="A17" s="340" t="s">
        <v>39</v>
      </c>
      <c r="B17" s="344" t="s">
        <v>733</v>
      </c>
      <c r="C17" s="342">
        <v>2017</v>
      </c>
      <c r="D17" s="342" t="s">
        <v>722</v>
      </c>
      <c r="E17" s="343">
        <v>50000000</v>
      </c>
      <c r="F17" s="343"/>
      <c r="G17" s="343">
        <v>50000000</v>
      </c>
      <c r="H17" s="343"/>
      <c r="I17" s="343">
        <v>50000000</v>
      </c>
      <c r="J17" s="343">
        <v>50000000</v>
      </c>
      <c r="K17" s="343"/>
      <c r="L17" s="343"/>
      <c r="M17" s="343"/>
      <c r="N17" s="343"/>
    </row>
    <row r="18" spans="1:14" ht="25.5" customHeight="1" x14ac:dyDescent="0.3">
      <c r="A18" s="340" t="s">
        <v>41</v>
      </c>
      <c r="B18" s="344" t="s">
        <v>594</v>
      </c>
      <c r="C18" s="342" t="s">
        <v>720</v>
      </c>
      <c r="D18" s="342" t="s">
        <v>722</v>
      </c>
      <c r="E18" s="343">
        <v>25500000</v>
      </c>
      <c r="F18" s="343"/>
      <c r="G18" s="343">
        <v>25500000</v>
      </c>
      <c r="H18" s="343"/>
      <c r="I18" s="343">
        <v>25500000</v>
      </c>
      <c r="J18" s="343"/>
      <c r="K18" s="343">
        <v>25500000</v>
      </c>
      <c r="L18" s="343"/>
      <c r="M18" s="343"/>
      <c r="N18" s="343"/>
    </row>
    <row r="19" spans="1:14" ht="25.5" customHeight="1" x14ac:dyDescent="0.3">
      <c r="A19" s="340" t="s">
        <v>43</v>
      </c>
      <c r="B19" s="344" t="s">
        <v>595</v>
      </c>
      <c r="C19" s="342" t="s">
        <v>721</v>
      </c>
      <c r="D19" s="342" t="s">
        <v>720</v>
      </c>
      <c r="E19" s="343">
        <v>16951029</v>
      </c>
      <c r="F19" s="343"/>
      <c r="G19" s="343">
        <v>16951029</v>
      </c>
      <c r="H19" s="343"/>
      <c r="I19" s="343">
        <v>16951029</v>
      </c>
      <c r="J19" s="343"/>
      <c r="K19" s="343">
        <v>16951029</v>
      </c>
      <c r="L19" s="343"/>
      <c r="M19" s="343"/>
      <c r="N19" s="343"/>
    </row>
    <row r="20" spans="1:14" ht="25.5" customHeight="1" x14ac:dyDescent="0.3">
      <c r="A20" s="340" t="s">
        <v>45</v>
      </c>
      <c r="B20" s="344" t="s">
        <v>595</v>
      </c>
      <c r="C20" s="342" t="s">
        <v>720</v>
      </c>
      <c r="D20" s="342" t="s">
        <v>722</v>
      </c>
      <c r="E20" s="343">
        <v>5578475</v>
      </c>
      <c r="F20" s="343"/>
      <c r="G20" s="343">
        <v>5578475</v>
      </c>
      <c r="H20" s="343"/>
      <c r="I20" s="343">
        <v>5578475</v>
      </c>
      <c r="J20" s="343"/>
      <c r="K20" s="343">
        <v>5578475</v>
      </c>
      <c r="L20" s="343"/>
      <c r="M20" s="343"/>
      <c r="N20" s="343"/>
    </row>
    <row r="21" spans="1:14" ht="25.5" customHeight="1" x14ac:dyDescent="0.3">
      <c r="A21" s="340" t="s">
        <v>47</v>
      </c>
      <c r="B21" s="344" t="s">
        <v>647</v>
      </c>
      <c r="C21" s="342" t="s">
        <v>720</v>
      </c>
      <c r="D21" s="342" t="s">
        <v>720</v>
      </c>
      <c r="E21" s="343">
        <v>1800000</v>
      </c>
      <c r="F21" s="343"/>
      <c r="G21" s="343">
        <v>1800000</v>
      </c>
      <c r="H21" s="343"/>
      <c r="I21" s="343">
        <v>1800000</v>
      </c>
      <c r="J21" s="343"/>
      <c r="K21" s="343"/>
      <c r="L21" s="343">
        <v>1800000</v>
      </c>
      <c r="M21" s="343"/>
      <c r="N21" s="343"/>
    </row>
    <row r="22" spans="1:14" ht="25.5" customHeight="1" x14ac:dyDescent="0.3">
      <c r="A22" s="340" t="s">
        <v>49</v>
      </c>
      <c r="B22" s="344" t="s">
        <v>738</v>
      </c>
      <c r="C22" s="342" t="s">
        <v>720</v>
      </c>
      <c r="D22" s="342" t="s">
        <v>720</v>
      </c>
      <c r="E22" s="343">
        <v>29559542</v>
      </c>
      <c r="F22" s="345"/>
      <c r="G22" s="343">
        <v>29559542</v>
      </c>
      <c r="H22" s="345"/>
      <c r="I22" s="345">
        <v>29559542</v>
      </c>
      <c r="J22" s="345"/>
      <c r="K22" s="345"/>
      <c r="L22" s="343">
        <v>29559542</v>
      </c>
      <c r="M22" s="345"/>
      <c r="N22" s="345"/>
    </row>
    <row r="23" spans="1:14" ht="25.5" customHeight="1" x14ac:dyDescent="0.3">
      <c r="A23" s="340" t="s">
        <v>51</v>
      </c>
      <c r="B23" s="344" t="s">
        <v>849</v>
      </c>
      <c r="C23" s="342" t="s">
        <v>720</v>
      </c>
      <c r="D23" s="342" t="s">
        <v>720</v>
      </c>
      <c r="E23" s="343">
        <v>6460000</v>
      </c>
      <c r="F23" s="345"/>
      <c r="G23" s="343">
        <v>6460000</v>
      </c>
      <c r="H23" s="345"/>
      <c r="I23" s="343">
        <v>6460000</v>
      </c>
      <c r="J23" s="345"/>
      <c r="K23" s="345"/>
      <c r="L23" s="343"/>
      <c r="M23" s="345"/>
      <c r="N23" s="345"/>
    </row>
    <row r="24" spans="1:14" ht="25.5" customHeight="1" x14ac:dyDescent="0.3">
      <c r="A24" s="340" t="s">
        <v>54</v>
      </c>
      <c r="B24" s="344" t="s">
        <v>850</v>
      </c>
      <c r="C24" s="342" t="s">
        <v>720</v>
      </c>
      <c r="D24" s="342" t="s">
        <v>720</v>
      </c>
      <c r="E24" s="343">
        <v>8307637</v>
      </c>
      <c r="F24" s="345"/>
      <c r="G24" s="343">
        <v>8307637</v>
      </c>
      <c r="H24" s="345"/>
      <c r="I24" s="343">
        <v>8307637</v>
      </c>
      <c r="J24" s="345"/>
      <c r="K24" s="345"/>
      <c r="L24" s="343"/>
      <c r="M24" s="345"/>
      <c r="N24" s="345"/>
    </row>
    <row r="25" spans="1:14" ht="25.5" customHeight="1" x14ac:dyDescent="0.3">
      <c r="A25" s="340" t="s">
        <v>57</v>
      </c>
      <c r="B25" s="344" t="s">
        <v>848</v>
      </c>
      <c r="C25" s="342" t="s">
        <v>720</v>
      </c>
      <c r="D25" s="342" t="s">
        <v>720</v>
      </c>
      <c r="E25" s="343">
        <v>13856025</v>
      </c>
      <c r="F25" s="345"/>
      <c r="G25" s="343">
        <v>13856025</v>
      </c>
      <c r="H25" s="345"/>
      <c r="I25" s="343">
        <v>13856025</v>
      </c>
      <c r="J25" s="345"/>
      <c r="K25" s="345"/>
      <c r="L25" s="343"/>
      <c r="M25" s="345"/>
      <c r="N25" s="345"/>
    </row>
    <row r="26" spans="1:14" ht="25.5" customHeight="1" x14ac:dyDescent="0.3">
      <c r="A26" s="206" t="s">
        <v>60</v>
      </c>
      <c r="B26" s="345" t="s">
        <v>845</v>
      </c>
      <c r="C26" s="346"/>
      <c r="D26" s="347"/>
      <c r="E26" s="345">
        <f>SUM(E17:E25)</f>
        <v>158012708</v>
      </c>
      <c r="F26" s="345">
        <f t="shared" ref="F26:N26" si="0">SUM(F17:F22)</f>
        <v>0</v>
      </c>
      <c r="G26" s="345">
        <f t="shared" si="0"/>
        <v>129389046</v>
      </c>
      <c r="H26" s="345">
        <f t="shared" si="0"/>
        <v>0</v>
      </c>
      <c r="I26" s="345">
        <f t="shared" si="0"/>
        <v>129389046</v>
      </c>
      <c r="J26" s="345">
        <f t="shared" si="0"/>
        <v>50000000</v>
      </c>
      <c r="K26" s="345">
        <f t="shared" si="0"/>
        <v>48029504</v>
      </c>
      <c r="L26" s="345">
        <f t="shared" si="0"/>
        <v>31359542</v>
      </c>
      <c r="M26" s="345">
        <f t="shared" si="0"/>
        <v>0</v>
      </c>
      <c r="N26" s="345">
        <f t="shared" si="0"/>
        <v>0</v>
      </c>
    </row>
    <row r="27" spans="1:14" ht="25.5" customHeight="1" x14ac:dyDescent="0.3">
      <c r="A27" s="206" t="s">
        <v>62</v>
      </c>
      <c r="B27" s="345" t="s">
        <v>399</v>
      </c>
      <c r="C27" s="346"/>
      <c r="D27" s="347"/>
      <c r="E27" s="345">
        <f>SUM(E16+E26)</f>
        <v>2814145897</v>
      </c>
      <c r="F27" s="345">
        <f t="shared" ref="F27:N27" si="1">SUM(F16+F26)</f>
        <v>0</v>
      </c>
      <c r="G27" s="345">
        <f t="shared" si="1"/>
        <v>2785522235</v>
      </c>
      <c r="H27" s="345">
        <f t="shared" si="1"/>
        <v>0</v>
      </c>
      <c r="I27" s="345">
        <f t="shared" si="1"/>
        <v>2753202235</v>
      </c>
      <c r="J27" s="345">
        <f t="shared" si="1"/>
        <v>83440500</v>
      </c>
      <c r="K27" s="345">
        <f t="shared" si="1"/>
        <v>80349504</v>
      </c>
      <c r="L27" s="345">
        <f t="shared" si="1"/>
        <v>56359542</v>
      </c>
      <c r="M27" s="345">
        <f t="shared" si="1"/>
        <v>0</v>
      </c>
      <c r="N27" s="345">
        <f t="shared" si="1"/>
        <v>0</v>
      </c>
    </row>
    <row r="28" spans="1:14" ht="17.25" customHeight="1" x14ac:dyDescent="0.3">
      <c r="A28" s="148"/>
    </row>
    <row r="29" spans="1:14" ht="17.25" customHeight="1" x14ac:dyDescent="0.3">
      <c r="A29" s="148"/>
    </row>
  </sheetData>
  <mergeCells count="20"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  <mergeCell ref="G5:G6"/>
    <mergeCell ref="H5:H6"/>
    <mergeCell ref="I5:J5"/>
    <mergeCell ref="K5:K6"/>
    <mergeCell ref="L5:L6"/>
    <mergeCell ref="M5:M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56" orientation="landscape" horizontalDpi="300" verticalDpi="300" r:id="rId1"/>
  <headerFooter alignWithMargins="0">
    <oddHeader>&amp;R&amp;"Times New Roman CE,Félkövér dőlt"&amp;11 4. melléklet a 7/2018. (V.31.)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view="pageLayout" zoomScaleNormal="100" workbookViewId="0">
      <selection activeCell="H27" sqref="H27"/>
    </sheetView>
  </sheetViews>
  <sheetFormatPr defaultColWidth="9.296875" defaultRowHeight="14" x14ac:dyDescent="0.3"/>
  <cols>
    <col min="1" max="1" width="8.5" style="29" customWidth="1"/>
    <col min="2" max="2" width="9.296875" style="29"/>
    <col min="3" max="3" width="22.19921875" style="29" customWidth="1"/>
    <col min="4" max="4" width="44.796875" style="29" customWidth="1"/>
    <col min="5" max="5" width="26" style="31" customWidth="1"/>
    <col min="6" max="6" width="19.5" style="802" customWidth="1"/>
    <col min="7" max="8" width="19.5" style="803" bestFit="1" customWidth="1"/>
    <col min="9" max="9" width="17.69921875" style="29" bestFit="1" customWidth="1"/>
    <col min="10" max="10" width="13.296875" style="29" bestFit="1" customWidth="1"/>
    <col min="11" max="11" width="9.296875" style="29"/>
    <col min="12" max="12" width="16.69921875" style="29" bestFit="1" customWidth="1"/>
    <col min="13" max="16384" width="9.296875" style="29"/>
  </cols>
  <sheetData>
    <row r="1" spans="1:9" ht="41.25" customHeight="1" x14ac:dyDescent="0.3">
      <c r="A1" s="1040" t="s">
        <v>792</v>
      </c>
      <c r="B1" s="1040"/>
      <c r="C1" s="1040"/>
      <c r="D1" s="1040"/>
      <c r="E1" s="1040"/>
      <c r="F1" s="1040"/>
      <c r="G1" s="1040"/>
      <c r="H1" s="29"/>
    </row>
    <row r="2" spans="1:9" x14ac:dyDescent="0.3">
      <c r="A2" s="30"/>
      <c r="B2" s="30"/>
      <c r="C2" s="30"/>
      <c r="D2" s="30"/>
    </row>
    <row r="3" spans="1:9" x14ac:dyDescent="0.3">
      <c r="A3" s="30"/>
      <c r="B3" s="30"/>
      <c r="C3" s="30"/>
      <c r="D3" s="30"/>
      <c r="G3" s="801" t="s">
        <v>799</v>
      </c>
      <c r="H3" s="801" t="s">
        <v>799</v>
      </c>
    </row>
    <row r="4" spans="1:9" s="408" customFormat="1" ht="33" customHeight="1" x14ac:dyDescent="0.3">
      <c r="A4" s="348" t="s">
        <v>404</v>
      </c>
      <c r="B4" s="1041" t="s">
        <v>408</v>
      </c>
      <c r="C4" s="1041"/>
      <c r="D4" s="1041"/>
      <c r="E4" s="349" t="s">
        <v>409</v>
      </c>
      <c r="F4" s="349" t="s">
        <v>822</v>
      </c>
      <c r="G4" s="805" t="s">
        <v>796</v>
      </c>
      <c r="H4" s="805" t="s">
        <v>823</v>
      </c>
    </row>
    <row r="5" spans="1:9" ht="21.75" customHeight="1" x14ac:dyDescent="0.3">
      <c r="A5" s="350" t="s">
        <v>10</v>
      </c>
      <c r="B5" s="1034" t="s">
        <v>410</v>
      </c>
      <c r="C5" s="1034"/>
      <c r="D5" s="1034"/>
      <c r="E5" s="351">
        <v>10000000</v>
      </c>
      <c r="F5" s="351">
        <f>G5-E5</f>
        <v>2120631</v>
      </c>
      <c r="G5" s="867">
        <v>12120631</v>
      </c>
      <c r="H5" s="867">
        <v>12120631</v>
      </c>
      <c r="I5" s="29" t="s">
        <v>799</v>
      </c>
    </row>
    <row r="6" spans="1:9" ht="21.75" customHeight="1" x14ac:dyDescent="0.3">
      <c r="A6" s="350" t="s">
        <v>13</v>
      </c>
      <c r="B6" s="1034" t="s">
        <v>411</v>
      </c>
      <c r="C6" s="1034"/>
      <c r="D6" s="1034"/>
      <c r="E6" s="351">
        <v>1500000</v>
      </c>
      <c r="F6" s="351">
        <f t="shared" ref="F6:F21" si="0">G6-E6</f>
        <v>0</v>
      </c>
      <c r="G6" s="867">
        <v>1500000</v>
      </c>
      <c r="H6" s="867">
        <v>1500000</v>
      </c>
    </row>
    <row r="7" spans="1:9" ht="21.75" customHeight="1" x14ac:dyDescent="0.3">
      <c r="A7" s="350" t="s">
        <v>16</v>
      </c>
      <c r="B7" s="1034" t="s">
        <v>412</v>
      </c>
      <c r="C7" s="1034"/>
      <c r="D7" s="1034"/>
      <c r="E7" s="351">
        <v>900000</v>
      </c>
      <c r="F7" s="351">
        <f t="shared" si="0"/>
        <v>0</v>
      </c>
      <c r="G7" s="867">
        <v>900000</v>
      </c>
      <c r="H7" s="867">
        <v>900000</v>
      </c>
    </row>
    <row r="8" spans="1:9" ht="21.75" customHeight="1" x14ac:dyDescent="0.3">
      <c r="A8" s="350" t="s">
        <v>19</v>
      </c>
      <c r="B8" s="1034" t="s">
        <v>413</v>
      </c>
      <c r="C8" s="1034"/>
      <c r="D8" s="1034"/>
      <c r="E8" s="351">
        <v>3000000</v>
      </c>
      <c r="F8" s="351">
        <f t="shared" si="0"/>
        <v>0</v>
      </c>
      <c r="G8" s="867">
        <v>3000000</v>
      </c>
      <c r="H8" s="867">
        <v>1900000</v>
      </c>
    </row>
    <row r="9" spans="1:9" ht="21.75" customHeight="1" x14ac:dyDescent="0.3">
      <c r="A9" s="350" t="s">
        <v>22</v>
      </c>
      <c r="B9" s="1042" t="s">
        <v>414</v>
      </c>
      <c r="C9" s="1042"/>
      <c r="D9" s="1042"/>
      <c r="E9" s="352">
        <v>500000</v>
      </c>
      <c r="F9" s="351">
        <f t="shared" si="0"/>
        <v>0</v>
      </c>
      <c r="G9" s="867">
        <v>500000</v>
      </c>
      <c r="H9" s="867">
        <v>500000</v>
      </c>
    </row>
    <row r="10" spans="1:9" ht="29.25" customHeight="1" x14ac:dyDescent="0.3">
      <c r="A10" s="350" t="s">
        <v>25</v>
      </c>
      <c r="B10" s="1042" t="s">
        <v>415</v>
      </c>
      <c r="C10" s="1042"/>
      <c r="D10" s="1042"/>
      <c r="E10" s="352">
        <v>600000</v>
      </c>
      <c r="F10" s="351">
        <f t="shared" si="0"/>
        <v>0</v>
      </c>
      <c r="G10" s="867">
        <v>600000</v>
      </c>
      <c r="H10" s="867"/>
    </row>
    <row r="11" spans="1:9" ht="21.75" customHeight="1" x14ac:dyDescent="0.3">
      <c r="A11" s="350" t="s">
        <v>28</v>
      </c>
      <c r="B11" s="1042" t="s">
        <v>416</v>
      </c>
      <c r="C11" s="1042"/>
      <c r="D11" s="1042"/>
      <c r="E11" s="352">
        <v>300000</v>
      </c>
      <c r="F11" s="351">
        <f t="shared" si="0"/>
        <v>0</v>
      </c>
      <c r="G11" s="867">
        <v>300000</v>
      </c>
      <c r="H11" s="867">
        <v>300000</v>
      </c>
    </row>
    <row r="12" spans="1:9" ht="21.75" customHeight="1" x14ac:dyDescent="0.3">
      <c r="A12" s="350" t="s">
        <v>31</v>
      </c>
      <c r="B12" s="1034" t="s">
        <v>648</v>
      </c>
      <c r="C12" s="1034"/>
      <c r="D12" s="1034"/>
      <c r="E12" s="351">
        <v>50000</v>
      </c>
      <c r="F12" s="351">
        <f t="shared" si="0"/>
        <v>0</v>
      </c>
      <c r="G12" s="867">
        <v>50000</v>
      </c>
      <c r="H12" s="867">
        <v>50000</v>
      </c>
    </row>
    <row r="13" spans="1:9" ht="21.75" customHeight="1" x14ac:dyDescent="0.3">
      <c r="A13" s="350" t="s">
        <v>34</v>
      </c>
      <c r="B13" s="1034" t="s">
        <v>417</v>
      </c>
      <c r="C13" s="1034"/>
      <c r="D13" s="1034"/>
      <c r="E13" s="351">
        <v>5000000</v>
      </c>
      <c r="F13" s="351">
        <f t="shared" si="0"/>
        <v>25000000</v>
      </c>
      <c r="G13" s="867">
        <v>30000000</v>
      </c>
      <c r="H13" s="867">
        <v>30500000</v>
      </c>
    </row>
    <row r="14" spans="1:9" ht="21.75" customHeight="1" x14ac:dyDescent="0.3">
      <c r="A14" s="350" t="s">
        <v>37</v>
      </c>
      <c r="B14" s="1034" t="s">
        <v>418</v>
      </c>
      <c r="C14" s="1034"/>
      <c r="D14" s="1034"/>
      <c r="E14" s="351">
        <v>1300000</v>
      </c>
      <c r="F14" s="351">
        <f t="shared" si="0"/>
        <v>0</v>
      </c>
      <c r="G14" s="867">
        <v>1300000</v>
      </c>
      <c r="H14" s="867">
        <v>600000</v>
      </c>
    </row>
    <row r="15" spans="1:9" ht="30" customHeight="1" x14ac:dyDescent="0.3">
      <c r="A15" s="350" t="s">
        <v>39</v>
      </c>
      <c r="B15" s="1034" t="s">
        <v>641</v>
      </c>
      <c r="C15" s="1034"/>
      <c r="D15" s="1034"/>
      <c r="E15" s="353">
        <v>231022279</v>
      </c>
      <c r="F15" s="351">
        <f t="shared" si="0"/>
        <v>3542729</v>
      </c>
      <c r="G15" s="867">
        <v>234565008</v>
      </c>
      <c r="H15" s="867">
        <v>226707152</v>
      </c>
    </row>
    <row r="16" spans="1:9" ht="30" customHeight="1" x14ac:dyDescent="0.3">
      <c r="A16" s="350" t="s">
        <v>41</v>
      </c>
      <c r="B16" s="1034" t="s">
        <v>642</v>
      </c>
      <c r="C16" s="1034"/>
      <c r="D16" s="1034"/>
      <c r="E16" s="353">
        <v>132069000</v>
      </c>
      <c r="F16" s="351">
        <f t="shared" si="0"/>
        <v>-700000</v>
      </c>
      <c r="G16" s="867">
        <v>131369000</v>
      </c>
      <c r="H16" s="867">
        <v>132069000</v>
      </c>
    </row>
    <row r="17" spans="1:12" ht="21.75" customHeight="1" x14ac:dyDescent="0.3">
      <c r="A17" s="350" t="s">
        <v>43</v>
      </c>
      <c r="B17" s="1034" t="s">
        <v>643</v>
      </c>
      <c r="C17" s="1034"/>
      <c r="D17" s="1034"/>
      <c r="E17" s="353">
        <v>11944525</v>
      </c>
      <c r="F17" s="351">
        <f t="shared" si="0"/>
        <v>0</v>
      </c>
      <c r="G17" s="867">
        <v>11944525</v>
      </c>
      <c r="H17" s="867">
        <v>12701566</v>
      </c>
    </row>
    <row r="18" spans="1:12" ht="21.75" customHeight="1" x14ac:dyDescent="0.3">
      <c r="A18" s="350" t="s">
        <v>45</v>
      </c>
      <c r="B18" s="1036" t="s">
        <v>644</v>
      </c>
      <c r="C18" s="1036"/>
      <c r="D18" s="1036"/>
      <c r="E18" s="353">
        <v>26162980</v>
      </c>
      <c r="F18" s="351">
        <f t="shared" si="0"/>
        <v>0</v>
      </c>
      <c r="G18" s="867">
        <v>26162980</v>
      </c>
      <c r="H18" s="867">
        <v>26162980</v>
      </c>
    </row>
    <row r="19" spans="1:12" ht="21.75" customHeight="1" x14ac:dyDescent="0.3">
      <c r="A19" s="350" t="s">
        <v>47</v>
      </c>
      <c r="B19" s="1036" t="s">
        <v>645</v>
      </c>
      <c r="C19" s="1036"/>
      <c r="D19" s="1036"/>
      <c r="E19" s="353">
        <v>8348400</v>
      </c>
      <c r="F19" s="351">
        <f t="shared" si="0"/>
        <v>681314</v>
      </c>
      <c r="G19" s="867">
        <f>8348400+681314</f>
        <v>9029714</v>
      </c>
      <c r="H19" s="867">
        <v>8990890</v>
      </c>
    </row>
    <row r="20" spans="1:12" ht="21.75" customHeight="1" x14ac:dyDescent="0.3">
      <c r="A20" s="350" t="s">
        <v>49</v>
      </c>
      <c r="B20" s="1036" t="s">
        <v>840</v>
      </c>
      <c r="C20" s="1036"/>
      <c r="D20" s="1036"/>
      <c r="E20" s="353"/>
      <c r="F20" s="351">
        <f t="shared" si="0"/>
        <v>200000</v>
      </c>
      <c r="G20" s="867">
        <v>200000</v>
      </c>
      <c r="H20" s="867">
        <v>300000</v>
      </c>
    </row>
    <row r="21" spans="1:12" ht="21.75" customHeight="1" x14ac:dyDescent="0.3">
      <c r="A21" s="350" t="s">
        <v>51</v>
      </c>
      <c r="B21" s="1036" t="s">
        <v>841</v>
      </c>
      <c r="C21" s="1036"/>
      <c r="D21" s="1036"/>
      <c r="E21" s="353"/>
      <c r="F21" s="351">
        <f t="shared" si="0"/>
        <v>6536420</v>
      </c>
      <c r="G21" s="867">
        <v>6536420</v>
      </c>
      <c r="H21" s="867">
        <v>4655174</v>
      </c>
    </row>
    <row r="22" spans="1:12" s="408" customFormat="1" ht="21.75" customHeight="1" x14ac:dyDescent="0.3">
      <c r="A22" s="177" t="s">
        <v>54</v>
      </c>
      <c r="B22" s="1033" t="s">
        <v>224</v>
      </c>
      <c r="C22" s="1033"/>
      <c r="D22" s="1033"/>
      <c r="E22" s="354">
        <f>SUM(E5+E6+E7+E8+E12+E13+E14+E15+E16+E17+E18+E19)</f>
        <v>431297184</v>
      </c>
      <c r="F22" s="354">
        <f t="shared" ref="F22" si="1">SUM(F5+F6+F7+F8+F12+F13+F14+F15+F16+F17+F18+F19)</f>
        <v>30644674</v>
      </c>
      <c r="G22" s="871">
        <f>SUM(G5+G6+G7+G8+G12+G13+G14+G15+G16+G17+G18+G19+G20+G21)</f>
        <v>468678278</v>
      </c>
      <c r="H22" s="871">
        <f>SUM(H5+H6+H7+H8+H12+H13+H14+H15+H16+H17+H18+H19+H20+H21)</f>
        <v>459157393</v>
      </c>
      <c r="L22" s="792"/>
    </row>
    <row r="23" spans="1:12" ht="21.75" customHeight="1" x14ac:dyDescent="0.3">
      <c r="A23" s="350" t="s">
        <v>57</v>
      </c>
      <c r="B23" s="1036" t="s">
        <v>419</v>
      </c>
      <c r="C23" s="1036"/>
      <c r="D23" s="1036"/>
      <c r="E23" s="353">
        <v>5000000</v>
      </c>
      <c r="F23" s="351">
        <f>G23-E23</f>
        <v>2539000</v>
      </c>
      <c r="G23" s="867">
        <v>7539000</v>
      </c>
      <c r="H23" s="867"/>
    </row>
    <row r="24" spans="1:12" ht="21.75" customHeight="1" x14ac:dyDescent="0.3">
      <c r="A24" s="350" t="s">
        <v>60</v>
      </c>
      <c r="B24" s="1037" t="s">
        <v>842</v>
      </c>
      <c r="C24" s="1038"/>
      <c r="D24" s="1039"/>
      <c r="E24" s="353"/>
      <c r="F24" s="351">
        <f t="shared" ref="F24:F25" si="2">G24-E24</f>
        <v>8000000</v>
      </c>
      <c r="G24" s="867">
        <v>8000000</v>
      </c>
      <c r="H24" s="867">
        <v>8000000</v>
      </c>
    </row>
    <row r="25" spans="1:12" ht="21.75" customHeight="1" x14ac:dyDescent="0.3">
      <c r="A25" s="350" t="s">
        <v>62</v>
      </c>
      <c r="B25" s="1037" t="s">
        <v>843</v>
      </c>
      <c r="C25" s="1038"/>
      <c r="D25" s="1039"/>
      <c r="E25" s="353"/>
      <c r="F25" s="351">
        <f t="shared" si="2"/>
        <v>7191648</v>
      </c>
      <c r="G25" s="867">
        <v>7191648</v>
      </c>
      <c r="H25" s="867">
        <v>7191648</v>
      </c>
    </row>
    <row r="26" spans="1:12" ht="21.75" customHeight="1" x14ac:dyDescent="0.3">
      <c r="A26" s="350" t="s">
        <v>64</v>
      </c>
      <c r="B26" s="1037" t="s">
        <v>1183</v>
      </c>
      <c r="C26" s="1038"/>
      <c r="D26" s="1039"/>
      <c r="E26" s="353"/>
      <c r="F26" s="351"/>
      <c r="G26" s="867"/>
      <c r="H26" s="867">
        <v>232694</v>
      </c>
    </row>
    <row r="27" spans="1:12" s="408" customFormat="1" ht="21.75" customHeight="1" x14ac:dyDescent="0.3">
      <c r="A27" s="177" t="s">
        <v>64</v>
      </c>
      <c r="B27" s="1035" t="s">
        <v>833</v>
      </c>
      <c r="C27" s="1035"/>
      <c r="D27" s="1035"/>
      <c r="E27" s="354">
        <f>SUM(E23)</f>
        <v>5000000</v>
      </c>
      <c r="F27" s="868">
        <f>SUM(F23:F25)</f>
        <v>17730648</v>
      </c>
      <c r="G27" s="869">
        <f t="shared" ref="G27" si="3">SUM(G23:G25)</f>
        <v>22730648</v>
      </c>
      <c r="H27" s="869">
        <f>SUM(H23:H26)</f>
        <v>15424342</v>
      </c>
    </row>
    <row r="28" spans="1:12" s="623" customFormat="1" ht="24" customHeight="1" x14ac:dyDescent="0.35">
      <c r="A28" s="1031" t="s">
        <v>612</v>
      </c>
      <c r="B28" s="1031"/>
      <c r="C28" s="1031"/>
      <c r="D28" s="1031"/>
      <c r="E28" s="354">
        <f>SUM(E22+E27)</f>
        <v>436297184</v>
      </c>
      <c r="F28" s="868">
        <f>F22+F27</f>
        <v>48375322</v>
      </c>
      <c r="G28" s="870">
        <f>SUM(G22+G27)</f>
        <v>491408926</v>
      </c>
      <c r="H28" s="870">
        <f>SUM(H22+H27)</f>
        <v>474581735</v>
      </c>
    </row>
    <row r="29" spans="1:12" x14ac:dyDescent="0.3">
      <c r="A29" s="32"/>
      <c r="B29" s="1032"/>
      <c r="C29" s="1032"/>
      <c r="D29" s="1032"/>
      <c r="E29" s="33"/>
      <c r="F29" s="804"/>
      <c r="I29" s="793" t="s">
        <v>799</v>
      </c>
    </row>
  </sheetData>
  <mergeCells count="27">
    <mergeCell ref="A1:G1"/>
    <mergeCell ref="B14:D14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A28:D28"/>
    <mergeCell ref="B29:D29"/>
    <mergeCell ref="B22:D22"/>
    <mergeCell ref="B15:D15"/>
    <mergeCell ref="B16:D16"/>
    <mergeCell ref="B17:D17"/>
    <mergeCell ref="B27:D27"/>
    <mergeCell ref="B18:D18"/>
    <mergeCell ref="B23:D23"/>
    <mergeCell ref="B19:D19"/>
    <mergeCell ref="B24:D24"/>
    <mergeCell ref="B25:D25"/>
    <mergeCell ref="B21:D21"/>
    <mergeCell ref="B20:D20"/>
    <mergeCell ref="B26:D26"/>
  </mergeCells>
  <printOptions horizontalCentered="1"/>
  <pageMargins left="0.51181102362204722" right="0.51181102362204722" top="1.1417322834645669" bottom="0.74803149606299213" header="0.70866141732283472" footer="0.70866141732283472"/>
  <pageSetup paperSize="9" scale="70" orientation="landscape" horizontalDpi="4294967293" verticalDpi="4294967293" r:id="rId1"/>
  <headerFooter scaleWithDoc="0" alignWithMargins="0">
    <oddHeader>&amp;R&amp;"Times New Roman,Félkövér dőlt"&amp;11 5. melléklet a 7/2018.(V.31.)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view="pageLayout" zoomScaleNormal="100" workbookViewId="0">
      <selection sqref="A1:G1"/>
    </sheetView>
  </sheetViews>
  <sheetFormatPr defaultColWidth="10.69921875" defaultRowHeight="13" x14ac:dyDescent="0.3"/>
  <cols>
    <col min="1" max="1" width="11.296875" style="166" customWidth="1"/>
    <col min="2" max="2" width="46" style="166" customWidth="1"/>
    <col min="3" max="3" width="28.5" style="166" customWidth="1"/>
    <col min="4" max="4" width="13.296875" style="241" bestFit="1" customWidth="1"/>
    <col min="5" max="5" width="13.5" style="241" customWidth="1"/>
    <col min="6" max="6" width="14" style="166" bestFit="1" customWidth="1"/>
    <col min="7" max="7" width="13.19921875" style="622" customWidth="1"/>
    <col min="8" max="252" width="10.69921875" style="166"/>
    <col min="253" max="253" width="7" style="166" customWidth="1"/>
    <col min="254" max="254" width="34.5" style="166" customWidth="1"/>
    <col min="255" max="255" width="11" style="166" customWidth="1"/>
    <col min="256" max="256" width="16.796875" style="166" customWidth="1"/>
    <col min="257" max="257" width="17.19921875" style="166" customWidth="1"/>
    <col min="258" max="258" width="15.296875" style="166" customWidth="1"/>
    <col min="259" max="259" width="15.5" style="166" customWidth="1"/>
    <col min="260" max="508" width="10.69921875" style="166"/>
    <col min="509" max="509" width="7" style="166" customWidth="1"/>
    <col min="510" max="510" width="34.5" style="166" customWidth="1"/>
    <col min="511" max="511" width="11" style="166" customWidth="1"/>
    <col min="512" max="512" width="16.796875" style="166" customWidth="1"/>
    <col min="513" max="513" width="17.19921875" style="166" customWidth="1"/>
    <col min="514" max="514" width="15.296875" style="166" customWidth="1"/>
    <col min="515" max="515" width="15.5" style="166" customWidth="1"/>
    <col min="516" max="764" width="10.69921875" style="166"/>
    <col min="765" max="765" width="7" style="166" customWidth="1"/>
    <col min="766" max="766" width="34.5" style="166" customWidth="1"/>
    <col min="767" max="767" width="11" style="166" customWidth="1"/>
    <col min="768" max="768" width="16.796875" style="166" customWidth="1"/>
    <col min="769" max="769" width="17.19921875" style="166" customWidth="1"/>
    <col min="770" max="770" width="15.296875" style="166" customWidth="1"/>
    <col min="771" max="771" width="15.5" style="166" customWidth="1"/>
    <col min="772" max="1020" width="10.69921875" style="166"/>
    <col min="1021" max="1021" width="7" style="166" customWidth="1"/>
    <col min="1022" max="1022" width="34.5" style="166" customWidth="1"/>
    <col min="1023" max="1023" width="11" style="166" customWidth="1"/>
    <col min="1024" max="1024" width="16.796875" style="166" customWidth="1"/>
    <col min="1025" max="1025" width="17.19921875" style="166" customWidth="1"/>
    <col min="1026" max="1026" width="15.296875" style="166" customWidth="1"/>
    <col min="1027" max="1027" width="15.5" style="166" customWidth="1"/>
    <col min="1028" max="1276" width="10.69921875" style="166"/>
    <col min="1277" max="1277" width="7" style="166" customWidth="1"/>
    <col min="1278" max="1278" width="34.5" style="166" customWidth="1"/>
    <col min="1279" max="1279" width="11" style="166" customWidth="1"/>
    <col min="1280" max="1280" width="16.796875" style="166" customWidth="1"/>
    <col min="1281" max="1281" width="17.19921875" style="166" customWidth="1"/>
    <col min="1282" max="1282" width="15.296875" style="166" customWidth="1"/>
    <col min="1283" max="1283" width="15.5" style="166" customWidth="1"/>
    <col min="1284" max="1532" width="10.69921875" style="166"/>
    <col min="1533" max="1533" width="7" style="166" customWidth="1"/>
    <col min="1534" max="1534" width="34.5" style="166" customWidth="1"/>
    <col min="1535" max="1535" width="11" style="166" customWidth="1"/>
    <col min="1536" max="1536" width="16.796875" style="166" customWidth="1"/>
    <col min="1537" max="1537" width="17.19921875" style="166" customWidth="1"/>
    <col min="1538" max="1538" width="15.296875" style="166" customWidth="1"/>
    <col min="1539" max="1539" width="15.5" style="166" customWidth="1"/>
    <col min="1540" max="1788" width="10.69921875" style="166"/>
    <col min="1789" max="1789" width="7" style="166" customWidth="1"/>
    <col min="1790" max="1790" width="34.5" style="166" customWidth="1"/>
    <col min="1791" max="1791" width="11" style="166" customWidth="1"/>
    <col min="1792" max="1792" width="16.796875" style="166" customWidth="1"/>
    <col min="1793" max="1793" width="17.19921875" style="166" customWidth="1"/>
    <col min="1794" max="1794" width="15.296875" style="166" customWidth="1"/>
    <col min="1795" max="1795" width="15.5" style="166" customWidth="1"/>
    <col min="1796" max="2044" width="10.69921875" style="166"/>
    <col min="2045" max="2045" width="7" style="166" customWidth="1"/>
    <col min="2046" max="2046" width="34.5" style="166" customWidth="1"/>
    <col min="2047" max="2047" width="11" style="166" customWidth="1"/>
    <col min="2048" max="2048" width="16.796875" style="166" customWidth="1"/>
    <col min="2049" max="2049" width="17.19921875" style="166" customWidth="1"/>
    <col min="2050" max="2050" width="15.296875" style="166" customWidth="1"/>
    <col min="2051" max="2051" width="15.5" style="166" customWidth="1"/>
    <col min="2052" max="2300" width="10.69921875" style="166"/>
    <col min="2301" max="2301" width="7" style="166" customWidth="1"/>
    <col min="2302" max="2302" width="34.5" style="166" customWidth="1"/>
    <col min="2303" max="2303" width="11" style="166" customWidth="1"/>
    <col min="2304" max="2304" width="16.796875" style="166" customWidth="1"/>
    <col min="2305" max="2305" width="17.19921875" style="166" customWidth="1"/>
    <col min="2306" max="2306" width="15.296875" style="166" customWidth="1"/>
    <col min="2307" max="2307" width="15.5" style="166" customWidth="1"/>
    <col min="2308" max="2556" width="10.69921875" style="166"/>
    <col min="2557" max="2557" width="7" style="166" customWidth="1"/>
    <col min="2558" max="2558" width="34.5" style="166" customWidth="1"/>
    <col min="2559" max="2559" width="11" style="166" customWidth="1"/>
    <col min="2560" max="2560" width="16.796875" style="166" customWidth="1"/>
    <col min="2561" max="2561" width="17.19921875" style="166" customWidth="1"/>
    <col min="2562" max="2562" width="15.296875" style="166" customWidth="1"/>
    <col min="2563" max="2563" width="15.5" style="166" customWidth="1"/>
    <col min="2564" max="2812" width="10.69921875" style="166"/>
    <col min="2813" max="2813" width="7" style="166" customWidth="1"/>
    <col min="2814" max="2814" width="34.5" style="166" customWidth="1"/>
    <col min="2815" max="2815" width="11" style="166" customWidth="1"/>
    <col min="2816" max="2816" width="16.796875" style="166" customWidth="1"/>
    <col min="2817" max="2817" width="17.19921875" style="166" customWidth="1"/>
    <col min="2818" max="2818" width="15.296875" style="166" customWidth="1"/>
    <col min="2819" max="2819" width="15.5" style="166" customWidth="1"/>
    <col min="2820" max="3068" width="10.69921875" style="166"/>
    <col min="3069" max="3069" width="7" style="166" customWidth="1"/>
    <col min="3070" max="3070" width="34.5" style="166" customWidth="1"/>
    <col min="3071" max="3071" width="11" style="166" customWidth="1"/>
    <col min="3072" max="3072" width="16.796875" style="166" customWidth="1"/>
    <col min="3073" max="3073" width="17.19921875" style="166" customWidth="1"/>
    <col min="3074" max="3074" width="15.296875" style="166" customWidth="1"/>
    <col min="3075" max="3075" width="15.5" style="166" customWidth="1"/>
    <col min="3076" max="3324" width="10.69921875" style="166"/>
    <col min="3325" max="3325" width="7" style="166" customWidth="1"/>
    <col min="3326" max="3326" width="34.5" style="166" customWidth="1"/>
    <col min="3327" max="3327" width="11" style="166" customWidth="1"/>
    <col min="3328" max="3328" width="16.796875" style="166" customWidth="1"/>
    <col min="3329" max="3329" width="17.19921875" style="166" customWidth="1"/>
    <col min="3330" max="3330" width="15.296875" style="166" customWidth="1"/>
    <col min="3331" max="3331" width="15.5" style="166" customWidth="1"/>
    <col min="3332" max="3580" width="10.69921875" style="166"/>
    <col min="3581" max="3581" width="7" style="166" customWidth="1"/>
    <col min="3582" max="3582" width="34.5" style="166" customWidth="1"/>
    <col min="3583" max="3583" width="11" style="166" customWidth="1"/>
    <col min="3584" max="3584" width="16.796875" style="166" customWidth="1"/>
    <col min="3585" max="3585" width="17.19921875" style="166" customWidth="1"/>
    <col min="3586" max="3586" width="15.296875" style="166" customWidth="1"/>
    <col min="3587" max="3587" width="15.5" style="166" customWidth="1"/>
    <col min="3588" max="3836" width="10.69921875" style="166"/>
    <col min="3837" max="3837" width="7" style="166" customWidth="1"/>
    <col min="3838" max="3838" width="34.5" style="166" customWidth="1"/>
    <col min="3839" max="3839" width="11" style="166" customWidth="1"/>
    <col min="3840" max="3840" width="16.796875" style="166" customWidth="1"/>
    <col min="3841" max="3841" width="17.19921875" style="166" customWidth="1"/>
    <col min="3842" max="3842" width="15.296875" style="166" customWidth="1"/>
    <col min="3843" max="3843" width="15.5" style="166" customWidth="1"/>
    <col min="3844" max="4092" width="10.69921875" style="166"/>
    <col min="4093" max="4093" width="7" style="166" customWidth="1"/>
    <col min="4094" max="4094" width="34.5" style="166" customWidth="1"/>
    <col min="4095" max="4095" width="11" style="166" customWidth="1"/>
    <col min="4096" max="4096" width="16.796875" style="166" customWidth="1"/>
    <col min="4097" max="4097" width="17.19921875" style="166" customWidth="1"/>
    <col min="4098" max="4098" width="15.296875" style="166" customWidth="1"/>
    <col min="4099" max="4099" width="15.5" style="166" customWidth="1"/>
    <col min="4100" max="4348" width="10.69921875" style="166"/>
    <col min="4349" max="4349" width="7" style="166" customWidth="1"/>
    <col min="4350" max="4350" width="34.5" style="166" customWidth="1"/>
    <col min="4351" max="4351" width="11" style="166" customWidth="1"/>
    <col min="4352" max="4352" width="16.796875" style="166" customWidth="1"/>
    <col min="4353" max="4353" width="17.19921875" style="166" customWidth="1"/>
    <col min="4354" max="4354" width="15.296875" style="166" customWidth="1"/>
    <col min="4355" max="4355" width="15.5" style="166" customWidth="1"/>
    <col min="4356" max="4604" width="10.69921875" style="166"/>
    <col min="4605" max="4605" width="7" style="166" customWidth="1"/>
    <col min="4606" max="4606" width="34.5" style="166" customWidth="1"/>
    <col min="4607" max="4607" width="11" style="166" customWidth="1"/>
    <col min="4608" max="4608" width="16.796875" style="166" customWidth="1"/>
    <col min="4609" max="4609" width="17.19921875" style="166" customWidth="1"/>
    <col min="4610" max="4610" width="15.296875" style="166" customWidth="1"/>
    <col min="4611" max="4611" width="15.5" style="166" customWidth="1"/>
    <col min="4612" max="4860" width="10.69921875" style="166"/>
    <col min="4861" max="4861" width="7" style="166" customWidth="1"/>
    <col min="4862" max="4862" width="34.5" style="166" customWidth="1"/>
    <col min="4863" max="4863" width="11" style="166" customWidth="1"/>
    <col min="4864" max="4864" width="16.796875" style="166" customWidth="1"/>
    <col min="4865" max="4865" width="17.19921875" style="166" customWidth="1"/>
    <col min="4866" max="4866" width="15.296875" style="166" customWidth="1"/>
    <col min="4867" max="4867" width="15.5" style="166" customWidth="1"/>
    <col min="4868" max="5116" width="10.69921875" style="166"/>
    <col min="5117" max="5117" width="7" style="166" customWidth="1"/>
    <col min="5118" max="5118" width="34.5" style="166" customWidth="1"/>
    <col min="5119" max="5119" width="11" style="166" customWidth="1"/>
    <col min="5120" max="5120" width="16.796875" style="166" customWidth="1"/>
    <col min="5121" max="5121" width="17.19921875" style="166" customWidth="1"/>
    <col min="5122" max="5122" width="15.296875" style="166" customWidth="1"/>
    <col min="5123" max="5123" width="15.5" style="166" customWidth="1"/>
    <col min="5124" max="5372" width="10.69921875" style="166"/>
    <col min="5373" max="5373" width="7" style="166" customWidth="1"/>
    <col min="5374" max="5374" width="34.5" style="166" customWidth="1"/>
    <col min="5375" max="5375" width="11" style="166" customWidth="1"/>
    <col min="5376" max="5376" width="16.796875" style="166" customWidth="1"/>
    <col min="5377" max="5377" width="17.19921875" style="166" customWidth="1"/>
    <col min="5378" max="5378" width="15.296875" style="166" customWidth="1"/>
    <col min="5379" max="5379" width="15.5" style="166" customWidth="1"/>
    <col min="5380" max="5628" width="10.69921875" style="166"/>
    <col min="5629" max="5629" width="7" style="166" customWidth="1"/>
    <col min="5630" max="5630" width="34.5" style="166" customWidth="1"/>
    <col min="5631" max="5631" width="11" style="166" customWidth="1"/>
    <col min="5632" max="5632" width="16.796875" style="166" customWidth="1"/>
    <col min="5633" max="5633" width="17.19921875" style="166" customWidth="1"/>
    <col min="5634" max="5634" width="15.296875" style="166" customWidth="1"/>
    <col min="5635" max="5635" width="15.5" style="166" customWidth="1"/>
    <col min="5636" max="5884" width="10.69921875" style="166"/>
    <col min="5885" max="5885" width="7" style="166" customWidth="1"/>
    <col min="5886" max="5886" width="34.5" style="166" customWidth="1"/>
    <col min="5887" max="5887" width="11" style="166" customWidth="1"/>
    <col min="5888" max="5888" width="16.796875" style="166" customWidth="1"/>
    <col min="5889" max="5889" width="17.19921875" style="166" customWidth="1"/>
    <col min="5890" max="5890" width="15.296875" style="166" customWidth="1"/>
    <col min="5891" max="5891" width="15.5" style="166" customWidth="1"/>
    <col min="5892" max="6140" width="10.69921875" style="166"/>
    <col min="6141" max="6141" width="7" style="166" customWidth="1"/>
    <col min="6142" max="6142" width="34.5" style="166" customWidth="1"/>
    <col min="6143" max="6143" width="11" style="166" customWidth="1"/>
    <col min="6144" max="6144" width="16.796875" style="166" customWidth="1"/>
    <col min="6145" max="6145" width="17.19921875" style="166" customWidth="1"/>
    <col min="6146" max="6146" width="15.296875" style="166" customWidth="1"/>
    <col min="6147" max="6147" width="15.5" style="166" customWidth="1"/>
    <col min="6148" max="6396" width="10.69921875" style="166"/>
    <col min="6397" max="6397" width="7" style="166" customWidth="1"/>
    <col min="6398" max="6398" width="34.5" style="166" customWidth="1"/>
    <col min="6399" max="6399" width="11" style="166" customWidth="1"/>
    <col min="6400" max="6400" width="16.796875" style="166" customWidth="1"/>
    <col min="6401" max="6401" width="17.19921875" style="166" customWidth="1"/>
    <col min="6402" max="6402" width="15.296875" style="166" customWidth="1"/>
    <col min="6403" max="6403" width="15.5" style="166" customWidth="1"/>
    <col min="6404" max="6652" width="10.69921875" style="166"/>
    <col min="6653" max="6653" width="7" style="166" customWidth="1"/>
    <col min="6654" max="6654" width="34.5" style="166" customWidth="1"/>
    <col min="6655" max="6655" width="11" style="166" customWidth="1"/>
    <col min="6656" max="6656" width="16.796875" style="166" customWidth="1"/>
    <col min="6657" max="6657" width="17.19921875" style="166" customWidth="1"/>
    <col min="6658" max="6658" width="15.296875" style="166" customWidth="1"/>
    <col min="6659" max="6659" width="15.5" style="166" customWidth="1"/>
    <col min="6660" max="6908" width="10.69921875" style="166"/>
    <col min="6909" max="6909" width="7" style="166" customWidth="1"/>
    <col min="6910" max="6910" width="34.5" style="166" customWidth="1"/>
    <col min="6911" max="6911" width="11" style="166" customWidth="1"/>
    <col min="6912" max="6912" width="16.796875" style="166" customWidth="1"/>
    <col min="6913" max="6913" width="17.19921875" style="166" customWidth="1"/>
    <col min="6914" max="6914" width="15.296875" style="166" customWidth="1"/>
    <col min="6915" max="6915" width="15.5" style="166" customWidth="1"/>
    <col min="6916" max="7164" width="10.69921875" style="166"/>
    <col min="7165" max="7165" width="7" style="166" customWidth="1"/>
    <col min="7166" max="7166" width="34.5" style="166" customWidth="1"/>
    <col min="7167" max="7167" width="11" style="166" customWidth="1"/>
    <col min="7168" max="7168" width="16.796875" style="166" customWidth="1"/>
    <col min="7169" max="7169" width="17.19921875" style="166" customWidth="1"/>
    <col min="7170" max="7170" width="15.296875" style="166" customWidth="1"/>
    <col min="7171" max="7171" width="15.5" style="166" customWidth="1"/>
    <col min="7172" max="7420" width="10.69921875" style="166"/>
    <col min="7421" max="7421" width="7" style="166" customWidth="1"/>
    <col min="7422" max="7422" width="34.5" style="166" customWidth="1"/>
    <col min="7423" max="7423" width="11" style="166" customWidth="1"/>
    <col min="7424" max="7424" width="16.796875" style="166" customWidth="1"/>
    <col min="7425" max="7425" width="17.19921875" style="166" customWidth="1"/>
    <col min="7426" max="7426" width="15.296875" style="166" customWidth="1"/>
    <col min="7427" max="7427" width="15.5" style="166" customWidth="1"/>
    <col min="7428" max="7676" width="10.69921875" style="166"/>
    <col min="7677" max="7677" width="7" style="166" customWidth="1"/>
    <col min="7678" max="7678" width="34.5" style="166" customWidth="1"/>
    <col min="7679" max="7679" width="11" style="166" customWidth="1"/>
    <col min="7680" max="7680" width="16.796875" style="166" customWidth="1"/>
    <col min="7681" max="7681" width="17.19921875" style="166" customWidth="1"/>
    <col min="7682" max="7682" width="15.296875" style="166" customWidth="1"/>
    <col min="7683" max="7683" width="15.5" style="166" customWidth="1"/>
    <col min="7684" max="7932" width="10.69921875" style="166"/>
    <col min="7933" max="7933" width="7" style="166" customWidth="1"/>
    <col min="7934" max="7934" width="34.5" style="166" customWidth="1"/>
    <col min="7935" max="7935" width="11" style="166" customWidth="1"/>
    <col min="7936" max="7936" width="16.796875" style="166" customWidth="1"/>
    <col min="7937" max="7937" width="17.19921875" style="166" customWidth="1"/>
    <col min="7938" max="7938" width="15.296875" style="166" customWidth="1"/>
    <col min="7939" max="7939" width="15.5" style="166" customWidth="1"/>
    <col min="7940" max="8188" width="10.69921875" style="166"/>
    <col min="8189" max="8189" width="7" style="166" customWidth="1"/>
    <col min="8190" max="8190" width="34.5" style="166" customWidth="1"/>
    <col min="8191" max="8191" width="11" style="166" customWidth="1"/>
    <col min="8192" max="8192" width="16.796875" style="166" customWidth="1"/>
    <col min="8193" max="8193" width="17.19921875" style="166" customWidth="1"/>
    <col min="8194" max="8194" width="15.296875" style="166" customWidth="1"/>
    <col min="8195" max="8195" width="15.5" style="166" customWidth="1"/>
    <col min="8196" max="8444" width="10.69921875" style="166"/>
    <col min="8445" max="8445" width="7" style="166" customWidth="1"/>
    <col min="8446" max="8446" width="34.5" style="166" customWidth="1"/>
    <col min="8447" max="8447" width="11" style="166" customWidth="1"/>
    <col min="8448" max="8448" width="16.796875" style="166" customWidth="1"/>
    <col min="8449" max="8449" width="17.19921875" style="166" customWidth="1"/>
    <col min="8450" max="8450" width="15.296875" style="166" customWidth="1"/>
    <col min="8451" max="8451" width="15.5" style="166" customWidth="1"/>
    <col min="8452" max="8700" width="10.69921875" style="166"/>
    <col min="8701" max="8701" width="7" style="166" customWidth="1"/>
    <col min="8702" max="8702" width="34.5" style="166" customWidth="1"/>
    <col min="8703" max="8703" width="11" style="166" customWidth="1"/>
    <col min="8704" max="8704" width="16.796875" style="166" customWidth="1"/>
    <col min="8705" max="8705" width="17.19921875" style="166" customWidth="1"/>
    <col min="8706" max="8706" width="15.296875" style="166" customWidth="1"/>
    <col min="8707" max="8707" width="15.5" style="166" customWidth="1"/>
    <col min="8708" max="8956" width="10.69921875" style="166"/>
    <col min="8957" max="8957" width="7" style="166" customWidth="1"/>
    <col min="8958" max="8958" width="34.5" style="166" customWidth="1"/>
    <col min="8959" max="8959" width="11" style="166" customWidth="1"/>
    <col min="8960" max="8960" width="16.796875" style="166" customWidth="1"/>
    <col min="8961" max="8961" width="17.19921875" style="166" customWidth="1"/>
    <col min="8962" max="8962" width="15.296875" style="166" customWidth="1"/>
    <col min="8963" max="8963" width="15.5" style="166" customWidth="1"/>
    <col min="8964" max="9212" width="10.69921875" style="166"/>
    <col min="9213" max="9213" width="7" style="166" customWidth="1"/>
    <col min="9214" max="9214" width="34.5" style="166" customWidth="1"/>
    <col min="9215" max="9215" width="11" style="166" customWidth="1"/>
    <col min="9216" max="9216" width="16.796875" style="166" customWidth="1"/>
    <col min="9217" max="9217" width="17.19921875" style="166" customWidth="1"/>
    <col min="9218" max="9218" width="15.296875" style="166" customWidth="1"/>
    <col min="9219" max="9219" width="15.5" style="166" customWidth="1"/>
    <col min="9220" max="9468" width="10.69921875" style="166"/>
    <col min="9469" max="9469" width="7" style="166" customWidth="1"/>
    <col min="9470" max="9470" width="34.5" style="166" customWidth="1"/>
    <col min="9471" max="9471" width="11" style="166" customWidth="1"/>
    <col min="9472" max="9472" width="16.796875" style="166" customWidth="1"/>
    <col min="9473" max="9473" width="17.19921875" style="166" customWidth="1"/>
    <col min="9474" max="9474" width="15.296875" style="166" customWidth="1"/>
    <col min="9475" max="9475" width="15.5" style="166" customWidth="1"/>
    <col min="9476" max="9724" width="10.69921875" style="166"/>
    <col min="9725" max="9725" width="7" style="166" customWidth="1"/>
    <col min="9726" max="9726" width="34.5" style="166" customWidth="1"/>
    <col min="9727" max="9727" width="11" style="166" customWidth="1"/>
    <col min="9728" max="9728" width="16.796875" style="166" customWidth="1"/>
    <col min="9729" max="9729" width="17.19921875" style="166" customWidth="1"/>
    <col min="9730" max="9730" width="15.296875" style="166" customWidth="1"/>
    <col min="9731" max="9731" width="15.5" style="166" customWidth="1"/>
    <col min="9732" max="9980" width="10.69921875" style="166"/>
    <col min="9981" max="9981" width="7" style="166" customWidth="1"/>
    <col min="9982" max="9982" width="34.5" style="166" customWidth="1"/>
    <col min="9983" max="9983" width="11" style="166" customWidth="1"/>
    <col min="9984" max="9984" width="16.796875" style="166" customWidth="1"/>
    <col min="9985" max="9985" width="17.19921875" style="166" customWidth="1"/>
    <col min="9986" max="9986" width="15.296875" style="166" customWidth="1"/>
    <col min="9987" max="9987" width="15.5" style="166" customWidth="1"/>
    <col min="9988" max="10236" width="10.69921875" style="166"/>
    <col min="10237" max="10237" width="7" style="166" customWidth="1"/>
    <col min="10238" max="10238" width="34.5" style="166" customWidth="1"/>
    <col min="10239" max="10239" width="11" style="166" customWidth="1"/>
    <col min="10240" max="10240" width="16.796875" style="166" customWidth="1"/>
    <col min="10241" max="10241" width="17.19921875" style="166" customWidth="1"/>
    <col min="10242" max="10242" width="15.296875" style="166" customWidth="1"/>
    <col min="10243" max="10243" width="15.5" style="166" customWidth="1"/>
    <col min="10244" max="10492" width="10.69921875" style="166"/>
    <col min="10493" max="10493" width="7" style="166" customWidth="1"/>
    <col min="10494" max="10494" width="34.5" style="166" customWidth="1"/>
    <col min="10495" max="10495" width="11" style="166" customWidth="1"/>
    <col min="10496" max="10496" width="16.796875" style="166" customWidth="1"/>
    <col min="10497" max="10497" width="17.19921875" style="166" customWidth="1"/>
    <col min="10498" max="10498" width="15.296875" style="166" customWidth="1"/>
    <col min="10499" max="10499" width="15.5" style="166" customWidth="1"/>
    <col min="10500" max="10748" width="10.69921875" style="166"/>
    <col min="10749" max="10749" width="7" style="166" customWidth="1"/>
    <col min="10750" max="10750" width="34.5" style="166" customWidth="1"/>
    <col min="10751" max="10751" width="11" style="166" customWidth="1"/>
    <col min="10752" max="10752" width="16.796875" style="166" customWidth="1"/>
    <col min="10753" max="10753" width="17.19921875" style="166" customWidth="1"/>
    <col min="10754" max="10754" width="15.296875" style="166" customWidth="1"/>
    <col min="10755" max="10755" width="15.5" style="166" customWidth="1"/>
    <col min="10756" max="11004" width="10.69921875" style="166"/>
    <col min="11005" max="11005" width="7" style="166" customWidth="1"/>
    <col min="11006" max="11006" width="34.5" style="166" customWidth="1"/>
    <col min="11007" max="11007" width="11" style="166" customWidth="1"/>
    <col min="11008" max="11008" width="16.796875" style="166" customWidth="1"/>
    <col min="11009" max="11009" width="17.19921875" style="166" customWidth="1"/>
    <col min="11010" max="11010" width="15.296875" style="166" customWidth="1"/>
    <col min="11011" max="11011" width="15.5" style="166" customWidth="1"/>
    <col min="11012" max="11260" width="10.69921875" style="166"/>
    <col min="11261" max="11261" width="7" style="166" customWidth="1"/>
    <col min="11262" max="11262" width="34.5" style="166" customWidth="1"/>
    <col min="11263" max="11263" width="11" style="166" customWidth="1"/>
    <col min="11264" max="11264" width="16.796875" style="166" customWidth="1"/>
    <col min="11265" max="11265" width="17.19921875" style="166" customWidth="1"/>
    <col min="11266" max="11266" width="15.296875" style="166" customWidth="1"/>
    <col min="11267" max="11267" width="15.5" style="166" customWidth="1"/>
    <col min="11268" max="11516" width="10.69921875" style="166"/>
    <col min="11517" max="11517" width="7" style="166" customWidth="1"/>
    <col min="11518" max="11518" width="34.5" style="166" customWidth="1"/>
    <col min="11519" max="11519" width="11" style="166" customWidth="1"/>
    <col min="11520" max="11520" width="16.796875" style="166" customWidth="1"/>
    <col min="11521" max="11521" width="17.19921875" style="166" customWidth="1"/>
    <col min="11522" max="11522" width="15.296875" style="166" customWidth="1"/>
    <col min="11523" max="11523" width="15.5" style="166" customWidth="1"/>
    <col min="11524" max="11772" width="10.69921875" style="166"/>
    <col min="11773" max="11773" width="7" style="166" customWidth="1"/>
    <col min="11774" max="11774" width="34.5" style="166" customWidth="1"/>
    <col min="11775" max="11775" width="11" style="166" customWidth="1"/>
    <col min="11776" max="11776" width="16.796875" style="166" customWidth="1"/>
    <col min="11777" max="11777" width="17.19921875" style="166" customWidth="1"/>
    <col min="11778" max="11778" width="15.296875" style="166" customWidth="1"/>
    <col min="11779" max="11779" width="15.5" style="166" customWidth="1"/>
    <col min="11780" max="12028" width="10.69921875" style="166"/>
    <col min="12029" max="12029" width="7" style="166" customWidth="1"/>
    <col min="12030" max="12030" width="34.5" style="166" customWidth="1"/>
    <col min="12031" max="12031" width="11" style="166" customWidth="1"/>
    <col min="12032" max="12032" width="16.796875" style="166" customWidth="1"/>
    <col min="12033" max="12033" width="17.19921875" style="166" customWidth="1"/>
    <col min="12034" max="12034" width="15.296875" style="166" customWidth="1"/>
    <col min="12035" max="12035" width="15.5" style="166" customWidth="1"/>
    <col min="12036" max="12284" width="10.69921875" style="166"/>
    <col min="12285" max="12285" width="7" style="166" customWidth="1"/>
    <col min="12286" max="12286" width="34.5" style="166" customWidth="1"/>
    <col min="12287" max="12287" width="11" style="166" customWidth="1"/>
    <col min="12288" max="12288" width="16.796875" style="166" customWidth="1"/>
    <col min="12289" max="12289" width="17.19921875" style="166" customWidth="1"/>
    <col min="12290" max="12290" width="15.296875" style="166" customWidth="1"/>
    <col min="12291" max="12291" width="15.5" style="166" customWidth="1"/>
    <col min="12292" max="12540" width="10.69921875" style="166"/>
    <col min="12541" max="12541" width="7" style="166" customWidth="1"/>
    <col min="12542" max="12542" width="34.5" style="166" customWidth="1"/>
    <col min="12543" max="12543" width="11" style="166" customWidth="1"/>
    <col min="12544" max="12544" width="16.796875" style="166" customWidth="1"/>
    <col min="12545" max="12545" width="17.19921875" style="166" customWidth="1"/>
    <col min="12546" max="12546" width="15.296875" style="166" customWidth="1"/>
    <col min="12547" max="12547" width="15.5" style="166" customWidth="1"/>
    <col min="12548" max="12796" width="10.69921875" style="166"/>
    <col min="12797" max="12797" width="7" style="166" customWidth="1"/>
    <col min="12798" max="12798" width="34.5" style="166" customWidth="1"/>
    <col min="12799" max="12799" width="11" style="166" customWidth="1"/>
    <col min="12800" max="12800" width="16.796875" style="166" customWidth="1"/>
    <col min="12801" max="12801" width="17.19921875" style="166" customWidth="1"/>
    <col min="12802" max="12802" width="15.296875" style="166" customWidth="1"/>
    <col min="12803" max="12803" width="15.5" style="166" customWidth="1"/>
    <col min="12804" max="13052" width="10.69921875" style="166"/>
    <col min="13053" max="13053" width="7" style="166" customWidth="1"/>
    <col min="13054" max="13054" width="34.5" style="166" customWidth="1"/>
    <col min="13055" max="13055" width="11" style="166" customWidth="1"/>
    <col min="13056" max="13056" width="16.796875" style="166" customWidth="1"/>
    <col min="13057" max="13057" width="17.19921875" style="166" customWidth="1"/>
    <col min="13058" max="13058" width="15.296875" style="166" customWidth="1"/>
    <col min="13059" max="13059" width="15.5" style="166" customWidth="1"/>
    <col min="13060" max="13308" width="10.69921875" style="166"/>
    <col min="13309" max="13309" width="7" style="166" customWidth="1"/>
    <col min="13310" max="13310" width="34.5" style="166" customWidth="1"/>
    <col min="13311" max="13311" width="11" style="166" customWidth="1"/>
    <col min="13312" max="13312" width="16.796875" style="166" customWidth="1"/>
    <col min="13313" max="13313" width="17.19921875" style="166" customWidth="1"/>
    <col min="13314" max="13314" width="15.296875" style="166" customWidth="1"/>
    <col min="13315" max="13315" width="15.5" style="166" customWidth="1"/>
    <col min="13316" max="13564" width="10.69921875" style="166"/>
    <col min="13565" max="13565" width="7" style="166" customWidth="1"/>
    <col min="13566" max="13566" width="34.5" style="166" customWidth="1"/>
    <col min="13567" max="13567" width="11" style="166" customWidth="1"/>
    <col min="13568" max="13568" width="16.796875" style="166" customWidth="1"/>
    <col min="13569" max="13569" width="17.19921875" style="166" customWidth="1"/>
    <col min="13570" max="13570" width="15.296875" style="166" customWidth="1"/>
    <col min="13571" max="13571" width="15.5" style="166" customWidth="1"/>
    <col min="13572" max="13820" width="10.69921875" style="166"/>
    <col min="13821" max="13821" width="7" style="166" customWidth="1"/>
    <col min="13822" max="13822" width="34.5" style="166" customWidth="1"/>
    <col min="13823" max="13823" width="11" style="166" customWidth="1"/>
    <col min="13824" max="13824" width="16.796875" style="166" customWidth="1"/>
    <col min="13825" max="13825" width="17.19921875" style="166" customWidth="1"/>
    <col min="13826" max="13826" width="15.296875" style="166" customWidth="1"/>
    <col min="13827" max="13827" width="15.5" style="166" customWidth="1"/>
    <col min="13828" max="14076" width="10.69921875" style="166"/>
    <col min="14077" max="14077" width="7" style="166" customWidth="1"/>
    <col min="14078" max="14078" width="34.5" style="166" customWidth="1"/>
    <col min="14079" max="14079" width="11" style="166" customWidth="1"/>
    <col min="14080" max="14080" width="16.796875" style="166" customWidth="1"/>
    <col min="14081" max="14081" width="17.19921875" style="166" customWidth="1"/>
    <col min="14082" max="14082" width="15.296875" style="166" customWidth="1"/>
    <col min="14083" max="14083" width="15.5" style="166" customWidth="1"/>
    <col min="14084" max="14332" width="10.69921875" style="166"/>
    <col min="14333" max="14333" width="7" style="166" customWidth="1"/>
    <col min="14334" max="14334" width="34.5" style="166" customWidth="1"/>
    <col min="14335" max="14335" width="11" style="166" customWidth="1"/>
    <col min="14336" max="14336" width="16.796875" style="166" customWidth="1"/>
    <col min="14337" max="14337" width="17.19921875" style="166" customWidth="1"/>
    <col min="14338" max="14338" width="15.296875" style="166" customWidth="1"/>
    <col min="14339" max="14339" width="15.5" style="166" customWidth="1"/>
    <col min="14340" max="14588" width="10.69921875" style="166"/>
    <col min="14589" max="14589" width="7" style="166" customWidth="1"/>
    <col min="14590" max="14590" width="34.5" style="166" customWidth="1"/>
    <col min="14591" max="14591" width="11" style="166" customWidth="1"/>
    <col min="14592" max="14592" width="16.796875" style="166" customWidth="1"/>
    <col min="14593" max="14593" width="17.19921875" style="166" customWidth="1"/>
    <col min="14594" max="14594" width="15.296875" style="166" customWidth="1"/>
    <col min="14595" max="14595" width="15.5" style="166" customWidth="1"/>
    <col min="14596" max="14844" width="10.69921875" style="166"/>
    <col min="14845" max="14845" width="7" style="166" customWidth="1"/>
    <col min="14846" max="14846" width="34.5" style="166" customWidth="1"/>
    <col min="14847" max="14847" width="11" style="166" customWidth="1"/>
    <col min="14848" max="14848" width="16.796875" style="166" customWidth="1"/>
    <col min="14849" max="14849" width="17.19921875" style="166" customWidth="1"/>
    <col min="14850" max="14850" width="15.296875" style="166" customWidth="1"/>
    <col min="14851" max="14851" width="15.5" style="166" customWidth="1"/>
    <col min="14852" max="15100" width="10.69921875" style="166"/>
    <col min="15101" max="15101" width="7" style="166" customWidth="1"/>
    <col min="15102" max="15102" width="34.5" style="166" customWidth="1"/>
    <col min="15103" max="15103" width="11" style="166" customWidth="1"/>
    <col min="15104" max="15104" width="16.796875" style="166" customWidth="1"/>
    <col min="15105" max="15105" width="17.19921875" style="166" customWidth="1"/>
    <col min="15106" max="15106" width="15.296875" style="166" customWidth="1"/>
    <col min="15107" max="15107" width="15.5" style="166" customWidth="1"/>
    <col min="15108" max="15356" width="10.69921875" style="166"/>
    <col min="15357" max="15357" width="7" style="166" customWidth="1"/>
    <col min="15358" max="15358" width="34.5" style="166" customWidth="1"/>
    <col min="15359" max="15359" width="11" style="166" customWidth="1"/>
    <col min="15360" max="15360" width="16.796875" style="166" customWidth="1"/>
    <col min="15361" max="15361" width="17.19921875" style="166" customWidth="1"/>
    <col min="15362" max="15362" width="15.296875" style="166" customWidth="1"/>
    <col min="15363" max="15363" width="15.5" style="166" customWidth="1"/>
    <col min="15364" max="15612" width="10.69921875" style="166"/>
    <col min="15613" max="15613" width="7" style="166" customWidth="1"/>
    <col min="15614" max="15614" width="34.5" style="166" customWidth="1"/>
    <col min="15615" max="15615" width="11" style="166" customWidth="1"/>
    <col min="15616" max="15616" width="16.796875" style="166" customWidth="1"/>
    <col min="15617" max="15617" width="17.19921875" style="166" customWidth="1"/>
    <col min="15618" max="15618" width="15.296875" style="166" customWidth="1"/>
    <col min="15619" max="15619" width="15.5" style="166" customWidth="1"/>
    <col min="15620" max="15868" width="10.69921875" style="166"/>
    <col min="15869" max="15869" width="7" style="166" customWidth="1"/>
    <col min="15870" max="15870" width="34.5" style="166" customWidth="1"/>
    <col min="15871" max="15871" width="11" style="166" customWidth="1"/>
    <col min="15872" max="15872" width="16.796875" style="166" customWidth="1"/>
    <col min="15873" max="15873" width="17.19921875" style="166" customWidth="1"/>
    <col min="15874" max="15874" width="15.296875" style="166" customWidth="1"/>
    <col min="15875" max="15875" width="15.5" style="166" customWidth="1"/>
    <col min="15876" max="16124" width="10.69921875" style="166"/>
    <col min="16125" max="16125" width="7" style="166" customWidth="1"/>
    <col min="16126" max="16126" width="34.5" style="166" customWidth="1"/>
    <col min="16127" max="16127" width="11" style="166" customWidth="1"/>
    <col min="16128" max="16128" width="16.796875" style="166" customWidth="1"/>
    <col min="16129" max="16129" width="17.19921875" style="166" customWidth="1"/>
    <col min="16130" max="16130" width="15.296875" style="166" customWidth="1"/>
    <col min="16131" max="16131" width="15.5" style="166" customWidth="1"/>
    <col min="16132" max="16384" width="10.69921875" style="166"/>
  </cols>
  <sheetData>
    <row r="1" spans="1:7" ht="40.5" customHeight="1" x14ac:dyDescent="0.3">
      <c r="A1" s="1043" t="s">
        <v>618</v>
      </c>
      <c r="B1" s="1043"/>
      <c r="C1" s="1043"/>
      <c r="D1" s="1043"/>
      <c r="E1" s="1043"/>
      <c r="F1" s="1043"/>
      <c r="G1" s="1043"/>
    </row>
    <row r="2" spans="1:7" x14ac:dyDescent="0.3">
      <c r="A2" s="167"/>
      <c r="B2" s="167"/>
      <c r="E2" s="166"/>
      <c r="F2" s="170" t="s">
        <v>799</v>
      </c>
      <c r="G2" s="617" t="s">
        <v>1</v>
      </c>
    </row>
    <row r="3" spans="1:7" s="547" customFormat="1" ht="33.75" customHeight="1" x14ac:dyDescent="0.3">
      <c r="A3" s="355" t="s">
        <v>554</v>
      </c>
      <c r="B3" s="355" t="s">
        <v>636</v>
      </c>
      <c r="C3" s="355" t="s">
        <v>560</v>
      </c>
      <c r="D3" s="546" t="s">
        <v>822</v>
      </c>
      <c r="E3" s="242" t="s">
        <v>796</v>
      </c>
      <c r="F3" s="549" t="s">
        <v>823</v>
      </c>
      <c r="G3" s="618" t="s">
        <v>824</v>
      </c>
    </row>
    <row r="4" spans="1:7" s="168" customFormat="1" ht="18.75" customHeight="1" x14ac:dyDescent="0.3">
      <c r="A4" s="356" t="s">
        <v>10</v>
      </c>
      <c r="B4" s="357" t="s">
        <v>615</v>
      </c>
      <c r="C4" s="358">
        <v>5000000</v>
      </c>
      <c r="D4" s="243">
        <f t="shared" ref="D4:D9" si="0">E4-C4</f>
        <v>0</v>
      </c>
      <c r="E4" s="243">
        <v>5000000</v>
      </c>
      <c r="F4" s="548"/>
      <c r="G4" s="619"/>
    </row>
    <row r="5" spans="1:7" s="168" customFormat="1" ht="18.75" customHeight="1" x14ac:dyDescent="0.3">
      <c r="A5" s="356" t="s">
        <v>13</v>
      </c>
      <c r="B5" s="357" t="s">
        <v>614</v>
      </c>
      <c r="C5" s="358">
        <v>1500000</v>
      </c>
      <c r="D5" s="243">
        <f t="shared" si="0"/>
        <v>0</v>
      </c>
      <c r="E5" s="243">
        <v>1500000</v>
      </c>
      <c r="F5" s="548"/>
      <c r="G5" s="619"/>
    </row>
    <row r="6" spans="1:7" s="168" customFormat="1" ht="18.75" customHeight="1" x14ac:dyDescent="0.3">
      <c r="A6" s="356" t="s">
        <v>16</v>
      </c>
      <c r="B6" s="357" t="s">
        <v>616</v>
      </c>
      <c r="C6" s="358">
        <v>2000000</v>
      </c>
      <c r="D6" s="243">
        <f t="shared" si="0"/>
        <v>0</v>
      </c>
      <c r="E6" s="243">
        <v>2000000</v>
      </c>
      <c r="F6" s="548"/>
      <c r="G6" s="619"/>
    </row>
    <row r="7" spans="1:7" s="168" customFormat="1" ht="18.75" customHeight="1" x14ac:dyDescent="0.3">
      <c r="A7" s="356" t="s">
        <v>19</v>
      </c>
      <c r="B7" s="357" t="s">
        <v>617</v>
      </c>
      <c r="C7" s="358">
        <v>3000000</v>
      </c>
      <c r="D7" s="243">
        <f t="shared" si="0"/>
        <v>0</v>
      </c>
      <c r="E7" s="243">
        <v>3000000</v>
      </c>
      <c r="F7" s="548"/>
      <c r="G7" s="619"/>
    </row>
    <row r="8" spans="1:7" s="168" customFormat="1" ht="18.75" customHeight="1" x14ac:dyDescent="0.3">
      <c r="A8" s="356" t="s">
        <v>22</v>
      </c>
      <c r="B8" s="357" t="s">
        <v>748</v>
      </c>
      <c r="C8" s="358">
        <v>5000000</v>
      </c>
      <c r="D8" s="243">
        <f t="shared" si="0"/>
        <v>0</v>
      </c>
      <c r="E8" s="243">
        <v>5000000</v>
      </c>
      <c r="F8" s="548"/>
      <c r="G8" s="619"/>
    </row>
    <row r="9" spans="1:7" s="168" customFormat="1" ht="18.75" customHeight="1" x14ac:dyDescent="0.3">
      <c r="A9" s="356" t="s">
        <v>25</v>
      </c>
      <c r="B9" s="357" t="s">
        <v>613</v>
      </c>
      <c r="C9" s="358">
        <v>49643000</v>
      </c>
      <c r="D9" s="243">
        <f t="shared" si="0"/>
        <v>7776234</v>
      </c>
      <c r="E9" s="243">
        <v>57419234</v>
      </c>
      <c r="F9" s="548"/>
      <c r="G9" s="619"/>
    </row>
    <row r="10" spans="1:7" s="165" customFormat="1" ht="18.75" customHeight="1" x14ac:dyDescent="0.3">
      <c r="A10" s="888"/>
      <c r="B10" s="888" t="s">
        <v>535</v>
      </c>
      <c r="C10" s="889">
        <f>SUM(C4:C9)</f>
        <v>66143000</v>
      </c>
      <c r="D10" s="889">
        <f t="shared" ref="D10:E10" si="1">SUM(D4:D9)</f>
        <v>7776234</v>
      </c>
      <c r="E10" s="889">
        <f t="shared" si="1"/>
        <v>73919234</v>
      </c>
      <c r="F10" s="888">
        <v>73763446</v>
      </c>
      <c r="G10" s="890">
        <f>F10/E10</f>
        <v>0.997892456515445</v>
      </c>
    </row>
    <row r="11" spans="1:7" s="165" customFormat="1" x14ac:dyDescent="0.3">
      <c r="A11" s="169"/>
      <c r="B11" s="169"/>
      <c r="C11" s="164"/>
      <c r="D11" s="244"/>
      <c r="E11" s="244"/>
      <c r="G11" s="620"/>
    </row>
    <row r="12" spans="1:7" s="165" customFormat="1" ht="12.75" customHeight="1" x14ac:dyDescent="0.3">
      <c r="A12" s="1043" t="s">
        <v>619</v>
      </c>
      <c r="B12" s="1043"/>
      <c r="C12" s="1043"/>
      <c r="D12" s="1043"/>
      <c r="E12" s="1043"/>
      <c r="F12" s="1043"/>
      <c r="G12" s="1043"/>
    </row>
    <row r="13" spans="1:7" s="165" customFormat="1" ht="12.75" customHeight="1" x14ac:dyDescent="0.3">
      <c r="A13" s="1043"/>
      <c r="B13" s="1043"/>
      <c r="C13" s="1043"/>
      <c r="D13" s="1043"/>
      <c r="E13" s="1043"/>
      <c r="F13" s="1043"/>
      <c r="G13" s="1043"/>
    </row>
    <row r="14" spans="1:7" s="165" customFormat="1" ht="12.75" customHeight="1" x14ac:dyDescent="0.3">
      <c r="A14" s="1043"/>
      <c r="B14" s="1043"/>
      <c r="C14" s="1043"/>
      <c r="D14" s="1043"/>
      <c r="E14" s="1043"/>
      <c r="F14" s="1043"/>
      <c r="G14" s="1043"/>
    </row>
    <row r="15" spans="1:7" s="165" customFormat="1" x14ac:dyDescent="0.3">
      <c r="A15" s="167"/>
      <c r="B15" s="167"/>
      <c r="D15" s="244"/>
      <c r="E15" s="170"/>
      <c r="G15" s="170" t="s">
        <v>1</v>
      </c>
    </row>
    <row r="16" spans="1:7" ht="35.25" customHeight="1" x14ac:dyDescent="0.3">
      <c r="A16" s="355" t="s">
        <v>554</v>
      </c>
      <c r="B16" s="355" t="s">
        <v>636</v>
      </c>
      <c r="C16" s="355" t="s">
        <v>560</v>
      </c>
      <c r="D16" s="546" t="s">
        <v>822</v>
      </c>
      <c r="E16" s="242" t="s">
        <v>796</v>
      </c>
      <c r="F16" s="549" t="s">
        <v>823</v>
      </c>
      <c r="G16" s="618" t="s">
        <v>824</v>
      </c>
    </row>
    <row r="17" spans="1:7" ht="18" customHeight="1" x14ac:dyDescent="0.3">
      <c r="A17" s="356" t="s">
        <v>10</v>
      </c>
      <c r="B17" s="357" t="s">
        <v>620</v>
      </c>
      <c r="C17" s="358">
        <v>677160</v>
      </c>
      <c r="D17" s="245">
        <f>E17-C17</f>
        <v>12441700</v>
      </c>
      <c r="E17" s="245">
        <v>13118860</v>
      </c>
      <c r="F17" s="872">
        <v>13118860</v>
      </c>
      <c r="G17" s="621">
        <f>F17/E17</f>
        <v>1</v>
      </c>
    </row>
    <row r="18" spans="1:7" ht="18" customHeight="1" x14ac:dyDescent="0.3">
      <c r="A18" s="356" t="s">
        <v>13</v>
      </c>
      <c r="B18" s="357" t="s">
        <v>646</v>
      </c>
      <c r="C18" s="358"/>
      <c r="D18" s="245"/>
      <c r="E18" s="245"/>
      <c r="F18" s="246"/>
      <c r="G18" s="621" t="s">
        <v>799</v>
      </c>
    </row>
    <row r="19" spans="1:7" ht="18" customHeight="1" x14ac:dyDescent="0.3">
      <c r="A19" s="359" t="s">
        <v>16</v>
      </c>
      <c r="B19" s="360" t="s">
        <v>535</v>
      </c>
      <c r="C19" s="361">
        <f>SUM(C17:C18)</f>
        <v>677160</v>
      </c>
      <c r="D19" s="361">
        <f t="shared" ref="D19:F19" si="2">SUM(D17:D18)</f>
        <v>12441700</v>
      </c>
      <c r="E19" s="361">
        <f t="shared" si="2"/>
        <v>13118860</v>
      </c>
      <c r="F19" s="361">
        <f t="shared" si="2"/>
        <v>13118860</v>
      </c>
      <c r="G19" s="621">
        <f t="shared" ref="G19:G20" si="3">F19/E19</f>
        <v>1</v>
      </c>
    </row>
    <row r="20" spans="1:7" s="165" customFormat="1" ht="18.75" customHeight="1" x14ac:dyDescent="0.3">
      <c r="A20" s="775" t="s">
        <v>19</v>
      </c>
      <c r="B20" s="776" t="s">
        <v>958</v>
      </c>
      <c r="C20" s="777">
        <f>C10+C19</f>
        <v>66820160</v>
      </c>
      <c r="D20" s="777">
        <f t="shared" ref="D20:F20" si="4">D10+D19</f>
        <v>20217934</v>
      </c>
      <c r="E20" s="777">
        <f t="shared" si="4"/>
        <v>87038094</v>
      </c>
      <c r="F20" s="777">
        <f t="shared" si="4"/>
        <v>86882306</v>
      </c>
      <c r="G20" s="621">
        <f t="shared" si="3"/>
        <v>0.99821011705518281</v>
      </c>
    </row>
  </sheetData>
  <mergeCells count="2">
    <mergeCell ref="A1:G1"/>
    <mergeCell ref="A12:G14"/>
  </mergeCells>
  <printOptions horizontalCentered="1"/>
  <pageMargins left="0.25" right="0.25" top="0.75" bottom="0.75" header="0.3" footer="0.3"/>
  <pageSetup paperSize="9" orientation="landscape" r:id="rId1"/>
  <headerFooter>
    <oddHeader>&amp;R&amp;"Times New Roman CE,Félkövér dőlt"&amp;11 6. melléklet a 7/2018. (V.31. 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view="pageLayout" zoomScaleNormal="100" workbookViewId="0">
      <selection activeCell="D17" sqref="D17"/>
    </sheetView>
  </sheetViews>
  <sheetFormatPr defaultColWidth="9.296875" defaultRowHeight="15.5" x14ac:dyDescent="0.35"/>
  <cols>
    <col min="1" max="1" width="38" style="35" customWidth="1"/>
    <col min="2" max="2" width="17" style="35" customWidth="1"/>
    <col min="3" max="3" width="13" style="35" customWidth="1"/>
    <col min="4" max="4" width="17" style="35" customWidth="1"/>
    <col min="5" max="5" width="12.69921875" style="35" customWidth="1"/>
    <col min="6" max="6" width="17" style="35" customWidth="1"/>
    <col min="7" max="7" width="12.296875" style="35" customWidth="1"/>
    <col min="8" max="8" width="17" style="35" customWidth="1"/>
    <col min="9" max="9" width="12.296875" style="35" customWidth="1"/>
    <col min="10" max="10" width="16" style="35" customWidth="1"/>
    <col min="11" max="11" width="12" style="35" customWidth="1"/>
    <col min="12" max="12" width="17" style="35" customWidth="1"/>
    <col min="13" max="13" width="12.796875" style="35" customWidth="1"/>
    <col min="14" max="14" width="13.69921875" style="35" customWidth="1"/>
    <col min="15" max="16" width="12" style="35" customWidth="1"/>
    <col min="17" max="16384" width="9.296875" style="35"/>
  </cols>
  <sheetData>
    <row r="1" spans="1:19" ht="57.75" customHeight="1" x14ac:dyDescent="0.35">
      <c r="A1" s="1044" t="s">
        <v>819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42"/>
      <c r="N1" s="42"/>
      <c r="O1" s="42"/>
      <c r="P1" s="42"/>
    </row>
    <row r="2" spans="1:19" ht="15" customHeigh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045"/>
      <c r="P2" s="1045"/>
      <c r="Q2" s="36"/>
    </row>
    <row r="3" spans="1:19" ht="16.5" customHeight="1" x14ac:dyDescent="0.35">
      <c r="A3" s="40"/>
      <c r="B3" s="718"/>
      <c r="C3" s="718"/>
      <c r="D3" s="718"/>
      <c r="E3" s="718"/>
      <c r="F3" s="718"/>
      <c r="G3" s="718"/>
      <c r="H3" s="718"/>
      <c r="I3" s="718"/>
      <c r="J3" s="718"/>
      <c r="K3" s="37"/>
      <c r="L3" s="43" t="s">
        <v>1</v>
      </c>
      <c r="M3" s="37"/>
      <c r="N3" s="41"/>
      <c r="O3" s="41"/>
      <c r="P3" s="41"/>
      <c r="Q3" s="36"/>
      <c r="R3" s="36"/>
      <c r="S3" s="36"/>
    </row>
    <row r="4" spans="1:19" ht="30" customHeight="1" x14ac:dyDescent="0.35">
      <c r="A4" s="1046" t="s">
        <v>267</v>
      </c>
      <c r="B4" s="1048" t="s">
        <v>667</v>
      </c>
      <c r="C4" s="1048"/>
      <c r="D4" s="1048" t="s">
        <v>669</v>
      </c>
      <c r="E4" s="1048"/>
      <c r="F4" s="1048" t="s">
        <v>670</v>
      </c>
      <c r="G4" s="1049"/>
      <c r="H4" s="1050" t="s">
        <v>425</v>
      </c>
      <c r="I4" s="1051"/>
      <c r="J4" s="1050" t="s">
        <v>540</v>
      </c>
      <c r="K4" s="1051"/>
      <c r="L4" s="1050" t="s">
        <v>421</v>
      </c>
      <c r="M4" s="37"/>
      <c r="N4" s="38"/>
      <c r="O4" s="38"/>
      <c r="P4" s="41"/>
      <c r="Q4" s="36"/>
      <c r="R4" s="36"/>
      <c r="S4" s="36"/>
    </row>
    <row r="5" spans="1:19" ht="62.25" customHeight="1" x14ac:dyDescent="0.35">
      <c r="A5" s="1047"/>
      <c r="B5" s="362" t="s">
        <v>666</v>
      </c>
      <c r="C5" s="362" t="s">
        <v>423</v>
      </c>
      <c r="D5" s="362" t="s">
        <v>665</v>
      </c>
      <c r="E5" s="362" t="s">
        <v>423</v>
      </c>
      <c r="F5" s="363" t="s">
        <v>422</v>
      </c>
      <c r="G5" s="362" t="s">
        <v>423</v>
      </c>
      <c r="H5" s="362" t="s">
        <v>426</v>
      </c>
      <c r="I5" s="362" t="s">
        <v>423</v>
      </c>
      <c r="J5" s="362" t="s">
        <v>668</v>
      </c>
      <c r="K5" s="362" t="s">
        <v>423</v>
      </c>
      <c r="L5" s="1051"/>
      <c r="M5" s="39"/>
      <c r="N5" s="39"/>
      <c r="O5" s="39"/>
      <c r="P5" s="41"/>
      <c r="Q5" s="36"/>
      <c r="R5" s="36"/>
      <c r="S5" s="36"/>
    </row>
    <row r="6" spans="1:19" s="528" customFormat="1" ht="32.25" customHeight="1" x14ac:dyDescent="0.35">
      <c r="A6" s="525" t="s">
        <v>427</v>
      </c>
      <c r="B6" s="632">
        <v>640402</v>
      </c>
      <c r="C6" s="715">
        <f>ROUND(B6/L6*100,1)</f>
        <v>2.2000000000000002</v>
      </c>
      <c r="D6" s="632">
        <v>19921514</v>
      </c>
      <c r="E6" s="715">
        <f>ROUND(D6/L6*100,1)</f>
        <v>69.8</v>
      </c>
      <c r="F6" s="632">
        <v>700000</v>
      </c>
      <c r="G6" s="715">
        <f>ROUND((F6/L6)*100,1)</f>
        <v>2.5</v>
      </c>
      <c r="H6" s="632">
        <v>7273777</v>
      </c>
      <c r="I6" s="715">
        <f>ROUND((H6/L6)*100,1)</f>
        <v>25.5</v>
      </c>
      <c r="J6" s="716">
        <v>0</v>
      </c>
      <c r="K6" s="527">
        <f>J6/L6*100</f>
        <v>0</v>
      </c>
      <c r="L6" s="526">
        <f>B6+D6+F6+H6+J6</f>
        <v>28535693</v>
      </c>
    </row>
    <row r="7" spans="1:19" s="529" customFormat="1" ht="32.25" customHeight="1" x14ac:dyDescent="0.3">
      <c r="A7" s="639" t="s">
        <v>796</v>
      </c>
      <c r="B7" s="638">
        <v>7426113</v>
      </c>
      <c r="C7" s="715">
        <f t="shared" ref="C7:C18" si="0">ROUND(B7/L7*100,1)</f>
        <v>18.7</v>
      </c>
      <c r="D7" s="638">
        <v>27984874</v>
      </c>
      <c r="E7" s="715">
        <f t="shared" ref="E7:E18" si="1">ROUND(D7/L7*100,1)</f>
        <v>70.599999999999994</v>
      </c>
      <c r="F7" s="638">
        <v>1065071</v>
      </c>
      <c r="G7" s="715">
        <f t="shared" ref="G7:G18" si="2">ROUND((F7/L7)*100,1)</f>
        <v>2.7</v>
      </c>
      <c r="H7" s="638">
        <v>2374373</v>
      </c>
      <c r="I7" s="715">
        <f t="shared" ref="I7:I18" si="3">ROUND((H7/L7)*100,1)</f>
        <v>6</v>
      </c>
      <c r="J7" s="638">
        <f t="shared" ref="J7" si="4">J8-J6</f>
        <v>788326</v>
      </c>
      <c r="K7" s="527">
        <f t="shared" ref="K7:K18" si="5">J7/L7*100</f>
        <v>1.9887757832567756</v>
      </c>
      <c r="L7" s="365">
        <f>B7+D7+F7+H7+J7</f>
        <v>39638757</v>
      </c>
    </row>
    <row r="8" spans="1:19" s="631" customFormat="1" ht="32.25" customHeight="1" x14ac:dyDescent="0.35">
      <c r="A8" s="640" t="s">
        <v>823</v>
      </c>
      <c r="B8" s="641">
        <v>3900861</v>
      </c>
      <c r="C8" s="715">
        <f t="shared" si="0"/>
        <v>11.6</v>
      </c>
      <c r="D8" s="641">
        <v>27984874</v>
      </c>
      <c r="E8" s="715">
        <f t="shared" si="1"/>
        <v>83.4</v>
      </c>
      <c r="F8" s="641">
        <v>1065071</v>
      </c>
      <c r="G8" s="715">
        <f t="shared" si="2"/>
        <v>3.2</v>
      </c>
      <c r="H8" s="641">
        <v>-176188</v>
      </c>
      <c r="I8" s="715">
        <f t="shared" si="3"/>
        <v>-0.5</v>
      </c>
      <c r="J8" s="717">
        <v>788326</v>
      </c>
      <c r="K8" s="527">
        <f t="shared" si="5"/>
        <v>2.3487987227818872</v>
      </c>
      <c r="L8" s="629">
        <f>B8+D8+F8+H8+J8</f>
        <v>33562944</v>
      </c>
    </row>
    <row r="9" spans="1:19" s="528" customFormat="1" ht="27" customHeight="1" x14ac:dyDescent="0.35">
      <c r="A9" s="642" t="s">
        <v>400</v>
      </c>
      <c r="B9" s="632"/>
      <c r="C9" s="715">
        <f t="shared" si="0"/>
        <v>0</v>
      </c>
      <c r="D9" s="632">
        <v>205235924</v>
      </c>
      <c r="E9" s="715">
        <f t="shared" si="1"/>
        <v>73.3</v>
      </c>
      <c r="F9" s="632">
        <v>6620344</v>
      </c>
      <c r="G9" s="715">
        <f t="shared" si="2"/>
        <v>2.4</v>
      </c>
      <c r="H9" s="632">
        <v>68115247</v>
      </c>
      <c r="I9" s="715">
        <f t="shared" si="3"/>
        <v>24.3</v>
      </c>
      <c r="J9" s="716"/>
      <c r="K9" s="527">
        <f t="shared" si="5"/>
        <v>0</v>
      </c>
      <c r="L9" s="526">
        <f t="shared" ref="L9:L14" si="6">B9+D9+F9+H9+J9</f>
        <v>279971515</v>
      </c>
    </row>
    <row r="10" spans="1:19" s="529" customFormat="1" ht="27" customHeight="1" x14ac:dyDescent="0.3">
      <c r="A10" s="627" t="s">
        <v>796</v>
      </c>
      <c r="B10" s="638">
        <v>12290500</v>
      </c>
      <c r="C10" s="715">
        <f t="shared" si="0"/>
        <v>4.0999999999999996</v>
      </c>
      <c r="D10" s="638">
        <v>204955000</v>
      </c>
      <c r="E10" s="715">
        <f t="shared" si="1"/>
        <v>68.8</v>
      </c>
      <c r="F10" s="638">
        <v>7833471</v>
      </c>
      <c r="G10" s="715">
        <f t="shared" si="2"/>
        <v>2.6</v>
      </c>
      <c r="H10" s="638">
        <v>71715711</v>
      </c>
      <c r="I10" s="715">
        <f t="shared" si="3"/>
        <v>24.1</v>
      </c>
      <c r="J10" s="638">
        <f t="shared" ref="J10" si="7">J11-J9</f>
        <v>1081188</v>
      </c>
      <c r="K10" s="527">
        <f t="shared" si="5"/>
        <v>0.3629659562555369</v>
      </c>
      <c r="L10" s="365">
        <f t="shared" si="6"/>
        <v>297875870</v>
      </c>
    </row>
    <row r="11" spans="1:19" s="529" customFormat="1" ht="27" customHeight="1" x14ac:dyDescent="0.3">
      <c r="A11" s="627" t="s">
        <v>823</v>
      </c>
      <c r="B11" s="638">
        <v>12290500</v>
      </c>
      <c r="C11" s="715">
        <f t="shared" si="0"/>
        <v>4.3</v>
      </c>
      <c r="D11" s="638">
        <v>204955000</v>
      </c>
      <c r="E11" s="715">
        <f t="shared" si="1"/>
        <v>71.3</v>
      </c>
      <c r="F11" s="638">
        <v>7752178</v>
      </c>
      <c r="G11" s="715">
        <f t="shared" si="2"/>
        <v>2.7</v>
      </c>
      <c r="H11" s="638">
        <v>61301738</v>
      </c>
      <c r="I11" s="715">
        <f t="shared" si="3"/>
        <v>21.3</v>
      </c>
      <c r="J11" s="643">
        <v>1081188</v>
      </c>
      <c r="K11" s="527">
        <f t="shared" si="5"/>
        <v>0.37622163254970398</v>
      </c>
      <c r="L11" s="365">
        <f t="shared" si="6"/>
        <v>287380604</v>
      </c>
    </row>
    <row r="12" spans="1:19" s="631" customFormat="1" ht="40.5" customHeight="1" x14ac:dyDescent="0.35">
      <c r="A12" s="628" t="s">
        <v>834</v>
      </c>
      <c r="B12" s="629">
        <f>B11+B8</f>
        <v>16191361</v>
      </c>
      <c r="C12" s="527">
        <f t="shared" si="0"/>
        <v>5</v>
      </c>
      <c r="D12" s="630">
        <f t="shared" ref="D12:J12" si="8">D11+D8</f>
        <v>232939874</v>
      </c>
      <c r="E12" s="527">
        <f t="shared" si="1"/>
        <v>72.599999999999994</v>
      </c>
      <c r="F12" s="629">
        <f t="shared" si="8"/>
        <v>8817249</v>
      </c>
      <c r="G12" s="527">
        <f t="shared" si="2"/>
        <v>2.7</v>
      </c>
      <c r="H12" s="629">
        <f t="shared" si="8"/>
        <v>61125550</v>
      </c>
      <c r="I12" s="527">
        <f t="shared" si="3"/>
        <v>19</v>
      </c>
      <c r="J12" s="629">
        <f t="shared" si="8"/>
        <v>1869514</v>
      </c>
      <c r="K12" s="527">
        <f t="shared" si="5"/>
        <v>0.58250555639772517</v>
      </c>
      <c r="L12" s="526">
        <f t="shared" si="6"/>
        <v>320943548</v>
      </c>
    </row>
    <row r="13" spans="1:19" s="631" customFormat="1" ht="40.5" customHeight="1" x14ac:dyDescent="0.35">
      <c r="A13" s="628" t="s">
        <v>835</v>
      </c>
      <c r="B13" s="629">
        <f>B10+B7</f>
        <v>19716613</v>
      </c>
      <c r="C13" s="527">
        <f t="shared" si="0"/>
        <v>5.8</v>
      </c>
      <c r="D13" s="629">
        <f t="shared" ref="D13:L13" si="9">D10+D7</f>
        <v>232939874</v>
      </c>
      <c r="E13" s="527">
        <f t="shared" si="1"/>
        <v>69</v>
      </c>
      <c r="F13" s="629">
        <f t="shared" si="9"/>
        <v>8898542</v>
      </c>
      <c r="G13" s="527">
        <f t="shared" si="2"/>
        <v>2.6</v>
      </c>
      <c r="H13" s="629">
        <f t="shared" si="9"/>
        <v>74090084</v>
      </c>
      <c r="I13" s="527">
        <f t="shared" si="3"/>
        <v>22</v>
      </c>
      <c r="J13" s="629">
        <f t="shared" si="9"/>
        <v>1869514</v>
      </c>
      <c r="K13" s="527">
        <f t="shared" si="5"/>
        <v>0.55390606819537935</v>
      </c>
      <c r="L13" s="629">
        <f t="shared" si="9"/>
        <v>337514627</v>
      </c>
    </row>
    <row r="14" spans="1:19" s="528" customFormat="1" ht="42.75" customHeight="1" x14ac:dyDescent="0.35">
      <c r="A14" s="644" t="s">
        <v>820</v>
      </c>
      <c r="B14" s="632">
        <v>160083665</v>
      </c>
      <c r="C14" s="527">
        <f t="shared" si="0"/>
        <v>7.9</v>
      </c>
      <c r="D14" s="632">
        <v>622010013</v>
      </c>
      <c r="E14" s="527">
        <f t="shared" si="1"/>
        <v>30.8</v>
      </c>
      <c r="F14" s="632">
        <f>751000000+177316572+2160072</f>
        <v>930476644</v>
      </c>
      <c r="G14" s="527">
        <f t="shared" si="2"/>
        <v>46.1</v>
      </c>
      <c r="H14" s="632"/>
      <c r="I14" s="527">
        <f t="shared" si="3"/>
        <v>0</v>
      </c>
      <c r="J14" s="719">
        <v>304494626</v>
      </c>
      <c r="K14" s="527">
        <f t="shared" si="5"/>
        <v>15.095925706404175</v>
      </c>
      <c r="L14" s="632">
        <f t="shared" si="6"/>
        <v>2017064948</v>
      </c>
    </row>
    <row r="15" spans="1:19" s="529" customFormat="1" ht="42.75" customHeight="1" x14ac:dyDescent="0.3">
      <c r="A15" s="364" t="s">
        <v>796</v>
      </c>
      <c r="B15" s="638">
        <v>3624772</v>
      </c>
      <c r="C15" s="527">
        <f t="shared" si="0"/>
        <v>0.1</v>
      </c>
      <c r="D15" s="638">
        <v>3674478173</v>
      </c>
      <c r="E15" s="527">
        <f t="shared" si="1"/>
        <v>72.2</v>
      </c>
      <c r="F15" s="638">
        <v>1005046648</v>
      </c>
      <c r="G15" s="527">
        <f t="shared" si="2"/>
        <v>19.7</v>
      </c>
      <c r="H15" s="638">
        <f>H16-H14</f>
        <v>0</v>
      </c>
      <c r="I15" s="527">
        <f t="shared" si="3"/>
        <v>0</v>
      </c>
      <c r="J15" s="638">
        <v>409654408</v>
      </c>
      <c r="K15" s="527">
        <f t="shared" si="5"/>
        <v>8.0437889995287879</v>
      </c>
      <c r="L15" s="638">
        <f t="shared" ref="L15:L16" si="10">B15+D15+F15+H15+J15</f>
        <v>5092804001</v>
      </c>
    </row>
    <row r="16" spans="1:19" s="529" customFormat="1" ht="42.75" customHeight="1" x14ac:dyDescent="0.3">
      <c r="A16" s="364" t="s">
        <v>823</v>
      </c>
      <c r="B16" s="638">
        <v>3614595</v>
      </c>
      <c r="C16" s="527">
        <f t="shared" si="0"/>
        <v>0.1</v>
      </c>
      <c r="D16" s="638">
        <v>3751102564</v>
      </c>
      <c r="E16" s="527">
        <f t="shared" si="1"/>
        <v>72.599999999999994</v>
      </c>
      <c r="F16" s="638">
        <v>1001359103</v>
      </c>
      <c r="G16" s="527">
        <f t="shared" si="2"/>
        <v>19.399999999999999</v>
      </c>
      <c r="H16" s="638"/>
      <c r="I16" s="527">
        <f t="shared" si="3"/>
        <v>0</v>
      </c>
      <c r="J16" s="643">
        <v>409654408</v>
      </c>
      <c r="K16" s="527">
        <f t="shared" si="5"/>
        <v>7.9302316394284649</v>
      </c>
      <c r="L16" s="638">
        <f t="shared" si="10"/>
        <v>5165730670</v>
      </c>
    </row>
    <row r="17" spans="1:12" s="529" customFormat="1" ht="65.25" customHeight="1" x14ac:dyDescent="0.3">
      <c r="A17" s="364" t="s">
        <v>836</v>
      </c>
      <c r="B17" s="638">
        <f>B16+B12</f>
        <v>19805956</v>
      </c>
      <c r="C17" s="527">
        <f t="shared" si="0"/>
        <v>0.4</v>
      </c>
      <c r="D17" s="638">
        <f>D16+D12</f>
        <v>3984042438</v>
      </c>
      <c r="E17" s="527">
        <f t="shared" si="1"/>
        <v>72.599999999999994</v>
      </c>
      <c r="F17" s="638">
        <f>F16+F12</f>
        <v>1010176352</v>
      </c>
      <c r="G17" s="527">
        <f t="shared" si="2"/>
        <v>18.399999999999999</v>
      </c>
      <c r="H17" s="638">
        <f>H16+H12</f>
        <v>61125550</v>
      </c>
      <c r="I17" s="527">
        <f t="shared" si="3"/>
        <v>1.1000000000000001</v>
      </c>
      <c r="J17" s="638">
        <f>J16+J12</f>
        <v>411523922</v>
      </c>
      <c r="K17" s="527">
        <f t="shared" si="5"/>
        <v>7.5004256795477922</v>
      </c>
      <c r="L17" s="638">
        <f>L16+L12</f>
        <v>5486674218</v>
      </c>
    </row>
    <row r="18" spans="1:12" ht="56" x14ac:dyDescent="0.35">
      <c r="A18" s="364" t="s">
        <v>837</v>
      </c>
      <c r="B18" s="638">
        <f>B15+B13</f>
        <v>23341385</v>
      </c>
      <c r="C18" s="527">
        <f t="shared" si="0"/>
        <v>0.4</v>
      </c>
      <c r="D18" s="638">
        <f t="shared" ref="D18:J18" si="11">D15+D13</f>
        <v>3907418047</v>
      </c>
      <c r="E18" s="527">
        <f t="shared" si="1"/>
        <v>72</v>
      </c>
      <c r="F18" s="638">
        <f t="shared" si="11"/>
        <v>1013945190</v>
      </c>
      <c r="G18" s="527">
        <f t="shared" si="2"/>
        <v>18.7</v>
      </c>
      <c r="H18" s="638">
        <f t="shared" si="11"/>
        <v>74090084</v>
      </c>
      <c r="I18" s="527">
        <f t="shared" si="3"/>
        <v>1.4</v>
      </c>
      <c r="J18" s="638">
        <f t="shared" si="11"/>
        <v>411523922</v>
      </c>
      <c r="K18" s="527">
        <f t="shared" si="5"/>
        <v>7.5782647426632739</v>
      </c>
      <c r="L18" s="638">
        <f>L15+L13</f>
        <v>5430318628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25" right="0.25" top="0.75" bottom="0.75" header="0.3" footer="0.3"/>
  <pageSetup paperSize="9" scale="63" orientation="landscape" r:id="rId1"/>
  <headerFooter alignWithMargins="0">
    <oddHeader>&amp;R&amp;"Times New Roman CE,Félkövér dőlt"&amp;11 7. melléklet a 7/2018. 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32</vt:i4>
      </vt:variant>
      <vt:variant>
        <vt:lpstr>Névvel ellátott tartományok</vt:lpstr>
      </vt:variant>
      <vt:variant>
        <vt:i4>11</vt:i4>
      </vt:variant>
    </vt:vector>
  </HeadingPairs>
  <TitlesOfParts>
    <vt:vector size="43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9.1-2 mell.össz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20.sz.mell</vt:lpstr>
      <vt:lpstr>21.sz.mell.</vt:lpstr>
      <vt:lpstr>22.sz.mell</vt:lpstr>
      <vt:lpstr>23.sz.mell</vt:lpstr>
      <vt:lpstr>24.szmell</vt:lpstr>
      <vt:lpstr>25.sz.mell</vt:lpstr>
      <vt:lpstr>'1.sz.mell.'!Nyomtatási_cím</vt:lpstr>
      <vt:lpstr>'3.sz.mell'!Nyomtatási_cím</vt:lpstr>
      <vt:lpstr>'9.sz.mell.'!Nyomtatási_cím</vt:lpstr>
      <vt:lpstr>'10.sz.mell'!Nyomtatási_terület</vt:lpstr>
      <vt:lpstr>'15.sz.mell'!Nyomtatási_terület</vt:lpstr>
      <vt:lpstr>'2.1.sz.mell  '!Nyomtatási_terület</vt:lpstr>
      <vt:lpstr>'2.2.sz.mell  '!Nyomtatási_terület</vt:lpstr>
      <vt:lpstr>'25.sz.mell'!Nyomtatási_terület</vt:lpstr>
      <vt:lpstr>'4. sz.mell'!Nyomtatási_terület</vt:lpstr>
      <vt:lpstr>'6.sz.mell'!Nyomtatási_terület</vt:lpstr>
      <vt:lpstr>'9.1-2 mell.össz'!Nyomtatási_terület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2018-05-31T11:09:38Z</cp:lastPrinted>
  <dcterms:created xsi:type="dcterms:W3CDTF">2017-01-30T13:11:32Z</dcterms:created>
  <dcterms:modified xsi:type="dcterms:W3CDTF">2018-05-31T11:20:40Z</dcterms:modified>
</cp:coreProperties>
</file>