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8\2019 február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state="hidden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létszám" sheetId="68" state="hidden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H62" i="8" l="1"/>
  <c r="H60" i="8"/>
  <c r="H54" i="8"/>
  <c r="E14" i="45" l="1"/>
  <c r="F14" i="45"/>
  <c r="D14" i="4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D69" i="15"/>
  <c r="R66" i="15"/>
  <c r="R67" i="15"/>
  <c r="R68" i="15"/>
  <c r="B66" i="15"/>
  <c r="B67" i="15" s="1"/>
  <c r="B68" i="15" s="1"/>
  <c r="E154" i="8" l="1"/>
  <c r="F154" i="8"/>
  <c r="G154" i="8"/>
  <c r="D154" i="8"/>
  <c r="G151" i="8"/>
  <c r="F151" i="8"/>
  <c r="F152" i="8"/>
  <c r="G152" i="8" s="1"/>
  <c r="F137" i="8"/>
  <c r="E96" i="8"/>
  <c r="F94" i="8"/>
  <c r="G94" i="8" s="1"/>
  <c r="D96" i="8"/>
  <c r="F67" i="7"/>
  <c r="F66" i="7"/>
  <c r="D25" i="7"/>
  <c r="F24" i="7"/>
  <c r="D59" i="5" l="1"/>
  <c r="E59" i="5"/>
  <c r="C59" i="5"/>
  <c r="E58" i="5"/>
  <c r="E50" i="5"/>
  <c r="D21" i="5"/>
  <c r="E32" i="5"/>
  <c r="F29" i="14" l="1"/>
  <c r="D30" i="14"/>
  <c r="C22" i="49" l="1"/>
  <c r="A18" i="49"/>
  <c r="A19" i="49"/>
  <c r="A20" i="49"/>
  <c r="C16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9" i="47"/>
  <c r="C24" i="47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D32" i="64"/>
  <c r="C32" i="64"/>
  <c r="E29" i="64"/>
  <c r="C24" i="46" l="1"/>
  <c r="R65" i="15"/>
  <c r="R64" i="15"/>
  <c r="R63" i="15"/>
  <c r="B63" i="15"/>
  <c r="B64" i="15"/>
  <c r="B65" i="15" s="1"/>
  <c r="R35" i="15"/>
  <c r="D20" i="10"/>
  <c r="F149" i="8"/>
  <c r="G149" i="8" s="1"/>
  <c r="E115" i="8"/>
  <c r="G115" i="8"/>
  <c r="G31" i="46" s="1"/>
  <c r="D115" i="8"/>
  <c r="F113" i="8"/>
  <c r="H113" i="8" s="1"/>
  <c r="E108" i="8"/>
  <c r="F106" i="8"/>
  <c r="G106" i="8" s="1"/>
  <c r="F93" i="8"/>
  <c r="G93" i="8" s="1"/>
  <c r="G92" i="8"/>
  <c r="G96" i="8" s="1"/>
  <c r="F60" i="8"/>
  <c r="F59" i="8"/>
  <c r="F58" i="8"/>
  <c r="F46" i="8"/>
  <c r="G46" i="8" s="1"/>
  <c r="F45" i="8"/>
  <c r="G45" i="8" s="1"/>
  <c r="F44" i="8"/>
  <c r="G44" i="8" s="1"/>
  <c r="F41" i="8"/>
  <c r="G41" i="8" s="1"/>
  <c r="F25" i="8"/>
  <c r="G25" i="8" s="1"/>
  <c r="H20" i="8"/>
  <c r="E20" i="8"/>
  <c r="D20" i="8"/>
  <c r="F15" i="8"/>
  <c r="F16" i="8"/>
  <c r="G16" i="8" s="1"/>
  <c r="F17" i="8"/>
  <c r="G17" i="8" s="1"/>
  <c r="F18" i="8"/>
  <c r="G18" i="8" s="1"/>
  <c r="G31" i="47" l="1"/>
  <c r="G18" i="49" s="1"/>
  <c r="G59" i="8"/>
  <c r="G58" i="8"/>
  <c r="G15" i="8"/>
  <c r="F60" i="7"/>
  <c r="F61" i="7"/>
  <c r="F62" i="7"/>
  <c r="F63" i="7"/>
  <c r="F64" i="7"/>
  <c r="F65" i="7"/>
  <c r="F31" i="7"/>
  <c r="E25" i="7"/>
  <c r="F21" i="7"/>
  <c r="F22" i="7"/>
  <c r="F23" i="7"/>
  <c r="D38" i="6"/>
  <c r="G38" i="6"/>
  <c r="H38" i="6"/>
  <c r="I38" i="6"/>
  <c r="F31" i="6"/>
  <c r="F19" i="6"/>
  <c r="C86" i="5"/>
  <c r="D73" i="5"/>
  <c r="E73" i="5"/>
  <c r="C73" i="5"/>
  <c r="D72" i="5"/>
  <c r="E72" i="5"/>
  <c r="C72" i="5"/>
  <c r="E71" i="5"/>
  <c r="D70" i="5"/>
  <c r="E70" i="5"/>
  <c r="C70" i="5"/>
  <c r="E49" i="5"/>
  <c r="E48" i="5"/>
  <c r="E47" i="5"/>
  <c r="C21" i="5"/>
  <c r="E30" i="5"/>
  <c r="E31" i="5"/>
  <c r="F59" i="7" l="1"/>
  <c r="A10" i="47" l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6" i="47"/>
  <c r="D13" i="49" s="1"/>
  <c r="C16" i="47"/>
  <c r="C13" i="49" s="1"/>
  <c r="D15" i="47"/>
  <c r="D12" i="49" s="1"/>
  <c r="E46" i="46"/>
  <c r="E46" i="47" s="1"/>
  <c r="E37" i="48" s="1"/>
  <c r="E16" i="46"/>
  <c r="E16" i="47" s="1"/>
  <c r="E13" i="49" s="1"/>
  <c r="I18" i="45" l="1"/>
  <c r="J18" i="45"/>
  <c r="H18" i="45"/>
  <c r="C20" i="10"/>
  <c r="E19" i="10"/>
  <c r="H137" i="8"/>
  <c r="F136" i="8"/>
  <c r="H136" i="8" s="1"/>
  <c r="F91" i="8"/>
  <c r="F96" i="8" s="1"/>
  <c r="F57" i="8"/>
  <c r="G57" i="8" s="1"/>
  <c r="F56" i="8"/>
  <c r="G56" i="8" s="1"/>
  <c r="F24" i="8"/>
  <c r="G24" i="8" s="1"/>
  <c r="F14" i="8"/>
  <c r="G14" i="8" s="1"/>
  <c r="F13" i="8"/>
  <c r="E76" i="7"/>
  <c r="E78" i="7" s="1"/>
  <c r="D76" i="7"/>
  <c r="D78" i="7" s="1"/>
  <c r="F75" i="7"/>
  <c r="F76" i="7" s="1"/>
  <c r="F78" i="7" s="1"/>
  <c r="F58" i="7"/>
  <c r="E43" i="6"/>
  <c r="E44" i="6"/>
  <c r="D43" i="6"/>
  <c r="D44" i="6" s="1"/>
  <c r="F42" i="6"/>
  <c r="F43" i="6" s="1"/>
  <c r="F44" i="6" s="1"/>
  <c r="E24" i="6"/>
  <c r="D24" i="6"/>
  <c r="C15" i="46" s="1"/>
  <c r="E15" i="46" s="1"/>
  <c r="E15" i="47" s="1"/>
  <c r="E12" i="49" s="1"/>
  <c r="F23" i="6"/>
  <c r="F24" i="6" s="1"/>
  <c r="E29" i="5"/>
  <c r="C15" i="47" l="1"/>
  <c r="C12" i="49" s="1"/>
  <c r="G13" i="8"/>
  <c r="G20" i="8" s="1"/>
  <c r="F20" i="8"/>
  <c r="H91" i="8"/>
  <c r="H96" i="8" s="1"/>
  <c r="AC106" i="68"/>
  <c r="Z106" i="68"/>
  <c r="Y106" i="68"/>
  <c r="U106" i="68"/>
  <c r="L106" i="68"/>
  <c r="K106" i="68"/>
  <c r="H106" i="68"/>
  <c r="G106" i="68"/>
  <c r="F106" i="68"/>
  <c r="D106" i="68"/>
  <c r="C106" i="68"/>
  <c r="AE104" i="68"/>
  <c r="V104" i="68"/>
  <c r="V106" i="68" s="1"/>
  <c r="P104" i="68"/>
  <c r="P106" i="68" s="1"/>
  <c r="O104" i="68"/>
  <c r="O106" i="68" s="1"/>
  <c r="N104" i="68"/>
  <c r="N106" i="68" s="1"/>
  <c r="M104" i="68"/>
  <c r="J104" i="68"/>
  <c r="J106" i="68" s="1"/>
  <c r="E104" i="68"/>
  <c r="C104" i="68"/>
  <c r="AA101" i="68"/>
  <c r="X101" i="68"/>
  <c r="T101" i="68"/>
  <c r="AB101" i="68" s="1"/>
  <c r="S101" i="68"/>
  <c r="P101" i="68"/>
  <c r="Q101" i="68" s="1"/>
  <c r="AF100" i="68"/>
  <c r="AB100" i="68"/>
  <c r="Q100" i="68"/>
  <c r="AF99" i="68"/>
  <c r="AB99" i="68"/>
  <c r="W99" i="68"/>
  <c r="T99" i="68"/>
  <c r="Q99" i="68"/>
  <c r="T98" i="68"/>
  <c r="AB98" i="68" s="1"/>
  <c r="Q98" i="68"/>
  <c r="W98" i="68" s="1"/>
  <c r="AA93" i="68"/>
  <c r="X93" i="68"/>
  <c r="S93" i="68"/>
  <c r="R93" i="68"/>
  <c r="Q93" i="68"/>
  <c r="W93" i="68" s="1"/>
  <c r="P93" i="68"/>
  <c r="AB92" i="68"/>
  <c r="T92" i="68"/>
  <c r="T93" i="68" s="1"/>
  <c r="AB93" i="68" s="1"/>
  <c r="Q92" i="68"/>
  <c r="W92" i="68" s="1"/>
  <c r="AF92" i="68" s="1"/>
  <c r="AB91" i="68"/>
  <c r="Q91" i="68"/>
  <c r="W91" i="68" s="1"/>
  <c r="AF91" i="68" s="1"/>
  <c r="AB90" i="68"/>
  <c r="Q90" i="68"/>
  <c r="W90" i="68" s="1"/>
  <c r="AF90" i="68" s="1"/>
  <c r="AB89" i="68"/>
  <c r="Q89" i="68"/>
  <c r="W89" i="68" s="1"/>
  <c r="AF89" i="68" s="1"/>
  <c r="AB87" i="68"/>
  <c r="Q87" i="68"/>
  <c r="W87" i="68" s="1"/>
  <c r="AF87" i="68" s="1"/>
  <c r="AB86" i="68"/>
  <c r="Q86" i="68"/>
  <c r="W86" i="68" s="1"/>
  <c r="AF86" i="68" s="1"/>
  <c r="AB85" i="68"/>
  <c r="Q85" i="68"/>
  <c r="W85" i="68" s="1"/>
  <c r="AF85" i="68" s="1"/>
  <c r="AB84" i="68"/>
  <c r="Q84" i="68"/>
  <c r="W84" i="68" s="1"/>
  <c r="AF84" i="68" s="1"/>
  <c r="AB83" i="68"/>
  <c r="Q83" i="68"/>
  <c r="W83" i="68" s="1"/>
  <c r="AF83" i="68" s="1"/>
  <c r="AB82" i="68"/>
  <c r="Q82" i="68"/>
  <c r="W82" i="68" s="1"/>
  <c r="AF82" i="68" s="1"/>
  <c r="AB81" i="68"/>
  <c r="Q81" i="68"/>
  <c r="W81" i="68" s="1"/>
  <c r="AF81" i="68" s="1"/>
  <c r="AB80" i="68"/>
  <c r="Q80" i="68"/>
  <c r="W80" i="68" s="1"/>
  <c r="AF80" i="68" s="1"/>
  <c r="AB78" i="68"/>
  <c r="Q78" i="68"/>
  <c r="W78" i="68" s="1"/>
  <c r="AF78" i="68" s="1"/>
  <c r="AB77" i="68"/>
  <c r="Q77" i="68"/>
  <c r="W77" i="68" s="1"/>
  <c r="AF77" i="68" s="1"/>
  <c r="AB76" i="68"/>
  <c r="Q76" i="68"/>
  <c r="W76" i="68" s="1"/>
  <c r="AF76" i="68" s="1"/>
  <c r="AB75" i="68"/>
  <c r="Q75" i="68"/>
  <c r="W75" i="68" s="1"/>
  <c r="AF75" i="68" s="1"/>
  <c r="AB74" i="68"/>
  <c r="Q74" i="68"/>
  <c r="W74" i="68" s="1"/>
  <c r="AF74" i="68" s="1"/>
  <c r="AB73" i="68"/>
  <c r="Q73" i="68"/>
  <c r="W73" i="68" s="1"/>
  <c r="AF73" i="68" s="1"/>
  <c r="AB72" i="68"/>
  <c r="Q72" i="68"/>
  <c r="W72" i="68" s="1"/>
  <c r="AF72" i="68" s="1"/>
  <c r="AB71" i="68"/>
  <c r="Q71" i="68"/>
  <c r="W71" i="68" s="1"/>
  <c r="AF71" i="68" s="1"/>
  <c r="AB70" i="68"/>
  <c r="Q70" i="68"/>
  <c r="W70" i="68" s="1"/>
  <c r="AF70" i="68" s="1"/>
  <c r="R41" i="68"/>
  <c r="Q41" i="68"/>
  <c r="S40" i="68"/>
  <c r="S104" i="68" s="1"/>
  <c r="S106" i="68" s="1"/>
  <c r="R40" i="68"/>
  <c r="X40" i="68" s="1"/>
  <c r="X104" i="68" s="1"/>
  <c r="X106" i="68" s="1"/>
  <c r="P40" i="68"/>
  <c r="AB40" i="68" s="1"/>
  <c r="AB39" i="68"/>
  <c r="T39" i="68"/>
  <c r="Q39" i="68"/>
  <c r="AF39" i="68" s="1"/>
  <c r="AB38" i="68"/>
  <c r="Q38" i="68"/>
  <c r="AF38" i="68" s="1"/>
  <c r="AB37" i="68"/>
  <c r="Q37" i="68"/>
  <c r="AF37" i="68" s="1"/>
  <c r="AB36" i="68"/>
  <c r="Q36" i="68"/>
  <c r="AF36" i="68" s="1"/>
  <c r="AB35" i="68"/>
  <c r="Q35" i="68"/>
  <c r="AF35" i="68" s="1"/>
  <c r="AB34" i="68"/>
  <c r="W34" i="68"/>
  <c r="T34" i="68"/>
  <c r="T40" i="68" s="1"/>
  <c r="T104" i="68" s="1"/>
  <c r="Q34" i="68"/>
  <c r="AF34" i="68" s="1"/>
  <c r="AB33" i="68"/>
  <c r="W33" i="68"/>
  <c r="Q33" i="68"/>
  <c r="AF33" i="68" s="1"/>
  <c r="AB32" i="68"/>
  <c r="W32" i="68"/>
  <c r="T32" i="68"/>
  <c r="Q32" i="68"/>
  <c r="AF32" i="68" s="1"/>
  <c r="AB31" i="68"/>
  <c r="T31" i="68"/>
  <c r="Q31" i="68"/>
  <c r="W31" i="68" s="1"/>
  <c r="AF30" i="68"/>
  <c r="AB30" i="68"/>
  <c r="AA30" i="68"/>
  <c r="X30" i="68"/>
  <c r="W30" i="68"/>
  <c r="Q30" i="68"/>
  <c r="AB29" i="68"/>
  <c r="W29" i="68"/>
  <c r="T29" i="68"/>
  <c r="Q29" i="68"/>
  <c r="AF29" i="68" s="1"/>
  <c r="AB28" i="68"/>
  <c r="T28" i="68"/>
  <c r="Q28" i="68"/>
  <c r="W28" i="68" s="1"/>
  <c r="T24" i="68"/>
  <c r="AB24" i="68" s="1"/>
  <c r="P24" i="68"/>
  <c r="AB23" i="68"/>
  <c r="W23" i="68"/>
  <c r="AF23" i="68" s="1"/>
  <c r="T23" i="68"/>
  <c r="Q23" i="68"/>
  <c r="W22" i="68"/>
  <c r="AF22" i="68" s="1"/>
  <c r="T22" i="68"/>
  <c r="Q22" i="68"/>
  <c r="AB21" i="68"/>
  <c r="T21" i="68"/>
  <c r="Q21" i="68"/>
  <c r="W21" i="68" s="1"/>
  <c r="AF21" i="68" s="1"/>
  <c r="T20" i="68"/>
  <c r="AB20" i="68" s="1"/>
  <c r="Q20" i="68"/>
  <c r="W20" i="68" s="1"/>
  <c r="AF20" i="68" s="1"/>
  <c r="W19" i="68"/>
  <c r="AF19" i="68" s="1"/>
  <c r="T19" i="68"/>
  <c r="AB19" i="68" s="1"/>
  <c r="Q19" i="68"/>
  <c r="AB18" i="68"/>
  <c r="W18" i="68"/>
  <c r="AF18" i="68" s="1"/>
  <c r="T18" i="68"/>
  <c r="Q18" i="68"/>
  <c r="AB17" i="68"/>
  <c r="T17" i="68"/>
  <c r="Q17" i="68"/>
  <c r="W17" i="68" s="1"/>
  <c r="AF17" i="68" s="1"/>
  <c r="T16" i="68"/>
  <c r="AB16" i="68" s="1"/>
  <c r="Q16" i="68"/>
  <c r="Q24" i="68" s="1"/>
  <c r="AE12" i="68"/>
  <c r="AB12" i="68"/>
  <c r="AF12" i="68" s="1"/>
  <c r="W12" i="68"/>
  <c r="T12" i="68"/>
  <c r="M12" i="68"/>
  <c r="M106" i="68" s="1"/>
  <c r="E12" i="68"/>
  <c r="AE10" i="68"/>
  <c r="AE106" i="68" s="1"/>
  <c r="AD10" i="68"/>
  <c r="AD106" i="68" s="1"/>
  <c r="AB10" i="68"/>
  <c r="AA10" i="68"/>
  <c r="T10" i="68"/>
  <c r="I10" i="68"/>
  <c r="I106" i="68" s="1"/>
  <c r="E10" i="68"/>
  <c r="W10" i="68" s="1"/>
  <c r="AB106" i="68" l="1"/>
  <c r="Q104" i="68"/>
  <c r="Q106" i="68" s="1"/>
  <c r="AB104" i="68"/>
  <c r="AF93" i="68"/>
  <c r="AA106" i="68"/>
  <c r="W101" i="68"/>
  <c r="AF101" i="68" s="1"/>
  <c r="AF98" i="68"/>
  <c r="T106" i="68"/>
  <c r="W16" i="68"/>
  <c r="W39" i="68"/>
  <c r="Q40" i="68"/>
  <c r="R104" i="68"/>
  <c r="R106" i="68" s="1"/>
  <c r="E106" i="68"/>
  <c r="AF10" i="68"/>
  <c r="AA40" i="68"/>
  <c r="AA104" i="68" s="1"/>
  <c r="AF28" i="68"/>
  <c r="AF31" i="68"/>
  <c r="W35" i="68"/>
  <c r="W36" i="68"/>
  <c r="W37" i="68"/>
  <c r="W38" i="68"/>
  <c r="R60" i="15"/>
  <c r="R61" i="15"/>
  <c r="R62" i="15"/>
  <c r="B59" i="15"/>
  <c r="B60" i="15" s="1"/>
  <c r="B61" i="15" s="1"/>
  <c r="B62" i="15" s="1"/>
  <c r="AF16" i="68" l="1"/>
  <c r="AF24" i="68" s="1"/>
  <c r="AF104" i="68" s="1"/>
  <c r="AF106" i="68" s="1"/>
  <c r="W24" i="68"/>
  <c r="W104" i="68" s="1"/>
  <c r="W106" i="68" s="1"/>
  <c r="AF40" i="68"/>
  <c r="W40" i="68"/>
  <c r="G20" i="63"/>
  <c r="D34" i="10"/>
  <c r="E33" i="10"/>
  <c r="C34" i="10"/>
  <c r="E18" i="10"/>
  <c r="E158" i="8"/>
  <c r="F158" i="8"/>
  <c r="G158" i="8"/>
  <c r="D158" i="8"/>
  <c r="F135" i="8"/>
  <c r="H135" i="8" s="1"/>
  <c r="F105" i="8"/>
  <c r="H105" i="8" s="1"/>
  <c r="F72" i="8"/>
  <c r="H72" i="8" s="1"/>
  <c r="D74" i="8"/>
  <c r="F55" i="8"/>
  <c r="H55" i="8" s="1"/>
  <c r="F49" i="8"/>
  <c r="H49" i="8" s="1"/>
  <c r="E69" i="7" l="1"/>
  <c r="F57" i="7"/>
  <c r="F56" i="7"/>
  <c r="F55" i="7"/>
  <c r="F40" i="7"/>
  <c r="F20" i="7"/>
  <c r="E28" i="6"/>
  <c r="D82" i="5"/>
  <c r="E81" i="5"/>
  <c r="E63" i="5"/>
  <c r="E57" i="5"/>
  <c r="D60" i="5"/>
  <c r="C60" i="5"/>
  <c r="D11" i="5"/>
  <c r="C11" i="5"/>
  <c r="C52" i="5"/>
  <c r="D52" i="5"/>
  <c r="E46" i="5"/>
  <c r="E44" i="5"/>
  <c r="E45" i="5"/>
  <c r="E43" i="5"/>
  <c r="E28" i="5"/>
  <c r="D29" i="47" l="1"/>
  <c r="D86" i="5"/>
  <c r="E60" i="5"/>
  <c r="E52" i="5"/>
  <c r="E81" i="7"/>
  <c r="E71" i="7"/>
  <c r="E80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86" i="5"/>
  <c r="H15" i="55"/>
  <c r="D15" i="55"/>
  <c r="C15" i="55"/>
  <c r="C44" i="47" l="1"/>
  <c r="F54" i="7"/>
  <c r="R40" i="15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R39" i="15"/>
  <c r="F53" i="8"/>
  <c r="G53" i="8" s="1"/>
  <c r="F32" i="8"/>
  <c r="G32" i="8" s="1"/>
  <c r="E17" i="10"/>
  <c r="R46" i="15" l="1"/>
  <c r="H47" i="46" l="1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D54" i="8"/>
  <c r="F54" i="8" s="1"/>
  <c r="F53" i="7" l="1"/>
  <c r="F52" i="7" l="1"/>
  <c r="E42" i="24" l="1"/>
  <c r="F42" i="24"/>
  <c r="G42" i="24"/>
  <c r="H42" i="24"/>
  <c r="I42" i="24"/>
  <c r="J42" i="24"/>
  <c r="K42" i="24"/>
  <c r="L42" i="24"/>
  <c r="M42" i="24"/>
  <c r="N42" i="24"/>
  <c r="D42" i="24"/>
  <c r="F86" i="8" l="1"/>
  <c r="H86" i="8" s="1"/>
  <c r="E44" i="46"/>
  <c r="F19" i="7" l="1"/>
  <c r="D80" i="7" l="1"/>
  <c r="F104" i="8"/>
  <c r="H104" i="8" s="1"/>
  <c r="F71" i="8" l="1"/>
  <c r="H71" i="8" s="1"/>
  <c r="H74" i="8" s="1"/>
  <c r="F30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3" i="15" l="1"/>
  <c r="E124" i="8"/>
  <c r="I13" i="44"/>
  <c r="F142" i="8" l="1"/>
  <c r="G33" i="15" l="1"/>
  <c r="E33" i="15"/>
  <c r="I13" i="64" l="1"/>
  <c r="F144" i="8"/>
  <c r="G144" i="8" s="1"/>
  <c r="F150" i="8"/>
  <c r="G150" i="8" l="1"/>
  <c r="C31" i="48"/>
  <c r="D11" i="47"/>
  <c r="D26" i="10"/>
  <c r="D11" i="46"/>
  <c r="F68" i="7" l="1"/>
  <c r="H56" i="15"/>
  <c r="I52" i="15"/>
  <c r="H34" i="15"/>
  <c r="E131" i="8"/>
  <c r="H131" i="8"/>
  <c r="D131" i="8"/>
  <c r="E126" i="8"/>
  <c r="D126" i="8"/>
  <c r="F124" i="8"/>
  <c r="F70" i="8"/>
  <c r="F69" i="8"/>
  <c r="E67" i="8"/>
  <c r="F52" i="8"/>
  <c r="G52" i="8" s="1"/>
  <c r="F39" i="8"/>
  <c r="G39" i="8" s="1"/>
  <c r="F38" i="8"/>
  <c r="G38" i="8" s="1"/>
  <c r="E34" i="8"/>
  <c r="E62" i="8" s="1"/>
  <c r="D34" i="8"/>
  <c r="D62" i="8" s="1"/>
  <c r="E146" i="8"/>
  <c r="D146" i="8"/>
  <c r="C38" i="5"/>
  <c r="D38" i="5"/>
  <c r="F11" i="14"/>
  <c r="E38" i="5" l="1"/>
  <c r="F51" i="8"/>
  <c r="G51" i="8" s="1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R52" i="15"/>
  <c r="R53" i="15"/>
  <c r="R54" i="15"/>
  <c r="R55" i="15"/>
  <c r="R56" i="15"/>
  <c r="R57" i="15"/>
  <c r="R58" i="15"/>
  <c r="R59" i="15"/>
  <c r="R28" i="15"/>
  <c r="D108" i="8"/>
  <c r="F101" i="8"/>
  <c r="G101" i="8" s="1"/>
  <c r="E30" i="48" l="1"/>
  <c r="E33" i="49"/>
  <c r="F68" i="8" l="1"/>
  <c r="F50" i="8"/>
  <c r="G50" i="8" s="1"/>
  <c r="F48" i="8"/>
  <c r="H48" i="8" s="1"/>
  <c r="F31" i="8"/>
  <c r="D27" i="8"/>
  <c r="E27" i="8"/>
  <c r="E23" i="63"/>
  <c r="H23" i="63"/>
  <c r="I23" i="63"/>
  <c r="J23" i="63"/>
  <c r="F23" i="63"/>
  <c r="G16" i="63"/>
  <c r="G17" i="63"/>
  <c r="G18" i="63"/>
  <c r="G19" i="63"/>
  <c r="G15" i="63"/>
  <c r="G68" i="8" l="1"/>
  <c r="G74" i="8" s="1"/>
  <c r="G31" i="8"/>
  <c r="E25" i="10"/>
  <c r="E16" i="10"/>
  <c r="F30" i="7"/>
  <c r="F51" i="7"/>
  <c r="F50" i="7"/>
  <c r="F34" i="7"/>
  <c r="F49" i="7"/>
  <c r="F48" i="7"/>
  <c r="F47" i="7"/>
  <c r="D34" i="5" l="1"/>
  <c r="C34" i="5"/>
  <c r="C40" i="5" s="1"/>
  <c r="D40" i="5" l="1"/>
  <c r="D54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103" i="8" l="1"/>
  <c r="H103" i="8" s="1"/>
  <c r="E24" i="5" l="1"/>
  <c r="F47" i="8"/>
  <c r="E139" i="8"/>
  <c r="D139" i="8"/>
  <c r="G139" i="8"/>
  <c r="G27" i="64" s="1"/>
  <c r="G47" i="8" l="1"/>
  <c r="R51" i="15"/>
  <c r="F85" i="8" l="1"/>
  <c r="G85" i="8" s="1"/>
  <c r="F23" i="8"/>
  <c r="G23" i="8" s="1"/>
  <c r="F42" i="8" l="1"/>
  <c r="G42" i="8" s="1"/>
  <c r="G43" i="8" l="1"/>
  <c r="G142" i="8"/>
  <c r="G146" i="8" l="1"/>
  <c r="G21" i="46"/>
  <c r="F46" i="7" l="1"/>
  <c r="F45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3" i="63"/>
  <c r="G26" i="63"/>
  <c r="G28" i="63" s="1"/>
  <c r="E32" i="63"/>
  <c r="C19" i="54" l="1"/>
  <c r="G10" i="46"/>
  <c r="G10" i="47" s="1"/>
  <c r="G11" i="46"/>
  <c r="H11" i="46"/>
  <c r="H12" i="46"/>
  <c r="G19" i="46"/>
  <c r="H19" i="46"/>
  <c r="G12" i="46"/>
  <c r="G12" i="47" s="1"/>
  <c r="R13" i="15"/>
  <c r="R10" i="15"/>
  <c r="R11" i="15"/>
  <c r="R12" i="15"/>
  <c r="R25" i="15"/>
  <c r="R49" i="15"/>
  <c r="F40" i="8"/>
  <c r="G40" i="8" s="1"/>
  <c r="F37" i="8"/>
  <c r="G37" i="8" s="1"/>
  <c r="F33" i="8"/>
  <c r="F34" i="8"/>
  <c r="G34" i="8" s="1"/>
  <c r="F35" i="8"/>
  <c r="G35" i="8" s="1"/>
  <c r="F36" i="8"/>
  <c r="H36" i="8" s="1"/>
  <c r="H27" i="8"/>
  <c r="F102" i="8"/>
  <c r="H102" i="8" s="1"/>
  <c r="H108" i="8" s="1"/>
  <c r="H32" i="46" s="1"/>
  <c r="E30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33" i="64"/>
  <c r="E20" i="42"/>
  <c r="I53" i="64"/>
  <c r="H53" i="64"/>
  <c r="G53" i="64"/>
  <c r="D34" i="64"/>
  <c r="C34" i="64"/>
  <c r="G24" i="64"/>
  <c r="E20" i="64"/>
  <c r="E32" i="64" s="1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D17" i="49" s="1"/>
  <c r="C12" i="47"/>
  <c r="G16" i="49"/>
  <c r="C51" i="47"/>
  <c r="C42" i="48" s="1"/>
  <c r="F29" i="13"/>
  <c r="H16" i="49"/>
  <c r="D51" i="47"/>
  <c r="D42" i="48" s="1"/>
  <c r="J54" i="46"/>
  <c r="E40" i="24"/>
  <c r="E43" i="24" s="1"/>
  <c r="D40" i="24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4" i="15"/>
  <c r="Q21" i="15"/>
  <c r="R21" i="15" s="1"/>
  <c r="R20" i="15"/>
  <c r="Q14" i="15"/>
  <c r="P24" i="15"/>
  <c r="Q23" i="15"/>
  <c r="R23" i="15" s="1"/>
  <c r="E30" i="13"/>
  <c r="K30" i="13" s="1"/>
  <c r="E29" i="13"/>
  <c r="K29" i="13" s="1"/>
  <c r="E28" i="13"/>
  <c r="K28" i="13" s="1"/>
  <c r="E11" i="13"/>
  <c r="K11" i="13" s="1"/>
  <c r="F28" i="7"/>
  <c r="E14" i="18"/>
  <c r="E17" i="18" s="1"/>
  <c r="H16" i="45" s="1"/>
  <c r="F13" i="18"/>
  <c r="F26" i="14"/>
  <c r="F17" i="7"/>
  <c r="R22" i="15"/>
  <c r="G21" i="63"/>
  <c r="G30" i="63"/>
  <c r="G31" i="63" s="1"/>
  <c r="G14" i="63"/>
  <c r="K79" i="13"/>
  <c r="K78" i="13"/>
  <c r="D80" i="13"/>
  <c r="E32" i="45" s="1"/>
  <c r="E34" i="45" s="1"/>
  <c r="K76" i="13"/>
  <c r="K77" i="13"/>
  <c r="E35" i="5"/>
  <c r="E36" i="5"/>
  <c r="E22" i="5"/>
  <c r="F83" i="8"/>
  <c r="E66" i="8"/>
  <c r="E74" i="8" s="1"/>
  <c r="E23" i="10"/>
  <c r="F33" i="7"/>
  <c r="F32" i="7"/>
  <c r="H21" i="46"/>
  <c r="H21" i="47" s="1"/>
  <c r="H20" i="48" s="1"/>
  <c r="F112" i="8"/>
  <c r="H112" i="8" s="1"/>
  <c r="H10" i="46"/>
  <c r="H10" i="47" s="1"/>
  <c r="H10" i="48" s="1"/>
  <c r="E13" i="14"/>
  <c r="C18" i="47"/>
  <c r="F12" i="6"/>
  <c r="F12" i="7"/>
  <c r="F13" i="7"/>
  <c r="K24" i="13"/>
  <c r="H23" i="13"/>
  <c r="K23" i="13" s="1"/>
  <c r="G22" i="13"/>
  <c r="K22" i="13" s="1"/>
  <c r="G19" i="13"/>
  <c r="K19" i="13" s="1"/>
  <c r="D27" i="10"/>
  <c r="D35" i="10" s="1"/>
  <c r="F84" i="8"/>
  <c r="H84" i="8" s="1"/>
  <c r="G88" i="8"/>
  <c r="F143" i="8"/>
  <c r="F44" i="7"/>
  <c r="F43" i="7"/>
  <c r="E20" i="6"/>
  <c r="D26" i="46" s="1"/>
  <c r="D26" i="47" s="1"/>
  <c r="D19" i="49" s="1"/>
  <c r="D20" i="6"/>
  <c r="F20" i="6"/>
  <c r="E26" i="46" s="1"/>
  <c r="F13" i="6"/>
  <c r="E18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C42" i="24" s="1"/>
  <c r="O42" i="24" s="1"/>
  <c r="J20" i="45"/>
  <c r="F43" i="45"/>
  <c r="E43" i="51"/>
  <c r="E43" i="44"/>
  <c r="F123" i="8"/>
  <c r="H123" i="8" s="1"/>
  <c r="H126" i="8" s="1"/>
  <c r="D83" i="5"/>
  <c r="C82" i="5"/>
  <c r="E17" i="5"/>
  <c r="G21" i="47"/>
  <c r="G20" i="48" s="1"/>
  <c r="C26" i="10"/>
  <c r="E32" i="10"/>
  <c r="G27" i="51"/>
  <c r="G33" i="51" s="1"/>
  <c r="R44" i="15"/>
  <c r="E24" i="10"/>
  <c r="E15" i="10"/>
  <c r="E20" i="10" s="1"/>
  <c r="E14" i="10"/>
  <c r="D88" i="8"/>
  <c r="F42" i="7"/>
  <c r="F41" i="7"/>
  <c r="E32" i="6"/>
  <c r="F32" i="6"/>
  <c r="D65" i="5"/>
  <c r="C65" i="5"/>
  <c r="E13" i="5"/>
  <c r="E14" i="5"/>
  <c r="E15" i="5"/>
  <c r="E12" i="5"/>
  <c r="E27" i="5"/>
  <c r="E26" i="5"/>
  <c r="E23" i="5"/>
  <c r="D69" i="7"/>
  <c r="F23" i="14"/>
  <c r="I71" i="56"/>
  <c r="H71" i="56"/>
  <c r="G71" i="56"/>
  <c r="F71" i="56"/>
  <c r="E71" i="56"/>
  <c r="F39" i="7"/>
  <c r="G79" i="8"/>
  <c r="E79" i="8"/>
  <c r="F67" i="8"/>
  <c r="F38" i="7"/>
  <c r="F37" i="7"/>
  <c r="F36" i="7"/>
  <c r="E16" i="6"/>
  <c r="D16" i="6"/>
  <c r="C19" i="49"/>
  <c r="C20" i="49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F30" i="14"/>
  <c r="E30" i="14"/>
  <c r="F31" i="14"/>
  <c r="C40" i="13"/>
  <c r="D40" i="13"/>
  <c r="K75" i="13"/>
  <c r="R75" i="13"/>
  <c r="C80" i="13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10" i="46"/>
  <c r="I29" i="46"/>
  <c r="E42" i="46"/>
  <c r="E51" i="46"/>
  <c r="F79" i="8"/>
  <c r="D79" i="8"/>
  <c r="H79" i="8"/>
  <c r="F100" i="8"/>
  <c r="F111" i="8"/>
  <c r="F115" i="8" s="1"/>
  <c r="F129" i="8"/>
  <c r="H27" i="44"/>
  <c r="H33" i="44" s="1"/>
  <c r="D49" i="44" s="1"/>
  <c r="F14" i="7"/>
  <c r="F15" i="7"/>
  <c r="F16" i="7"/>
  <c r="F29" i="7"/>
  <c r="F35" i="7"/>
  <c r="F14" i="6"/>
  <c r="F35" i="6"/>
  <c r="F36" i="6" s="1"/>
  <c r="D36" i="6"/>
  <c r="E36" i="6"/>
  <c r="E10" i="5"/>
  <c r="D13" i="46"/>
  <c r="E25" i="5"/>
  <c r="E77" i="5"/>
  <c r="E78" i="5"/>
  <c r="E79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E10" i="47"/>
  <c r="O36" i="24"/>
  <c r="C36" i="24" s="1"/>
  <c r="D42" i="47"/>
  <c r="E42" i="47" s="1"/>
  <c r="J12" i="45"/>
  <c r="G53" i="51"/>
  <c r="G27" i="42"/>
  <c r="G33" i="42" s="1"/>
  <c r="C49" i="42" s="1"/>
  <c r="D54" i="46"/>
  <c r="C54" i="46"/>
  <c r="L54" i="46"/>
  <c r="G20" i="46"/>
  <c r="K80" i="13"/>
  <c r="K10" i="47"/>
  <c r="J14" i="47"/>
  <c r="E19" i="24"/>
  <c r="D19" i="24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6" i="10"/>
  <c r="F134" i="8"/>
  <c r="F139" i="8" s="1"/>
  <c r="I27" i="64" s="1"/>
  <c r="E89" i="58"/>
  <c r="F89" i="58"/>
  <c r="J13" i="45"/>
  <c r="E48" i="45" l="1"/>
  <c r="F131" i="8"/>
  <c r="G129" i="8"/>
  <c r="G131" i="8" s="1"/>
  <c r="G27" i="44" s="1"/>
  <c r="G33" i="44" s="1"/>
  <c r="C49" i="44" s="1"/>
  <c r="F108" i="8"/>
  <c r="F25" i="7"/>
  <c r="E38" i="6"/>
  <c r="D13" i="47"/>
  <c r="D85" i="5"/>
  <c r="E21" i="5"/>
  <c r="L55" i="46"/>
  <c r="E34" i="10"/>
  <c r="I21" i="46" s="1"/>
  <c r="F146" i="8"/>
  <c r="H143" i="8"/>
  <c r="H146" i="8" s="1"/>
  <c r="H27" i="42" s="1"/>
  <c r="H33" i="42" s="1"/>
  <c r="D49" i="42" s="1"/>
  <c r="F62" i="8"/>
  <c r="E25" i="47"/>
  <c r="E17" i="49" s="1"/>
  <c r="E46" i="6"/>
  <c r="E24" i="46"/>
  <c r="C14" i="42"/>
  <c r="C32" i="42" s="1"/>
  <c r="C34" i="42" s="1"/>
  <c r="C85" i="5"/>
  <c r="C13" i="47"/>
  <c r="E11" i="5"/>
  <c r="K55" i="46"/>
  <c r="D118" i="8"/>
  <c r="D81" i="7"/>
  <c r="D71" i="7"/>
  <c r="D83" i="7" s="1"/>
  <c r="C17" i="49"/>
  <c r="C25" i="49" s="1"/>
  <c r="C30" i="47"/>
  <c r="C34" i="47" s="1"/>
  <c r="C26" i="46"/>
  <c r="C54" i="5"/>
  <c r="C88" i="5" s="1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30" i="46"/>
  <c r="C11" i="46"/>
  <c r="C11" i="47"/>
  <c r="C11" i="48" s="1"/>
  <c r="E44" i="47"/>
  <c r="G100" i="8"/>
  <c r="D48" i="64"/>
  <c r="C48" i="64"/>
  <c r="E34" i="64"/>
  <c r="E30" i="47"/>
  <c r="D30" i="47"/>
  <c r="D22" i="49" s="1"/>
  <c r="C66" i="5"/>
  <c r="C14" i="44"/>
  <c r="D66" i="5"/>
  <c r="D88" i="5" s="1"/>
  <c r="D14" i="44"/>
  <c r="D32" i="44" s="1"/>
  <c r="D34" i="44" s="1"/>
  <c r="D48" i="44" s="1"/>
  <c r="D53" i="44" s="1"/>
  <c r="D54" i="44" s="1"/>
  <c r="C48" i="42"/>
  <c r="D11" i="48"/>
  <c r="I24" i="42"/>
  <c r="I24" i="51"/>
  <c r="E48" i="51" s="1"/>
  <c r="H34" i="51"/>
  <c r="H54" i="51" s="1"/>
  <c r="F27" i="8"/>
  <c r="G33" i="8"/>
  <c r="H20" i="46"/>
  <c r="H20" i="47" s="1"/>
  <c r="H19" i="48" s="1"/>
  <c r="C27" i="10"/>
  <c r="E30" i="46"/>
  <c r="D30" i="46"/>
  <c r="D34" i="46" s="1"/>
  <c r="E25" i="46"/>
  <c r="F16" i="6"/>
  <c r="F38" i="6" s="1"/>
  <c r="E34" i="5"/>
  <c r="E65" i="5"/>
  <c r="E66" i="5" s="1"/>
  <c r="H21" i="13"/>
  <c r="H40" i="13" s="1"/>
  <c r="D20" i="47"/>
  <c r="D16" i="48" s="1"/>
  <c r="H37" i="48"/>
  <c r="H44" i="48" s="1"/>
  <c r="D24" i="47"/>
  <c r="I16" i="49"/>
  <c r="E26" i="47"/>
  <c r="E19" i="49" s="1"/>
  <c r="E51" i="47"/>
  <c r="E42" i="48" s="1"/>
  <c r="G17" i="46"/>
  <c r="F66" i="8"/>
  <c r="F74" i="8" s="1"/>
  <c r="G18" i="46"/>
  <c r="G18" i="47" s="1"/>
  <c r="G17" i="48" s="1"/>
  <c r="C12" i="48"/>
  <c r="G37" i="48"/>
  <c r="G44" i="48" s="1"/>
  <c r="D54" i="47"/>
  <c r="R14" i="15"/>
  <c r="C54" i="47"/>
  <c r="I24" i="64"/>
  <c r="G34" i="64"/>
  <c r="G54" i="64" s="1"/>
  <c r="G34" i="42"/>
  <c r="G54" i="42" s="1"/>
  <c r="E88" i="8"/>
  <c r="E118" i="8" s="1"/>
  <c r="H28" i="47"/>
  <c r="H15" i="49" s="1"/>
  <c r="H28" i="46"/>
  <c r="H134" i="8"/>
  <c r="H139" i="8" s="1"/>
  <c r="H27" i="64" s="1"/>
  <c r="F122" i="8"/>
  <c r="G122" i="8" s="1"/>
  <c r="G126" i="8" s="1"/>
  <c r="H27" i="45" s="1"/>
  <c r="H33" i="45" s="1"/>
  <c r="D49" i="45" s="1"/>
  <c r="G27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69" i="7"/>
  <c r="F81" i="7" s="1"/>
  <c r="H18" i="46"/>
  <c r="H18" i="47" s="1"/>
  <c r="H17" i="48" s="1"/>
  <c r="H12" i="47"/>
  <c r="H12" i="48" s="1"/>
  <c r="I12" i="46"/>
  <c r="I10" i="46"/>
  <c r="E54" i="46"/>
  <c r="G32" i="63"/>
  <c r="H14" i="46"/>
  <c r="D14" i="42"/>
  <c r="D32" i="42" s="1"/>
  <c r="E82" i="5"/>
  <c r="C83" i="5"/>
  <c r="E32" i="51"/>
  <c r="G10" i="48"/>
  <c r="G30" i="47"/>
  <c r="G30" i="46"/>
  <c r="H111" i="8"/>
  <c r="I54" i="47"/>
  <c r="I37" i="48"/>
  <c r="I44" i="48" s="1"/>
  <c r="H83" i="8"/>
  <c r="H88" i="8" s="1"/>
  <c r="F88" i="8"/>
  <c r="G11" i="47"/>
  <c r="I11" i="46"/>
  <c r="H30" i="47"/>
  <c r="H17" i="49" s="1"/>
  <c r="H30" i="46"/>
  <c r="G14" i="46"/>
  <c r="R24" i="15"/>
  <c r="G33" i="47"/>
  <c r="G20" i="49" s="1"/>
  <c r="D11" i="49"/>
  <c r="C49" i="51"/>
  <c r="G34" i="51"/>
  <c r="G54" i="51" s="1"/>
  <c r="E32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2" i="14"/>
  <c r="E26" i="13"/>
  <c r="F13" i="14"/>
  <c r="D48" i="51"/>
  <c r="D53" i="51" s="1"/>
  <c r="D54" i="51" s="1"/>
  <c r="E12" i="46"/>
  <c r="E12" i="47" s="1"/>
  <c r="E12" i="48" s="1"/>
  <c r="H22" i="24"/>
  <c r="H33" i="47"/>
  <c r="H20" i="49" s="1"/>
  <c r="H33" i="46"/>
  <c r="M43" i="24"/>
  <c r="G30" i="8"/>
  <c r="G62" i="8" s="1"/>
  <c r="H11" i="47"/>
  <c r="F43" i="24"/>
  <c r="C53" i="64" l="1"/>
  <c r="C54" i="64" s="1"/>
  <c r="H32" i="47"/>
  <c r="H19" i="49" s="1"/>
  <c r="H115" i="8"/>
  <c r="H31" i="46" s="1"/>
  <c r="G108" i="8"/>
  <c r="G32" i="46" s="1"/>
  <c r="G32" i="47" s="1"/>
  <c r="H34" i="42"/>
  <c r="H54" i="42" s="1"/>
  <c r="I27" i="42"/>
  <c r="I33" i="42" s="1"/>
  <c r="E49" i="42" s="1"/>
  <c r="C34" i="46"/>
  <c r="E34" i="46"/>
  <c r="E24" i="47"/>
  <c r="E34" i="47" s="1"/>
  <c r="D34" i="47"/>
  <c r="E83" i="5"/>
  <c r="E54" i="5"/>
  <c r="E88" i="5" s="1"/>
  <c r="G17" i="47"/>
  <c r="G16" i="48" s="1"/>
  <c r="F71" i="7"/>
  <c r="F83" i="7" s="1"/>
  <c r="F80" i="7"/>
  <c r="F27" i="6"/>
  <c r="F28" i="6" s="1"/>
  <c r="D28" i="6"/>
  <c r="D46" i="6" s="1"/>
  <c r="G118" i="8"/>
  <c r="E11" i="46"/>
  <c r="E11" i="47"/>
  <c r="E11" i="48" s="1"/>
  <c r="E40" i="5"/>
  <c r="E85" i="5" s="1"/>
  <c r="I18" i="48"/>
  <c r="O29" i="24"/>
  <c r="G50" i="46"/>
  <c r="H27" i="46"/>
  <c r="I27" i="45"/>
  <c r="J27" i="45" s="1"/>
  <c r="J33" i="45" s="1"/>
  <c r="F49" i="45" s="1"/>
  <c r="F126" i="8"/>
  <c r="F160" i="8" s="1"/>
  <c r="E48" i="64"/>
  <c r="C32" i="44"/>
  <c r="C34" i="44" s="1"/>
  <c r="E14" i="44"/>
  <c r="E32" i="44" s="1"/>
  <c r="D35" i="46"/>
  <c r="D55" i="46" s="1"/>
  <c r="D34" i="42"/>
  <c r="E34" i="42" s="1"/>
  <c r="D48" i="42"/>
  <c r="D53" i="42" s="1"/>
  <c r="D14" i="48"/>
  <c r="E53" i="51"/>
  <c r="E54" i="51" s="1"/>
  <c r="F118" i="8"/>
  <c r="I20" i="47"/>
  <c r="I19" i="48" s="1"/>
  <c r="I20" i="46"/>
  <c r="C35" i="10"/>
  <c r="E27" i="10"/>
  <c r="E35" i="10" s="1"/>
  <c r="K21" i="13"/>
  <c r="D13" i="48"/>
  <c r="D16" i="49"/>
  <c r="E54" i="47"/>
  <c r="O21" i="24" s="1"/>
  <c r="C21" i="24" s="1"/>
  <c r="E160" i="8"/>
  <c r="G24" i="46"/>
  <c r="O25" i="24"/>
  <c r="C25" i="24" s="1"/>
  <c r="G28" i="47"/>
  <c r="H33" i="64"/>
  <c r="I34" i="44"/>
  <c r="I54" i="44" s="1"/>
  <c r="C53" i="42"/>
  <c r="C54" i="42" s="1"/>
  <c r="I30" i="46"/>
  <c r="I34" i="51"/>
  <c r="I54" i="51" s="1"/>
  <c r="G40" i="13"/>
  <c r="I18" i="46"/>
  <c r="I18" i="47" s="1"/>
  <c r="I17" i="48" s="1"/>
  <c r="I12" i="47"/>
  <c r="O27" i="24" s="1"/>
  <c r="C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2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E40" i="13"/>
  <c r="K26" i="13"/>
  <c r="H11" i="48"/>
  <c r="O17" i="24"/>
  <c r="C17" i="24" s="1"/>
  <c r="E22" i="49"/>
  <c r="I17" i="46"/>
  <c r="I17" i="47" s="1"/>
  <c r="H118" i="8"/>
  <c r="I33" i="46"/>
  <c r="I33" i="47"/>
  <c r="C13" i="48"/>
  <c r="G19" i="49" l="1"/>
  <c r="I32" i="47"/>
  <c r="O38" i="24" s="1"/>
  <c r="C38" i="24" s="1"/>
  <c r="I32" i="46"/>
  <c r="H31" i="47"/>
  <c r="H18" i="49" s="1"/>
  <c r="I31" i="46"/>
  <c r="I31" i="47" s="1"/>
  <c r="I18" i="49" s="1"/>
  <c r="H160" i="8"/>
  <c r="I34" i="42"/>
  <c r="I54" i="42" s="1"/>
  <c r="E16" i="49"/>
  <c r="E25" i="49" s="1"/>
  <c r="E13" i="46"/>
  <c r="E33" i="46" s="1"/>
  <c r="E13" i="47"/>
  <c r="E13" i="48" s="1"/>
  <c r="E53" i="42"/>
  <c r="E54" i="42" s="1"/>
  <c r="O15" i="24"/>
  <c r="O19" i="24" s="1"/>
  <c r="D25" i="49"/>
  <c r="D26" i="49" s="1"/>
  <c r="F46" i="6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D54" i="42"/>
  <c r="O8" i="24"/>
  <c r="C8" i="24" s="1"/>
  <c r="E34" i="44"/>
  <c r="E48" i="44" s="1"/>
  <c r="E53" i="44" s="1"/>
  <c r="E54" i="44" s="1"/>
  <c r="C48" i="44"/>
  <c r="C53" i="44" s="1"/>
  <c r="C54" i="44" s="1"/>
  <c r="D33" i="47"/>
  <c r="D35" i="47" s="1"/>
  <c r="D55" i="47" s="1"/>
  <c r="O32" i="24"/>
  <c r="C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H27" i="47"/>
  <c r="H14" i="49" s="1"/>
  <c r="G160" i="8"/>
  <c r="H34" i="46"/>
  <c r="J34" i="45"/>
  <c r="J54" i="45" s="1"/>
  <c r="K40" i="13"/>
  <c r="O31" i="24"/>
  <c r="C31" i="24" s="1"/>
  <c r="I12" i="48"/>
  <c r="F48" i="45"/>
  <c r="F53" i="45" s="1"/>
  <c r="F54" i="45" s="1"/>
  <c r="I14" i="47"/>
  <c r="G22" i="48"/>
  <c r="G24" i="48" s="1"/>
  <c r="G24" i="47"/>
  <c r="O39" i="24"/>
  <c r="C39" i="24" s="1"/>
  <c r="I20" i="49"/>
  <c r="C17" i="47"/>
  <c r="C33" i="47" s="1"/>
  <c r="O26" i="24"/>
  <c r="C26" i="24" s="1"/>
  <c r="I11" i="48"/>
  <c r="O11" i="24"/>
  <c r="C11" i="24" s="1"/>
  <c r="E16" i="48"/>
  <c r="I24" i="46"/>
  <c r="H34" i="64"/>
  <c r="H54" i="64" s="1"/>
  <c r="D49" i="64"/>
  <c r="D53" i="64" s="1"/>
  <c r="D54" i="64" s="1"/>
  <c r="I16" i="48"/>
  <c r="O30" i="24"/>
  <c r="C19" i="24"/>
  <c r="I19" i="49" l="1"/>
  <c r="H21" i="49"/>
  <c r="H26" i="49" s="1"/>
  <c r="D28" i="49" s="1"/>
  <c r="D36" i="49" s="1"/>
  <c r="D44" i="49" s="1"/>
  <c r="C35" i="46"/>
  <c r="C55" i="46" s="1"/>
  <c r="I14" i="48"/>
  <c r="I22" i="48" s="1"/>
  <c r="I24" i="48" s="1"/>
  <c r="O28" i="24"/>
  <c r="C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H45" i="49" l="1"/>
  <c r="C37" i="46"/>
  <c r="E35" i="46"/>
  <c r="E37" i="46" s="1"/>
  <c r="C35" i="47"/>
  <c r="E35" i="47" s="1"/>
  <c r="E55" i="47" s="1"/>
  <c r="C11" i="49"/>
  <c r="C26" i="49" s="1"/>
  <c r="C28" i="49" s="1"/>
  <c r="C36" i="49" s="1"/>
  <c r="C44" i="49" s="1"/>
  <c r="I45" i="48"/>
  <c r="H50" i="46"/>
  <c r="H54" i="46" s="1"/>
  <c r="G34" i="47"/>
  <c r="G35" i="47" s="1"/>
  <c r="G55" i="47" s="1"/>
  <c r="I27" i="47"/>
  <c r="O34" i="24" s="1"/>
  <c r="D36" i="48"/>
  <c r="G55" i="46"/>
  <c r="I50" i="46"/>
  <c r="I49" i="46"/>
  <c r="C33" i="24"/>
  <c r="O33" i="24"/>
  <c r="G45" i="49"/>
  <c r="E14" i="48"/>
  <c r="E22" i="48" s="1"/>
  <c r="E24" i="48" s="1"/>
  <c r="E26" i="48" s="1"/>
  <c r="O10" i="24"/>
  <c r="D44" i="48" l="1"/>
  <c r="D45" i="48" s="1"/>
  <c r="C55" i="47"/>
  <c r="E55" i="46"/>
  <c r="E11" i="49"/>
  <c r="E26" i="49" s="1"/>
  <c r="I14" i="49"/>
  <c r="I21" i="49" s="1"/>
  <c r="I26" i="49" s="1"/>
  <c r="C37" i="47"/>
  <c r="I34" i="47"/>
  <c r="I35" i="47" s="1"/>
  <c r="E37" i="47" s="1"/>
  <c r="D45" i="49"/>
  <c r="C36" i="48"/>
  <c r="C44" i="48" s="1"/>
  <c r="I54" i="46"/>
  <c r="I55" i="46" s="1"/>
  <c r="C10" i="24"/>
  <c r="O14" i="24"/>
  <c r="O22" i="24" s="1"/>
  <c r="O40" i="24"/>
  <c r="C34" i="24"/>
  <c r="E28" i="49" l="1"/>
  <c r="C14" i="24"/>
  <c r="C22" i="24" s="1"/>
  <c r="C40" i="24"/>
  <c r="C43" i="24" s="1"/>
  <c r="O43" i="24" s="1"/>
  <c r="I45" i="49"/>
  <c r="I55" i="47"/>
  <c r="E57" i="47" s="1"/>
  <c r="E36" i="49" l="1"/>
  <c r="E44" i="49" s="1"/>
  <c r="E45" i="49" s="1"/>
  <c r="C45" i="49"/>
  <c r="E36" i="48" l="1"/>
  <c r="E44" i="48" s="1"/>
  <c r="E45" i="48" s="1"/>
  <c r="C45" i="48"/>
  <c r="E83" i="7" l="1"/>
  <c r="H17" i="46"/>
  <c r="H17" i="47" s="1"/>
  <c r="H16" i="48" l="1"/>
  <c r="H22" i="48" s="1"/>
  <c r="H24" i="48" s="1"/>
  <c r="H24" i="47"/>
  <c r="H35" i="47" s="1"/>
  <c r="H24" i="46"/>
  <c r="H35" i="46" s="1"/>
  <c r="H45" i="48" l="1"/>
  <c r="D26" i="48"/>
  <c r="R50" i="15"/>
  <c r="H55" i="46"/>
  <c r="D37" i="46"/>
  <c r="D37" i="47"/>
  <c r="H55" i="47"/>
  <c r="D160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<sst xmlns="http://schemas.openxmlformats.org/spreadsheetml/2006/main" count="3113" uniqueCount="1380">
  <si>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</si>
  <si>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</si>
  <si>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</si>
  <si>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</si>
  <si>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</si>
  <si>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</si>
  <si>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</si>
  <si>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</si>
  <si>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</si>
  <si>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</si>
  <si>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</si>
  <si>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</si>
  <si>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</si>
  <si>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</si>
  <si>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</si>
  <si>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</si>
  <si>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</si>
  <si>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</si>
  <si>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</si>
  <si>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</si>
  <si>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</si>
  <si>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</si>
  <si>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</si>
  <si>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</si>
  <si>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</si>
  <si>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</si>
  <si>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</si>
  <si>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</si>
  <si>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</si>
  <si>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</si>
  <si>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</si>
  <si>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</si>
  <si>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</si>
  <si>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</si>
  <si>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</si>
  <si>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</si>
  <si>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</si>
  <si>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</si>
  <si>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</si>
  <si>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</si>
  <si>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</si>
  <si>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</si>
  <si>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</si>
  <si>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</si>
  <si>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</si>
  <si>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</si>
  <si>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</si>
  <si>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</si>
  <si>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</si>
  <si>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</si>
  <si>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</si>
  <si>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</si>
  <si>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</si>
  <si>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</si>
  <si>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</si>
  <si>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</si>
  <si>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</si>
  <si>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</si>
  <si>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</si>
  <si>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</si>
  <si>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</si>
  <si>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</si>
  <si>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</si>
  <si>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</si>
  <si>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</si>
  <si>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</si>
  <si>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</si>
  <si>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</si>
  <si>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</si>
  <si>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</si>
  <si>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</si>
  <si>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</si>
  <si>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</si>
  <si>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</si>
  <si>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</si>
  <si>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</si>
  <si>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</si>
  <si>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</si>
  <si>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</si>
  <si>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</si>
  <si>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</si>
  <si>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</si>
  <si>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</si>
  <si>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</si>
  <si>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</si>
  <si>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</si>
  <si>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</si>
  <si>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</si>
  <si>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</si>
  <si>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</si>
  <si>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</si>
  <si>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</si>
  <si>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</si>
  <si>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</si>
  <si>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</si>
  <si>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</si>
  <si>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</si>
  <si>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</si>
  <si>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</si>
  <si>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</si>
  <si>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</si>
  <si>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</si>
  <si>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</si>
  <si>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</si>
  <si>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</si>
  <si>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</si>
  <si>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</si>
  <si>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</si>
  <si>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</si>
  <si>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</si>
  <si>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</si>
  <si>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</si>
  <si>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</si>
  <si>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</si>
  <si>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</si>
  <si>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</si>
  <si>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</si>
  <si>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</si>
  <si>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</si>
  <si>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</si>
  <si>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</si>
  <si>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</si>
  <si>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</si>
  <si>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</si>
  <si>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</si>
  <si>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</si>
  <si>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</si>
  <si>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</si>
  <si>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</si>
  <si>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</si>
  <si>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</si>
  <si>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</si>
  <si>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</si>
  <si>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</si>
  <si>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</si>
  <si>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</si>
  <si>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</si>
  <si>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</si>
  <si>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</si>
  <si>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</si>
  <si>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</si>
  <si>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</si>
  <si>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</si>
  <si>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</si>
  <si>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</si>
  <si>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</si>
  <si>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</si>
  <si>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</si>
  <si>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</si>
  <si>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</si>
  <si>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</si>
  <si>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</si>
  <si>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</si>
  <si>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</si>
  <si>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</si>
  <si>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</si>
  <si>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</si>
  <si>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</si>
  <si>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</si>
  <si>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</si>
  <si>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</si>
  <si>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</si>
  <si>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</si>
  <si>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</si>
  <si>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</si>
  <si>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</si>
  <si>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</si>
  <si>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</si>
  <si>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</si>
  <si>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</si>
  <si>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</si>
  <si>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</si>
  <si>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</si>
  <si>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</si>
  <si>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</si>
  <si>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</si>
  <si>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</si>
  <si>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</si>
  <si>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</si>
  <si>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</si>
  <si>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</si>
  <si>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</si>
  <si>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</si>
  <si>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</si>
  <si>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</si>
  <si>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</si>
  <si>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</si>
  <si>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</si>
  <si>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</si>
  <si>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</si>
  <si>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</si>
  <si>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</si>
  <si>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</si>
  <si>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</si>
  <si>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</si>
  <si>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</si>
  <si>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</si>
  <si>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</si>
  <si>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</si>
  <si>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</si>
  <si>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</si>
  <si>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</si>
  <si>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</si>
  <si>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</si>
  <si>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</si>
  <si>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</si>
  <si>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</si>
  <si>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</si>
  <si>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</si>
  <si>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</si>
  <si>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</si>
  <si>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</si>
  <si>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</si>
  <si>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</si>
  <si>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</si>
  <si>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</si>
  <si>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</si>
  <si>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</si>
  <si>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</si>
  <si>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</si>
  <si>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</si>
  <si>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</si>
  <si>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</si>
  <si>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</si>
  <si>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</si>
  <si>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</si>
  <si>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</si>
  <si>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</si>
  <si>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</si>
  <si>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</si>
  <si>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</si>
  <si>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</si>
  <si>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</si>
  <si>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</si>
  <si>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</si>
  <si>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</si>
  <si>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</si>
  <si>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</si>
  <si>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</si>
  <si>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</si>
  <si>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</si>
  <si>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</si>
  <si>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</si>
  <si>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</si>
  <si>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</si>
  <si>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</si>
  <si>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</si>
  <si>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</si>
  <si>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</si>
  <si>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</si>
  <si>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</si>
  <si>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</si>
  <si>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</si>
  <si>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</si>
  <si>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</si>
  <si>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</si>
  <si>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</si>
  <si>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</si>
  <si>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</si>
  <si>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</si>
  <si>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</si>
  <si>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</si>
  <si>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</si>
  <si>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</si>
  <si>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</si>
  <si>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</si>
  <si>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</si>
  <si>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</si>
  <si>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</si>
  <si>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</si>
  <si>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</si>
  <si>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</si>
  <si>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</si>
  <si>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</si>
  <si>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</si>
  <si>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</si>
  <si>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</si>
  <si>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</si>
  <si>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</si>
  <si>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</si>
  <si>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</si>
  <si>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</si>
  <si>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</si>
  <si>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</si>
  <si>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</si>
  <si>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</si>
  <si>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</si>
  <si>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</si>
  <si>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</si>
  <si>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</si>
  <si>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</si>
  <si>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</si>
  <si>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</si>
  <si>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</si>
  <si>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</si>
  <si>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</si>
  <si>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</si>
  <si>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</si>
  <si>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</si>
  <si>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</si>
  <si>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</si>
  <si>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</si>
  <si>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</si>
  <si>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</si>
  <si>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</si>
  <si>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</si>
  <si>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</si>
  <si>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</si>
  <si>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</si>
  <si>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</si>
  <si>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</si>
  <si>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</si>
  <si>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</si>
  <si>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</si>
  <si>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</si>
  <si>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</si>
  <si>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</si>
  <si>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</si>
  <si>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</si>
  <si>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</si>
  <si>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</si>
  <si>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</si>
  <si>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</si>
  <si>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</si>
  <si>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</si>
  <si>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</si>
  <si>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</si>
  <si>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</si>
  <si>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</si>
  <si>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</si>
  <si>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</si>
  <si>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</si>
  <si>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</si>
  <si>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</si>
  <si>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</si>
  <si>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</si>
  <si>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</si>
  <si>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</si>
  <si>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</si>
  <si>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</si>
  <si>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</si>
  <si>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</si>
  <si>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</si>
  <si>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</si>
  <si>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</si>
  <si>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</si>
  <si>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</si>
  <si>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</si>
  <si>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</si>
  <si>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</si>
  <si>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</si>
  <si>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</si>
  <si>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</si>
  <si>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</si>
  <si>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</si>
  <si>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</si>
  <si>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</si>
  <si>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</si>
  <si>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</si>
  <si>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</si>
  <si>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</si>
  <si>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</si>
  <si>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</si>
  <si>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</si>
  <si>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</si>
  <si>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</si>
  <si>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</si>
  <si>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</si>
  <si>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</si>
  <si>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</si>
  <si>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</si>
  <si>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</si>
  <si>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</si>
  <si>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</si>
  <si>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</si>
  <si>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</si>
  <si>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</si>
  <si>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</si>
  <si>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</si>
  <si>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</si>
  <si>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</si>
  <si>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</si>
  <si>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</si>
  <si>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</si>
  <si>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</si>
  <si>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</si>
  <si>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</si>
  <si>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</si>
  <si>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</si>
  <si>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</si>
  <si>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</si>
  <si>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</si>
  <si>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</si>
  <si>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</si>
  <si>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</si>
  <si>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</si>
  <si>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</si>
  <si>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</si>
  <si>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</si>
  <si>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</si>
  <si>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</si>
  <si>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</si>
  <si>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</si>
  <si>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</si>
  <si>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</si>
  <si>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</si>
  <si>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</si>
  <si>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</si>
  <si>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</si>
  <si>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</si>
  <si>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</si>
  <si>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</si>
  <si>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</si>
  <si>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</si>
  <si>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</si>
  <si>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</si>
  <si>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</si>
  <si>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</si>
  <si>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</si>
  <si>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</si>
  <si>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</si>
  <si>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</si>
  <si>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</si>
  <si>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</si>
  <si>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</si>
  <si>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</si>
  <si>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</si>
  <si>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</si>
  <si>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</si>
  <si>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</si>
  <si>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</si>
  <si>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</si>
  <si>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</si>
  <si>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</si>
  <si>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</si>
  <si>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</si>
  <si>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</si>
  <si>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</si>
  <si>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</si>
  <si>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</si>
  <si>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</si>
  <si>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</si>
  <si>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</si>
  <si>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</si>
  <si>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</si>
  <si>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</si>
  <si>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</si>
  <si>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</si>
  <si>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</si>
  <si>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</si>
  <si>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</si>
  <si>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</si>
  <si>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</si>
  <si>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</si>
  <si>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</si>
  <si>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</si>
  <si>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</si>
  <si>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</si>
  <si>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</si>
  <si>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</si>
  <si>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</si>
  <si>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</si>
  <si>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</si>
  <si>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</si>
  <si>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</si>
  <si>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</si>
  <si>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</si>
  <si>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</si>
  <si>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</si>
  <si>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</si>
  <si>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</si>
  <si>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</si>
  <si>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</si>
  <si>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</si>
  <si>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</si>
  <si>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</si>
  <si>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</si>
  <si>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</si>
  <si>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</si>
  <si>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</si>
  <si>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</si>
  <si>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</si>
  <si>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</si>
  <si>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</si>
  <si>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</si>
  <si>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</si>
  <si>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</si>
  <si>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</si>
  <si>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</si>
  <si>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</si>
  <si>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</si>
  <si>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</si>
  <si>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</si>
  <si>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</si>
  <si>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</si>
  <si>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</si>
  <si>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</si>
  <si>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</si>
  <si>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</si>
  <si>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</si>
  <si>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</si>
  <si>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</si>
  <si>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</si>
  <si>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</si>
  <si>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</si>
  <si>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</si>
  <si>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</si>
  <si>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</si>
  <si>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</si>
  <si>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</si>
  <si>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</si>
  <si>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</si>
  <si>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</si>
  <si>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</si>
  <si>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</si>
  <si>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</si>
  <si>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</si>
  <si>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</si>
  <si>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</si>
  <si>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</si>
  <si>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</si>
  <si>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</si>
  <si>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</si>
  <si>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</si>
  <si>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</si>
  <si>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</si>
  <si>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</si>
  <si>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</si>
  <si>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</si>
  <si>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</si>
  <si>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</si>
  <si>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</si>
  <si>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</si>
  <si>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</si>
  <si>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</si>
  <si>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</si>
  <si>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</si>
  <si>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</si>
  <si>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</si>
  <si>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</si>
  <si>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</si>
  <si>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</si>
  <si>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</si>
  <si>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</si>
  <si>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</si>
  <si>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</si>
  <si>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</si>
  <si>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</si>
  <si>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</si>
  <si>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</si>
  <si>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</si>
  <si>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</si>
  <si>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</si>
  <si>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</si>
  <si>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</si>
  <si>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</si>
  <si>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</si>
  <si>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</si>
  <si>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</si>
  <si>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</si>
  <si>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</si>
  <si>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</si>
  <si>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</si>
  <si>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</si>
  <si>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</si>
  <si>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</si>
  <si>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</si>
  <si>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</si>
  <si>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</si>
  <si>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</si>
  <si>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</si>
  <si>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</si>
  <si>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</si>
  <si>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</si>
  <si>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</si>
  <si>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</si>
  <si>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</si>
  <si>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</si>
  <si>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</si>
  <si>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</si>
  <si>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</si>
  <si>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</si>
  <si>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</si>
  <si>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</si>
  <si>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</si>
  <si>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</si>
  <si>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</si>
  <si>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</si>
  <si>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</si>
  <si>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</si>
  <si>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</si>
  <si>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</si>
  <si>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</si>
  <si>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</si>
  <si>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</si>
  <si>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</si>
  <si>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</si>
  <si>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</si>
  <si>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</si>
  <si>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</si>
  <si>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</si>
  <si>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</si>
  <si>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</si>
  <si>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</si>
  <si>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</si>
  <si>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</si>
  <si>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</si>
  <si>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</si>
  <si>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</si>
  <si>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</si>
  <si>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</si>
  <si>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</si>
  <si>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</si>
  <si>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</si>
  <si>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</si>
  <si>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</si>
  <si>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</si>
  <si>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</si>
  <si>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</si>
  <si>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</si>
  <si>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</si>
  <si>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</si>
  <si>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</si>
  <si>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</si>
  <si>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</si>
  <si>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</si>
  <si>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</si>
  <si>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</si>
  <si>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</si>
  <si>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</si>
  <si>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</si>
  <si>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</si>
  <si>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</si>
  <si>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</si>
  <si>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</si>
  <si>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</si>
  <si>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</si>
  <si>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</si>
  <si>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</si>
  <si>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</si>
  <si>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</si>
  <si>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</si>
  <si>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</si>
  <si>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</si>
  <si>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</si>
  <si>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</si>
  <si>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</si>
  <si>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</si>
  <si>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</si>
  <si>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</si>
  <si>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</si>
  <si>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</si>
  <si>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</si>
  <si>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</si>
  <si>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</si>
  <si>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</si>
  <si>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</si>
  <si>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</si>
  <si>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</si>
  <si>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</si>
  <si>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</si>
  <si>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</si>
  <si>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</si>
  <si>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</si>
  <si>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</si>
  <si>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</si>
  <si>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</si>
  <si>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</si>
  <si>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</si>
  <si>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</si>
  <si>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</si>
  <si>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</si>
  <si>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</si>
  <si>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</si>
  <si>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</si>
  <si>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</si>
  <si>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</si>
  <si>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</si>
  <si>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</si>
  <si>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</si>
  <si>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</si>
  <si>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</si>
  <si>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</si>
  <si>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</si>
  <si>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</si>
  <si>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</si>
  <si>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</si>
  <si>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</si>
  <si>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</si>
  <si>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</si>
  <si>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</si>
  <si>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</si>
  <si>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</si>
  <si>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</si>
  <si>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</si>
  <si>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</si>
  <si>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</si>
  <si>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</si>
  <si>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</si>
  <si>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</si>
  <si>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</si>
  <si>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</si>
  <si>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</si>
  <si>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</si>
  <si>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</si>
  <si>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</si>
  <si>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</si>
  <si>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</si>
  <si>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</si>
  <si>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</si>
  <si>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</si>
  <si>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</si>
  <si>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</si>
  <si>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</si>
  <si>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</si>
  <si>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</si>
  <si>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</si>
  <si>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</si>
  <si>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</si>
  <si>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</si>
  <si>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</si>
  <si>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</si>
  <si>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</si>
  <si>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</si>
  <si>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</si>
  <si>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</si>
  <si>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</si>
  <si>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</si>
  <si>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</si>
  <si>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</si>
  <si>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</si>
  <si>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</si>
  <si>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</si>
  <si>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</si>
  <si>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</si>
  <si>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</si>
  <si>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</si>
  <si>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</si>
  <si>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</si>
  <si>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</si>
  <si>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</si>
  <si>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</si>
  <si>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</si>
  <si>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</si>
  <si>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</si>
  <si>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</si>
  <si>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</si>
  <si>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</si>
  <si>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</si>
  <si>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</si>
  <si>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</si>
  <si>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</si>
  <si>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</si>
  <si>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</si>
  <si>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</si>
  <si>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</si>
  <si>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</si>
  <si>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</si>
  <si>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</si>
  <si>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</si>
  <si>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</si>
  <si>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</si>
  <si>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</si>
  <si>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</si>
  <si>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</si>
  <si>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</si>
  <si>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</si>
  <si>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</si>
  <si>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</si>
  <si>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</si>
  <si>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</si>
  <si>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</si>
  <si>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</si>
  <si>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</si>
  <si>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</si>
  <si>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</si>
  <si>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</si>
  <si>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</si>
  <si>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</si>
  <si>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</si>
  <si>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</si>
  <si>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</si>
  <si>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</si>
  <si>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</si>
  <si>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</si>
  <si>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</si>
  <si>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</si>
  <si>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</si>
  <si>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</si>
  <si>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</si>
  <si>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</si>
  <si>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</si>
  <si>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</si>
  <si>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</si>
  <si>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</si>
  <si>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</si>
  <si>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</si>
  <si>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</si>
  <si>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</si>
  <si>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</si>
  <si>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</si>
  <si>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</si>
  <si>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</si>
  <si>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</si>
  <si>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</si>
  <si>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</si>
  <si>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</si>
  <si>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</si>
  <si>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</si>
  <si>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</si>
  <si>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</si>
  <si>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</si>
  <si>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</si>
  <si>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</si>
  <si>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</si>
  <si>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</si>
  <si>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</si>
  <si>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</si>
  <si>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</si>
  <si>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</si>
  <si>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</si>
  <si>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</si>
  <si>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</si>
  <si>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</si>
  <si>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</si>
  <si>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</si>
  <si>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</si>
  <si>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</si>
  <si>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</si>
  <si>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</si>
  <si>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</si>
  <si>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</si>
  <si>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</si>
  <si>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</si>
  <si>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</si>
  <si>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</si>
  <si>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</si>
  <si>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</si>
  <si>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</si>
  <si>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</si>
  <si>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</si>
  <si>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</si>
  <si>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</si>
  <si>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</si>
  <si>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</si>
  <si>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</si>
  <si>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</si>
  <si>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</si>
  <si>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</si>
  <si>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</si>
  <si>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</si>
  <si>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</si>
  <si>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</si>
  <si>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</si>
  <si>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</si>
  <si>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</si>
  <si>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</si>
  <si>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</si>
  <si>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</si>
  <si>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</si>
  <si>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</si>
  <si>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</si>
  <si>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</si>
  <si>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</si>
  <si>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</si>
  <si>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</si>
  <si>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</si>
  <si>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</si>
  <si>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</si>
  <si>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</si>
  <si>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</si>
  <si>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</si>
  <si>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</si>
  <si>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</si>
  <si>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</si>
  <si>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</si>
  <si>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</si>
  <si>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</si>
  <si>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</si>
  <si>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</si>
  <si>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</si>
  <si>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</si>
  <si>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</si>
  <si>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</si>
  <si>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</si>
  <si>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</si>
  <si>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</si>
  <si>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</si>
  <si>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</si>
  <si>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</si>
  <si>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</si>
  <si>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</si>
  <si>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</si>
  <si>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</si>
  <si>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</si>
  <si>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</si>
  <si>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</si>
  <si>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</si>
  <si>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</si>
  <si>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</si>
  <si>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</si>
  <si>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</si>
  <si>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</si>
  <si>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</si>
  <si>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</si>
  <si>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</si>
  <si>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</si>
  <si>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</si>
  <si>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</si>
  <si>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</si>
  <si>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</si>
  <si>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</si>
  <si>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</si>
  <si>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</si>
  <si>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</si>
  <si>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</si>
  <si>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</si>
  <si>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</si>
  <si>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</si>
  <si>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</si>
  <si>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</si>
  <si>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</si>
  <si>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</si>
  <si>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</si>
  <si>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</si>
  <si>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</si>
  <si>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</si>
  <si>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</si>
  <si>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</si>
  <si>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</si>
  <si>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</si>
  <si>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</si>
  <si>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</si>
  <si>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</si>
  <si>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</si>
  <si>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</si>
  <si>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</si>
  <si>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</si>
  <si>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</si>
  <si>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</si>
  <si>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</si>
  <si>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</si>
  <si>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</si>
  <si>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</si>
  <si>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</si>
  <si>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</si>
  <si>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</si>
  <si>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</si>
  <si>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</si>
  <si>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</si>
  <si>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</si>
  <si>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</si>
  <si>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</si>
  <si>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</si>
  <si>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</si>
  <si>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</si>
  <si>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</si>
  <si>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</si>
  <si>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</si>
  <si>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</si>
  <si>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</si>
  <si>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</si>
  <si>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</si>
  <si>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</si>
  <si>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</si>
  <si>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</si>
  <si>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</si>
  <si>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</si>
  <si>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</si>
  <si>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</si>
  <si>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</si>
  <si>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</si>
  <si>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</si>
  <si>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</si>
  <si>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</si>
  <si>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</si>
  <si>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</si>
  <si>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</si>
  <si>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</si>
  <si>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</si>
  <si>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</si>
  <si>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</si>
  <si>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</si>
  <si>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</si>
  <si>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</si>
  <si>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</si>
  <si>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</si>
  <si>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</si>
  <si>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</si>
  <si>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</si>
  <si>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</si>
  <si>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</si>
  <si>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</si>
  <si>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</si>
  <si>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</si>
  <si>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</si>
  <si>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</si>
  <si>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</si>
  <si>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</si>
  <si>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</si>
  <si>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</si>
  <si>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</si>
  <si>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</si>
  <si>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</si>
  <si>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</si>
  <si>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</si>
  <si>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</si>
  <si>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</si>
  <si>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</si>
  <si>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</si>
  <si>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</si>
  <si>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</si>
  <si>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</si>
  <si>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</si>
  <si>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</si>
  <si>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</si>
  <si>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</si>
  <si>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</si>
  <si>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</si>
  <si>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</si>
  <si>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</si>
  <si>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</si>
  <si>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</si>
  <si>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</si>
  <si>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</si>
  <si>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</si>
  <si>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</si>
  <si>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</si>
  <si>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</si>
  <si>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</si>
  <si>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</si>
  <si>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</si>
  <si>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</si>
  <si>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</si>
  <si>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</si>
  <si>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</si>
  <si>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</si>
  <si>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</si>
  <si>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</si>
  <si>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</si>
  <si>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</si>
  <si>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</si>
  <si>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</si>
  <si>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</si>
  <si>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</si>
  <si>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</si>
  <si>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</si>
  <si>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</si>
  <si>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</si>
  <si>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</si>
  <si>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</si>
  <si>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</si>
  <si>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</si>
  <si>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</si>
  <si>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</si>
  <si>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</si>
  <si>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</si>
  <si>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</si>
  <si>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</si>
  <si>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</si>
  <si>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</si>
  <si>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</si>
  <si>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</si>
  <si>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</si>
  <si>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</si>
  <si>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</si>
  <si>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</si>
  <si>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</si>
  <si>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</si>
  <si>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</si>
  <si>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</si>
  <si>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</si>
  <si>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</si>
  <si>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</si>
  <si>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</si>
  <si>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</si>
  <si>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</si>
  <si>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</si>
  <si>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</si>
  <si>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</si>
  <si>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</si>
  <si>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</si>
  <si>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</si>
  <si>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</si>
  <si>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</si>
  <si>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</si>
  <si>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</si>
  <si>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</si>
  <si>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</si>
  <si>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</si>
  <si>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</si>
  <si>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</si>
  <si>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</si>
  <si>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</si>
  <si>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</si>
  <si>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</si>
  <si>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</si>
  <si>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</si>
  <si>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</si>
  <si>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</si>
  <si>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</si>
  <si>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</si>
  <si>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</si>
  <si>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</si>
  <si>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</si>
  <si>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</si>
  <si>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</si>
  <si>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</si>
  <si>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</si>
  <si>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</si>
  <si>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</si>
  <si>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</si>
  <si>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</si>
  <si>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</si>
  <si>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</si>
  <si>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</si>
  <si>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</si>
  <si>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</si>
  <si>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</si>
  <si>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</si>
  <si>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</si>
  <si>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</si>
  <si>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</si>
  <si>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</si>
  <si>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</si>
  <si>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</si>
  <si>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</si>
  <si>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</si>
  <si>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</si>
  <si>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</si>
  <si>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</si>
  <si>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</si>
  <si>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</si>
  <si>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</si>
  <si>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</si>
  <si>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</si>
  <si>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</si>
  <si>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</si>
  <si>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</si>
  <si>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</si>
  <si>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</si>
  <si>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</si>
  <si>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</si>
  <si>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</si>
  <si>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</si>
  <si>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</si>
  <si>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</si>
  <si>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</si>
  <si>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</si>
  <si>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</si>
  <si>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</si>
  <si>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</si>
  <si>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</si>
  <si>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</si>
  <si>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</si>
  <si>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</si>
  <si>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</si>
  <si>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</si>
  <si>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</si>
  <si>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</si>
  <si>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</si>
  <si>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</si>
  <si>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</si>
  <si>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</si>
  <si>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</si>
  <si>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</si>
  <si>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</si>
  <si>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</si>
  <si>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</si>
  <si>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</si>
  <si>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</si>
  <si>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</si>
  <si>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4.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</si>
  <si>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</si>
  <si>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</si>
  <si>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</si>
  <si>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</si>
  <si>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</si>
  <si>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</si>
  <si>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</si>
  <si>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</si>
  <si>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</si>
  <si>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</si>
  <si>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</si>
  <si>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</si>
  <si>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</si>
  <si>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</si>
  <si>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</si>
  <si>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</si>
  <si>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</si>
  <si>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</si>
  <si>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</si>
  <si>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</si>
  <si>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</si>
  <si>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</si>
  <si>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</si>
  <si>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</si>
  <si>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</si>
  <si>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</si>
  <si>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</si>
  <si>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</si>
  <si>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</si>
  <si>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</si>
  <si>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</si>
  <si>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</si>
  <si>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</si>
  <si>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</si>
  <si>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</si>
  <si>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</si>
  <si>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</si>
  <si>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</si>
  <si>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</si>
  <si>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</si>
  <si>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</si>
  <si>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</si>
  <si>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</si>
  <si>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Zrínyi utca  99-179. házszám közötti szakasz út, közmű és zöldfelületi felújítás (terv készítés) </t>
  </si>
  <si>
    <t>EEM Szociális és Gyermekvédelmi Főigazgatóság</t>
  </si>
  <si>
    <t>67.</t>
  </si>
  <si>
    <t xml:space="preserve">Vis maior támogatás 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</si>
  <si>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</si>
  <si>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</si>
  <si>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</si>
  <si>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</si>
  <si>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</si>
  <si>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</si>
  <si>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Fiat Doblo gépkocsi értékesítés</t>
  </si>
  <si>
    <t>Felhalmozási bevételek összesen.:</t>
  </si>
  <si>
    <t>Teréz Anya Szociális Integrált Intézmény összesen:</t>
  </si>
  <si>
    <t>Bencés Szellemiségért Alapítvány</t>
  </si>
  <si>
    <t>Hévízgyógyfürdő és Reumakórház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</si>
  <si>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</si>
  <si>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</si>
  <si>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</si>
  <si>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</si>
  <si>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</si>
  <si>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</si>
  <si>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</si>
  <si>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Városi térfigyelő kamerarendszer üzemeltetési szabályzat</t>
  </si>
  <si>
    <t>Hávíz Város turisztikai honlapjának fejlesztése</t>
  </si>
  <si>
    <t>Polgármesteri Hivatal épületében lévő lift felújítása</t>
  </si>
  <si>
    <t>új felújítás</t>
  </si>
  <si>
    <t>Nagyparkoló T jelű belterületi út építáése, forgalomtechnika (adósságkonsz . + 2.644 ezer Ft önerő)</t>
  </si>
  <si>
    <t>Nyírfa utcai projekt (adósságkonsz. + 4.308 ezer Ft önerő)</t>
  </si>
  <si>
    <t>Gersei -Pethő utcai csapadékvíz elvezetés kivitelezése</t>
  </si>
  <si>
    <t xml:space="preserve">Piac tervezési módosítás (Pályázatban nem elszámolható!) </t>
  </si>
  <si>
    <t>Zm-i Rendőr -főkapitányság</t>
  </si>
  <si>
    <t>12 db GLOBALTRUSS F33 alukapu és tartozékai</t>
  </si>
  <si>
    <t>2 db klíma berendezés</t>
  </si>
  <si>
    <t>4.  Brunszvik Teréz Napközi Otthonos Óvoda</t>
  </si>
  <si>
    <r>
      <t>Kölcsey u. és Ady u. közötti zárt rendszerű csapadékvíz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</si>
  <si>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</si>
  <si>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</si>
  <si>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</si>
  <si>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</si>
  <si>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Hévíz Kulturális Központ Nonprofit Kft</t>
  </si>
  <si>
    <t>működési célú támogatások államháztartáson belülről  és kívülről</t>
  </si>
  <si>
    <t>68.</t>
  </si>
  <si>
    <t>69.</t>
  </si>
  <si>
    <t>Transzforming your city projekt</t>
  </si>
  <si>
    <t>Hévíz Sportkör</t>
  </si>
  <si>
    <t>70.</t>
  </si>
  <si>
    <t>71.</t>
  </si>
  <si>
    <t>72.</t>
  </si>
  <si>
    <t>YOUTH &amp; SPA projekt (Erasmus+)</t>
  </si>
  <si>
    <t>Gróf  I. Festetics György Művelődési Központ</t>
  </si>
  <si>
    <t>Lakosságtól</t>
  </si>
  <si>
    <t>Gróf  I. Festetics György Művelődési Központ mindösszesen:</t>
  </si>
  <si>
    <t>73.</t>
  </si>
  <si>
    <t>74.</t>
  </si>
  <si>
    <t>75.</t>
  </si>
  <si>
    <t>76.</t>
  </si>
  <si>
    <t>77.</t>
  </si>
  <si>
    <t>78.</t>
  </si>
  <si>
    <t>79.</t>
  </si>
  <si>
    <t>Hévíz Toutist Nkft. részedés értékesítés</t>
  </si>
  <si>
    <t>Hévíz TDM Egyesület</t>
  </si>
  <si>
    <t>"Fentartható közlekedés" TOP 3.1.1-15-ZA1-2016-00007 tám visszafiz.</t>
  </si>
  <si>
    <t>"Hévíz termelői piac megújulása" TOP 1.1.3-15-ZA1-2016-00005 tám visszafiz</t>
  </si>
  <si>
    <t>SportOverBorders pályázati tám átadás Zalaegerszeg Megyei Jogú Város részére</t>
  </si>
  <si>
    <t>SportOverBorders támogatás átadása Héviz Sportkör részére</t>
  </si>
  <si>
    <t>SportOverBorders támogatás átadása Cazma  részére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</si>
  <si>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</si>
  <si>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</si>
  <si>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</si>
  <si>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</si>
  <si>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SportOverBorders támogatás átadása Koprivnica részére</t>
  </si>
  <si>
    <t>Hész módosítás</t>
  </si>
  <si>
    <t>ASP ellenőrzési nyomvonal szabályzat</t>
  </si>
  <si>
    <t>Kamerás megfigyelőrendszer üzemeltetési szabályzat</t>
  </si>
  <si>
    <t>SportOverBorders weblapfejlesztés</t>
  </si>
  <si>
    <t>Gersei - Pethő utcai csapadékvíz elvezetés felújítása</t>
  </si>
  <si>
    <t>8/1.</t>
  </si>
  <si>
    <t>8/2.</t>
  </si>
  <si>
    <t>Nyírfa utcai csapadékvíz elvezető gerincvezeték és bekötések</t>
  </si>
  <si>
    <t>10/1.</t>
  </si>
  <si>
    <t>10/2.</t>
  </si>
  <si>
    <t>10/3.</t>
  </si>
  <si>
    <t xml:space="preserve">Hévíz 58 férőhelyes parkoló építése </t>
  </si>
  <si>
    <t xml:space="preserve">Hévíz 58 férőhelyes parkoló építés műszaki ellenőrzése </t>
  </si>
  <si>
    <t>10/4.</t>
  </si>
  <si>
    <t xml:space="preserve">Hévíz 58 férőhelyes parkoló építés terv vásárlás </t>
  </si>
  <si>
    <t>Hévíz, 09/34. és 09/35. hrsz ingatlanok vásárlása hulladékgyűjtőudvar létesítéséhez</t>
  </si>
  <si>
    <t xml:space="preserve">Szent András Gyógyfürdő és reuma Korház kezelésében lévő Dr.Schulhof sétány fejlesztése GINOP-7.1.9-17. pályázat </t>
  </si>
  <si>
    <t>2 db tárgyíaló korszerűsítése</t>
  </si>
  <si>
    <t>"Hévíz Termelői piac megújulása" TOP-1.1.3-15-ZA1-2016-00005 projekt támogatás visszafizetés</t>
  </si>
  <si>
    <t>Fenntartható közlekedés TOP-3.1.1-15-ZA1-2016-00007 projekt támogatás visszafizetés</t>
  </si>
  <si>
    <t>Ovi-sportPálya pályázat önerő átadás</t>
  </si>
  <si>
    <t>Visszatérítendő felhalmozási kölcsön nyújtása önkormányzati dolgozóknak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</si>
  <si>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</si>
  <si>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</si>
  <si>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</si>
  <si>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</si>
  <si>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</si>
  <si>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</si>
  <si>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</si>
  <si>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</si>
  <si>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13. melléklet a 35/2018. (X. 26.) rendelethez, 2/3. melléklet a 2/2018. (I. 25.) önkormányzati rendelethez </t>
  </si>
  <si>
    <t xml:space="preserve">18. melléklet a 35/2018. (X. 26.) rendelethez, 5. melléklet a 2/2018. (I. 25.) önkormányzati rendelethez  </t>
  </si>
  <si>
    <t>Egyéb bírság</t>
  </si>
  <si>
    <t>Emberi Erőforrások Támogatáskezelő</t>
  </si>
  <si>
    <t>80.</t>
  </si>
  <si>
    <t>81.</t>
  </si>
  <si>
    <t>"Európa a polgárokért" program</t>
  </si>
  <si>
    <t>82.</t>
  </si>
  <si>
    <t xml:space="preserve">Keszthelyi Járás Bíróság </t>
  </si>
  <si>
    <t>Nagyparkoló zöldter. és közl.ter.megújítása (Zöldváros) TOP-2.1.2-15-ZA1-2016-00004  támogatási előleg visszafizetés</t>
  </si>
  <si>
    <t>Dunántúli Református Egyházkerület</t>
  </si>
  <si>
    <t>Hévízi Római Katolikus Egyházközség</t>
  </si>
  <si>
    <t xml:space="preserve">Zm-i Polgári Védelmi Szövetség </t>
  </si>
  <si>
    <t>"Európa a polgárokért" 4 társpályázó részére</t>
  </si>
  <si>
    <t>Kisebbségekét Pro Minoritate Alapítvány</t>
  </si>
  <si>
    <r>
      <t xml:space="preserve">Kölcsey u. és Ady u között 386 m hosszú zárt rendszerű csapadékvíz elvezetés kialakítása </t>
    </r>
    <r>
      <rPr>
        <b/>
        <sz val="8"/>
        <color rgb="FF00B0F0"/>
        <rFont val="Times New Roman"/>
        <family val="1"/>
        <charset val="238"/>
      </rPr>
      <t>(82.378 e Ft Kormányzati döntés alapján!)</t>
    </r>
  </si>
  <si>
    <t>Nagyparkoló zöldterületének és közlekedési ter. megújítása (Zöldváros) TOP-2.1.2-15-ZA1-2016-00004 támogatási előleg visszafizetés</t>
  </si>
  <si>
    <t xml:space="preserve"> 1db ipari mosogatógép</t>
  </si>
  <si>
    <t xml:space="preserve">1 db Dell notebook + HP nyomtató </t>
  </si>
  <si>
    <t>Udvari játszótéri játékok</t>
  </si>
  <si>
    <r>
      <t xml:space="preserve">502201 Széchenyi utca fejlesztése </t>
    </r>
    <r>
      <rPr>
        <b/>
        <sz val="7"/>
        <color rgb="FF0070C0"/>
        <rFont val="Times New Roman"/>
        <family val="1"/>
        <charset val="238"/>
      </rPr>
      <t>(180.418 e Ft Kormányzati döntés alapján!)</t>
    </r>
  </si>
  <si>
    <t>502217 Új parkolóhelyek kialakítása</t>
  </si>
  <si>
    <t>505804 YOUTH &amp; SPA projekt</t>
  </si>
  <si>
    <t>502227 Széchenyi utcai zárt árok csapadékvíz elvezetés</t>
  </si>
  <si>
    <t>502222 Városi térfigyelő kamerarendszer  kialakítása</t>
  </si>
  <si>
    <t>505801 " Európa a polgárokért" program</t>
  </si>
  <si>
    <t>503301 Rendkívüli támogatás</t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</si>
  <si>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</si>
  <si>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</si>
  <si>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</si>
  <si>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</si>
  <si>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</si>
  <si>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</si>
  <si>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</si>
  <si>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</si>
  <si>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</si>
  <si>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505301 Főépítészi feladatok ellátása</t>
  </si>
  <si>
    <t>505502 Város- és községgazdálkodás</t>
  </si>
  <si>
    <t>505103 Reprezentáció</t>
  </si>
  <si>
    <t>502224 "ReforbCulture" projekt</t>
  </si>
  <si>
    <t>503201 Működési célú pénzeszköz átadás</t>
  </si>
  <si>
    <t xml:space="preserve">502301 ASP rendszer bevezetése </t>
  </si>
  <si>
    <t xml:space="preserve">502211 Nagyparkoló megújítás "Zöld város kialakítása" TOP-2.1.2-15 </t>
  </si>
  <si>
    <t>505402  HeBi üzemeltetés</t>
  </si>
  <si>
    <t>502225 "Zala két keréken" TOP-3.1.1-15-ZA-2016-00005</t>
  </si>
  <si>
    <t xml:space="preserve">                felhalmozási visszatérítendő kölcsön Áht-n kívülre</t>
  </si>
  <si>
    <t xml:space="preserve">1. melléklet a 7/2019. (II. 28.) rendelethez, 1. melléklet a 2/2018. (I. 25.) önkormányzati rendelethez </t>
  </si>
  <si>
    <t xml:space="preserve">2. melléklet a 7/2019. (II. 28.) rendelethez, 1/1. melléklet a 2/2018. (I. 25.) önkormányzati rendelethez </t>
  </si>
  <si>
    <t xml:space="preserve">3. melléklet a 7/2019. (II. 28.) rendelethez, 1/2. melléklet a 2/2018. (I. 25.) önkormányzati rendelethez </t>
  </si>
  <si>
    <t xml:space="preserve">4. melléklet a 7/2019. (II. 28.) rendelethez, 1/4. melléklet a 2/2018. (I. 25.) önkormányzati rendelethez </t>
  </si>
  <si>
    <t xml:space="preserve">5. melléklet a 7/2019. (II. 28.) rendelethez, 1/5. melléklet a 2/2018. (I. 25.) önkormányzati rendelethez </t>
  </si>
  <si>
    <t xml:space="preserve">6. melléklet a 7/2019. (II. 28.) rendelethez, 1/6. melléklet a 2/2018. (I. 25.) önkormányzati rendelethez </t>
  </si>
  <si>
    <t xml:space="preserve">7. melléklet a 7/2019. (II. 28.) rendelethez, 1/7. melléklet a 2/2018. (I. 25.) önkormányzati rendelethez </t>
  </si>
  <si>
    <t xml:space="preserve">8. melléklet a 7/2019. (II. 28.) rendelethez, 1/8. melléklet a 2/2018. (I. 25.) önkormányzati rendelethez </t>
  </si>
  <si>
    <t xml:space="preserve">9. melléklet a 7/2019. (II. 28.) rendelethez, 1/9. melléklet a 2/2018. (I. 25.) önkormányzati rendelethez </t>
  </si>
  <si>
    <t xml:space="preserve">10. melléklet a 7/2019. (II. 28.) rendelethez, 2/1. melléklet a 2/2018. (I. 25.) önkormányzati rendelethez </t>
  </si>
  <si>
    <t xml:space="preserve">11. melléklet a 7/2019. (II. 28.) rendelethez, 2/1/1. melléklet a 2/2018. (I. 25.) önkormányzati rendelethez </t>
  </si>
  <si>
    <t xml:space="preserve">12. melléklet a 7/2019. (II. 28.) rendelethez, 2/2. melléklet a 2/2018. (I. 25.) önkormányzati rendelethez </t>
  </si>
  <si>
    <t xml:space="preserve">13. melléklet a 7/2019. (II. 28.) rendelethez, 2/4. melléklet a 2/2018. (I. 25.) önkormányzati rendelethez </t>
  </si>
  <si>
    <t xml:space="preserve">14.  melléklet a 7/2019. (II. 28.) rendelethez, 3/1. melléklet a 2/2018. (I. 25.) önkormányzati rendelethez </t>
  </si>
  <si>
    <t>15.  melléklet a 7/2019. (II. 28.) rendelethez, 3/2. melléklet a 2/2018. (I. 25.) önkormányzati rendelethez .</t>
  </si>
  <si>
    <t xml:space="preserve">16. melléklet a 7/2019. (II. 28.) rendelethez, 3/3. melléklet a 2/2018. (I. 25.) önkormányzati rendelethez </t>
  </si>
  <si>
    <t xml:space="preserve">17. melléklet a 7/2019. (II. 28.) rendelethez, 3/4. melléklet a 2/2018. (I. 25.)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</si>
</sst>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b/>
      <sz val="8"/>
      <color rgb="FF00B0F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21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4" xfId="71" applyFont="1" applyFill="1" applyBorder="1" applyAlignment="1">
      <alignment vertical="center"/>
    </xf>
    <xf numFmtId="3" fontId="130" fillId="0" borderId="63" xfId="71" applyNumberFormat="1" applyFont="1" applyFill="1" applyBorder="1" applyAlignment="1">
      <alignment vertical="center"/>
    </xf>
    <xf numFmtId="3" fontId="130" fillId="0" borderId="81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30" fillId="0" borderId="85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7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3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3" fillId="0" borderId="0" xfId="0" applyFont="1" applyFill="1"/>
    <xf numFmtId="0" fontId="153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137" fillId="0" borderId="27" xfId="0" applyNumberFormat="1" applyFont="1" applyBorder="1"/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8" fillId="0" borderId="129" xfId="0" applyFont="1" applyBorder="1" applyAlignment="1">
      <alignment horizontal="center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30" xfId="0" applyFont="1" applyBorder="1"/>
    <xf numFmtId="3" fontId="25" fillId="0" borderId="70" xfId="0" applyNumberFormat="1" applyFont="1" applyBorder="1"/>
    <xf numFmtId="0" fontId="35" fillId="0" borderId="130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8" fillId="0" borderId="0" xfId="0" applyNumberFormat="1" applyFont="1" applyBorder="1"/>
    <xf numFmtId="3" fontId="128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25" fillId="0" borderId="131" xfId="0" applyNumberFormat="1" applyFont="1" applyBorder="1"/>
    <xf numFmtId="3" fontId="30" fillId="0" borderId="132" xfId="0" applyNumberFormat="1" applyFont="1" applyBorder="1"/>
    <xf numFmtId="3" fontId="25" fillId="0" borderId="132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10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56" fillId="0" borderId="0" xfId="0" applyFont="1" applyAlignment="1">
      <alignment wrapText="1"/>
    </xf>
    <xf numFmtId="0" fontId="110" fillId="0" borderId="34" xfId="0" applyFont="1" applyBorder="1" applyAlignment="1">
      <alignment vertical="center" wrapText="1"/>
    </xf>
    <xf numFmtId="3" fontId="110" fillId="0" borderId="34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7" xfId="0" applyNumberFormat="1" applyFont="1" applyBorder="1"/>
    <xf numFmtId="3" fontId="29" fillId="0" borderId="85" xfId="0" applyNumberFormat="1" applyFont="1" applyBorder="1"/>
    <xf numFmtId="0" fontId="29" fillId="0" borderId="27" xfId="0" applyFont="1" applyBorder="1" applyAlignment="1">
      <alignment wrapText="1"/>
    </xf>
    <xf numFmtId="3" fontId="29" fillId="0" borderId="0" xfId="0" applyNumberFormat="1" applyFont="1" applyAlignment="1">
      <alignment vertical="center"/>
    </xf>
    <xf numFmtId="0" fontId="110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49" xfId="0" applyFont="1" applyBorder="1" applyAlignment="1">
      <alignment horizontal="center" vertical="center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10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3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28" fillId="0" borderId="41" xfId="0" applyFont="1" applyBorder="1"/>
    <xf numFmtId="3" fontId="28" fillId="0" borderId="41" xfId="0" applyNumberFormat="1" applyFont="1" applyBorder="1"/>
    <xf numFmtId="3" fontId="28" fillId="0" borderId="70" xfId="0" applyNumberFormat="1" applyFont="1" applyBorder="1"/>
    <xf numFmtId="3" fontId="25" fillId="0" borderId="76" xfId="0" applyNumberFormat="1" applyFont="1" applyBorder="1"/>
    <xf numFmtId="3" fontId="25" fillId="0" borderId="56" xfId="0" applyNumberFormat="1" applyFont="1" applyBorder="1"/>
    <xf numFmtId="0" fontId="25" fillId="0" borderId="56" xfId="0" applyFont="1" applyBorder="1"/>
    <xf numFmtId="3" fontId="28" fillId="0" borderId="76" xfId="0" applyNumberFormat="1" applyFont="1" applyBorder="1"/>
    <xf numFmtId="3" fontId="28" fillId="0" borderId="27" xfId="0" applyNumberFormat="1" applyFont="1" applyBorder="1"/>
    <xf numFmtId="0" fontId="36" fillId="0" borderId="22" xfId="0" applyFont="1" applyBorder="1"/>
    <xf numFmtId="0" fontId="31" fillId="25" borderId="0" xfId="0" applyFont="1" applyFill="1" applyAlignment="1">
      <alignment horizontal="left" vertical="center" wrapText="1"/>
    </xf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1" fillId="25" borderId="42" xfId="0" applyNumberFormat="1" applyFont="1" applyFill="1" applyBorder="1" applyAlignment="1">
      <alignment vertical="center"/>
    </xf>
    <xf numFmtId="0" fontId="30" fillId="0" borderId="0" xfId="78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1" fontId="58" fillId="0" borderId="26" xfId="0" applyNumberFormat="1" applyFont="1" applyBorder="1" applyAlignment="1">
      <alignment horizontal="center" vertical="center"/>
    </xf>
    <xf numFmtId="3" fontId="138" fillId="0" borderId="67" xfId="0" applyNumberFormat="1" applyFont="1" applyBorder="1"/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5" fillId="0" borderId="97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3" fontId="90" fillId="0" borderId="123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0" fontId="159" fillId="0" borderId="0" xfId="0" applyFont="1" applyBorder="1" applyAlignment="1">
      <alignment horizontal="right"/>
    </xf>
    <xf numFmtId="0" fontId="157" fillId="0" borderId="0" xfId="0" applyFont="1" applyBorder="1" applyAlignment="1">
      <alignment horizontal="right"/>
    </xf>
    <xf numFmtId="0" fontId="158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56" fillId="0" borderId="12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65" t="s">
        <v>1363</v>
      </c>
      <c r="B1" s="1165"/>
      <c r="C1" s="1165"/>
      <c r="D1" s="1165"/>
      <c r="E1" s="1165"/>
      <c r="F1" s="1165"/>
      <c r="G1" s="1165"/>
      <c r="H1" s="1165"/>
      <c r="I1" s="1165"/>
    </row>
    <row r="2" spans="1:22" ht="20.25" x14ac:dyDescent="0.3">
      <c r="B2" s="942"/>
      <c r="I2" s="159"/>
    </row>
    <row r="3" spans="1:22" s="122" customFormat="1" x14ac:dyDescent="0.2">
      <c r="A3" s="160"/>
      <c r="B3" s="1168" t="s">
        <v>54</v>
      </c>
      <c r="C3" s="1168"/>
      <c r="D3" s="1168"/>
      <c r="E3" s="1168"/>
      <c r="F3" s="1168"/>
      <c r="G3" s="1168"/>
      <c r="H3" s="1168"/>
      <c r="I3" s="1168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70" t="s">
        <v>1076</v>
      </c>
      <c r="C4" s="1170"/>
      <c r="D4" s="1170"/>
      <c r="E4" s="1170"/>
      <c r="F4" s="1170"/>
      <c r="G4" s="1170"/>
      <c r="H4" s="1170"/>
      <c r="I4" s="117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69" t="s">
        <v>315</v>
      </c>
      <c r="C5" s="1169"/>
      <c r="D5" s="1169"/>
      <c r="E5" s="1169"/>
      <c r="F5" s="1169"/>
      <c r="G5" s="1169"/>
      <c r="H5" s="1169"/>
      <c r="I5" s="116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73" t="s">
        <v>56</v>
      </c>
      <c r="B6" s="1174" t="s">
        <v>57</v>
      </c>
      <c r="C6" s="1175" t="s">
        <v>58</v>
      </c>
      <c r="D6" s="1175"/>
      <c r="E6" s="1176"/>
      <c r="F6" s="1177" t="s">
        <v>59</v>
      </c>
      <c r="G6" s="1171" t="s">
        <v>60</v>
      </c>
      <c r="H6" s="1172"/>
      <c r="I6" s="1172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73"/>
      <c r="B7" s="1174"/>
      <c r="C7" s="1166" t="s">
        <v>1078</v>
      </c>
      <c r="D7" s="1166"/>
      <c r="E7" s="1167"/>
      <c r="F7" s="1178"/>
      <c r="G7" s="1166" t="s">
        <v>1078</v>
      </c>
      <c r="H7" s="1166"/>
      <c r="I7" s="1166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73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5" si="0">A9+1</f>
        <v>2</v>
      </c>
      <c r="B10" s="167" t="s">
        <v>204</v>
      </c>
      <c r="C10" s="297"/>
      <c r="D10" s="297"/>
      <c r="E10" s="285">
        <f>SUM(C10:D10)</f>
        <v>0</v>
      </c>
      <c r="F10" s="501" t="s">
        <v>222</v>
      </c>
      <c r="G10" s="285">
        <f>'pü.mérleg Önkorm.'!G10+'pü.mérleg Hivatal'!H12+'püm. GAMESZ. '!G12+'püm-TASZII.'!G12+püm.Brunszvik!G12+'püm Festetics'!G12</f>
        <v>630563</v>
      </c>
      <c r="H10" s="285">
        <f>'pü.mérleg Önkorm.'!H10+'pü.mérleg Hivatal'!I12+'püm. GAMESZ. '!H12+'püm-TASZII.'!H12+püm.Brunszvik!H12+'püm Festetics'!H12</f>
        <v>339746</v>
      </c>
      <c r="I10" s="469">
        <f>SUM(G10:H10)</f>
        <v>970309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198</v>
      </c>
      <c r="C11" s="297">
        <f>'tám, végl. pe.átv  '!C11+'tám, végl. pe.átv  '!C17+'tám, végl. pe.átv  '!C18</f>
        <v>748439</v>
      </c>
      <c r="D11" s="297">
        <f>'tám, végl. pe.átv  '!D11+'tám, végl. pe.átv  '!D17+'tám, végl. pe.átv  '!D18</f>
        <v>104013</v>
      </c>
      <c r="E11" s="297">
        <f>'tám, végl. pe.átv  '!E11+'tám, végl. pe.átv  '!E17+'tám, végl. pe.átv  '!E18</f>
        <v>852452</v>
      </c>
      <c r="F11" s="864" t="s">
        <v>223</v>
      </c>
      <c r="G11" s="285">
        <f>'pü.mérleg Önkorm.'!G11+'pü.mérleg Hivatal'!H13+'püm. GAMESZ. '!G13+püm.Brunszvik!G13+'püm-TASZII.'!G13+'püm Festetics'!G13</f>
        <v>141725</v>
      </c>
      <c r="H11" s="285">
        <f>'pü.mérleg Önkorm.'!H11+'pü.mérleg Hivatal'!I13+'püm. GAMESZ. '!H13+püm.Brunszvik!H13+'püm-TASZII.'!H13+'püm Festetics'!H13</f>
        <v>74521</v>
      </c>
      <c r="I11" s="470">
        <f>SUM(G11:H11)</f>
        <v>216246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196</v>
      </c>
      <c r="C12" s="297">
        <f>'pü.mérleg Önkorm.'!C12</f>
        <v>0</v>
      </c>
      <c r="D12" s="297">
        <f>'pü.mérleg Önkorm.'!D12</f>
        <v>0</v>
      </c>
      <c r="E12" s="297">
        <f>'pü.mérleg Önkorm.'!E12</f>
        <v>0</v>
      </c>
      <c r="F12" s="501" t="s">
        <v>224</v>
      </c>
      <c r="G12" s="285">
        <f>'pü.mérleg Önkorm.'!G12+'pü.mérleg Hivatal'!H14+'püm. GAMESZ. '!G14+püm.Brunszvik!G14+'püm-TASZII.'!G14+'püm Festetics'!G14</f>
        <v>874575</v>
      </c>
      <c r="H12" s="285">
        <f>'pü.mérleg Önkorm.'!H12+'pü.mérleg Hivatal'!I14+'püm. GAMESZ. '!H14+püm.Brunszvik!H14+'püm-TASZII.'!H14+'püm Festetics'!H14</f>
        <v>571825</v>
      </c>
      <c r="I12" s="470">
        <f>SUM(G12:H12)</f>
        <v>1446400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40" t="s">
        <v>199</v>
      </c>
      <c r="C13" s="297">
        <f>'tám, végl. pe.átv  '!C40+'tám, végl. pe.átv  '!C59+'tám, végl. pe.átv  '!C65+'tám, végl. pe.átv  '!C82</f>
        <v>39345</v>
      </c>
      <c r="D13" s="297">
        <f>'tám, végl. pe.átv  '!D40+'tám, végl. pe.átv  '!D59+'tám, végl. pe.átv  '!D65+'tám, végl. pe.átv  '!D82+'tám, végl. pe.átv  '!D70</f>
        <v>19044</v>
      </c>
      <c r="E13" s="297">
        <f>'tám, végl. pe.átv  '!E40+'tám, végl. pe.átv  '!E59+'tám, végl. pe.átv  '!E65+'tám, végl. pe.átv  '!E82+'tám, végl. pe.átv  '!E70</f>
        <v>58389</v>
      </c>
      <c r="F13" s="501"/>
      <c r="G13" s="297"/>
      <c r="H13" s="297"/>
      <c r="I13" s="469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1253</v>
      </c>
      <c r="C14" s="297"/>
      <c r="D14" s="297"/>
      <c r="E14" s="285"/>
      <c r="F14" s="501" t="s">
        <v>225</v>
      </c>
      <c r="G14" s="285">
        <f>'pü.mérleg Önkorm.'!G14+'pü.mérleg Hivatal'!H16</f>
        <v>2842</v>
      </c>
      <c r="H14" s="285">
        <f>'pü.mérleg Önkorm.'!H14+'pü.mérleg Hivatal'!I16</f>
        <v>10950</v>
      </c>
      <c r="I14" s="470">
        <f>'pü.mérleg Önkorm.'!I14+'pü.mérleg Hivatal'!J16</f>
        <v>13792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1251</v>
      </c>
      <c r="C15" s="297">
        <f>'pü.mérleg Önkorm.'!C15</f>
        <v>8750</v>
      </c>
      <c r="D15" s="297">
        <f>'pü.mérleg Önkorm.'!D15</f>
        <v>0</v>
      </c>
      <c r="E15" s="297">
        <f>'pü.mérleg Önkorm.'!E15</f>
        <v>8750</v>
      </c>
      <c r="F15" s="501"/>
      <c r="G15" s="285"/>
      <c r="H15" s="285"/>
      <c r="I15" s="470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33" t="s">
        <v>1252</v>
      </c>
      <c r="C16" s="297">
        <f>'pü.mérleg Önkorm.'!C16+'pü.mérleg Hivatal'!D16+'püm. GAMESZ. '!C16+püm.Brunszvik!C16+'püm Festetics'!C16+'püm-TASZII.'!C16</f>
        <v>0</v>
      </c>
      <c r="D16" s="297">
        <f>'pü.mérleg Önkorm.'!D16+'pü.mérleg Hivatal'!E16+'püm. GAMESZ. '!D16+püm.Brunszvik!D16+'püm Festetics'!D16+'püm-TASZII.'!D16</f>
        <v>93253</v>
      </c>
      <c r="E16" s="297">
        <f>'pü.mérleg Önkorm.'!E16+'pü.mérleg Hivatal'!F16+'püm. GAMESZ. '!E16+püm.Brunszvik!E16+'püm Festetics'!E16+'püm-TASZII.'!E16</f>
        <v>93253</v>
      </c>
      <c r="F16" s="501" t="s">
        <v>226</v>
      </c>
      <c r="G16" s="292"/>
      <c r="H16" s="292"/>
      <c r="I16" s="469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200</v>
      </c>
      <c r="C17" s="297">
        <f>'pü.mérleg Önkorm.'!C17+'püm. GAMESZ. '!C18+püm.Brunszvik!C18+'püm-TASZII.'!C18+'pü.mérleg Hivatal'!D17+püm.Brunszvik!C18</f>
        <v>711070</v>
      </c>
      <c r="D17" s="297">
        <f>'mük. bev.Önkor és Hivatal '!F40</f>
        <v>690085</v>
      </c>
      <c r="E17" s="285">
        <f>SUM(C17:D17)</f>
        <v>1401155</v>
      </c>
      <c r="F17" s="501" t="s">
        <v>227</v>
      </c>
      <c r="G17" s="285">
        <f>'pü.mérleg Önkorm.'!G17+'pü.mérleg Hivatal'!H18</f>
        <v>52986</v>
      </c>
      <c r="H17" s="285">
        <f>'pü.mérleg Önkorm.'!H17+'pü.mérleg Hivatal'!I18</f>
        <v>65876</v>
      </c>
      <c r="I17" s="470">
        <f>'pü.mérleg Önkorm.'!I17+'pü.mérleg Hivatal'!J18</f>
        <v>118862</v>
      </c>
      <c r="J17" s="285">
        <f>'pü.mérleg Önkorm.'!J17+'pü.mérleg Hivatal'!K18</f>
        <v>0</v>
      </c>
      <c r="K17" s="285">
        <f>'pü.mérleg Önkorm.'!K17+'pü.mérleg Hivatal'!L18</f>
        <v>0</v>
      </c>
      <c r="L17" s="285">
        <f>'pü.mérleg Önkorm.'!L17+'pü.mérleg Hivatal'!M18</f>
        <v>0</v>
      </c>
      <c r="M17" s="184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7">
        <f>'pü.mérleg Önkorm.'!C18+'püm. GAMESZ. '!C19+püm.Brunszvik!C19+'püm-TASZII.'!C19+'pü.mérleg Hivatal'!D18+püm.Brunszvik!C19</f>
        <v>0</v>
      </c>
      <c r="D18" s="357"/>
      <c r="E18" s="357"/>
      <c r="F18" s="501" t="s">
        <v>228</v>
      </c>
      <c r="G18" s="285">
        <f>'pü.mérleg Önkorm.'!G18</f>
        <v>161421</v>
      </c>
      <c r="H18" s="285">
        <f>'pü.mérleg Önkorm.'!H18</f>
        <v>195362</v>
      </c>
      <c r="I18" s="470">
        <f>'pü.mérleg Önkorm.'!I18</f>
        <v>356783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7"/>
      <c r="D19" s="357"/>
      <c r="E19" s="357"/>
      <c r="F19" s="501" t="s">
        <v>229</v>
      </c>
      <c r="G19" s="285">
        <f>'pü.mérleg Önkorm.'!G19+'pü.mérleg Hivatal'!H20+'püm. GAMESZ. '!G20+püm.Brunszvik!G20+'püm Festetics'!G20+'püm-TASZII.'!G20</f>
        <v>451</v>
      </c>
      <c r="H19" s="285">
        <f>'pü.mérleg Önkorm.'!H19+'pü.mérleg Hivatal'!I20+'püm. GAMESZ. '!H20+püm.Brunszvik!H20+'püm Festetics'!H20+'püm-TASZII.'!H20</f>
        <v>0</v>
      </c>
      <c r="I19" s="285">
        <f>'pü.mérleg Önkorm.'!I19+'pü.mérleg Hivatal'!J20+'püm. GAMESZ. '!I20+püm.Brunszvik!I20+'püm Festetics'!I20+'püm-TASZII.'!I20</f>
        <v>451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201</v>
      </c>
      <c r="C20" s="297">
        <f>'pü.mérleg Önkorm.'!C20+'pü.mérleg Hivatal'!D20+'püm. GAMESZ. '!C20+püm.Brunszvik!C20+'püm-TASZII.'!C20+'püm Festetics'!C20</f>
        <v>238208</v>
      </c>
      <c r="D20" s="297">
        <f>'pü.mérleg Önkorm.'!D20+'pü.mérleg Hivatal'!E20+'püm. GAMESZ. '!D20+püm.Brunszvik!D20+'püm-TASZII.'!D20+'püm Festetics'!D20</f>
        <v>214823</v>
      </c>
      <c r="E20" s="297">
        <f>SUM(C20:D20)</f>
        <v>453031</v>
      </c>
      <c r="F20" s="501" t="s">
        <v>230</v>
      </c>
      <c r="G20" s="285"/>
      <c r="H20" s="285">
        <f>'pü.mérleg Önkorm.'!H20</f>
        <v>1855</v>
      </c>
      <c r="I20" s="469">
        <f>SUM(G20:H20)</f>
        <v>1855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7"/>
      <c r="D21" s="357"/>
      <c r="E21" s="357"/>
      <c r="F21" s="501" t="s">
        <v>231</v>
      </c>
      <c r="G21" s="285">
        <f>'pü.mérleg Önkorm.'!G21</f>
        <v>164446</v>
      </c>
      <c r="H21" s="285">
        <f>'pü.mérleg Önkorm.'!H21</f>
        <v>49028</v>
      </c>
      <c r="I21" s="469">
        <f>SUM(G21:H21)</f>
        <v>213474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203</v>
      </c>
      <c r="C22" s="357"/>
      <c r="D22" s="357"/>
      <c r="E22" s="357"/>
      <c r="F22" s="607"/>
      <c r="G22" s="292"/>
      <c r="H22" s="292"/>
      <c r="I22" s="471"/>
      <c r="J22" s="630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202</v>
      </c>
      <c r="C23" s="357"/>
      <c r="D23" s="357"/>
      <c r="E23" s="357"/>
      <c r="F23" s="607"/>
      <c r="G23" s="292"/>
      <c r="H23" s="292"/>
      <c r="I23" s="471"/>
      <c r="J23" s="630"/>
      <c r="K23" s="188"/>
      <c r="L23" s="188"/>
      <c r="M23" s="188"/>
      <c r="N23" s="630"/>
      <c r="O23" s="188"/>
      <c r="P23" s="188"/>
    </row>
    <row r="24" spans="1:22" x14ac:dyDescent="0.2">
      <c r="A24" s="164">
        <f t="shared" si="0"/>
        <v>16</v>
      </c>
      <c r="B24" s="167" t="s">
        <v>205</v>
      </c>
      <c r="C24" s="285">
        <f>'felh. bev.  '!D12</f>
        <v>1070</v>
      </c>
      <c r="D24" s="285">
        <f>'pü.mérleg Önkorm.'!D24+'pü.mérleg Hivatal'!E24+'püm. GAMESZ. '!D24+püm.Brunszvik!D24+'püm-TASZII.'!D24</f>
        <v>212438</v>
      </c>
      <c r="E24" s="357">
        <f>SUM(C24:D24)</f>
        <v>213508</v>
      </c>
      <c r="F24" s="866" t="s">
        <v>66</v>
      </c>
      <c r="G24" s="868">
        <f>SUM(G10:G22)</f>
        <v>2029009</v>
      </c>
      <c r="H24" s="868">
        <f>SUM(H10:H22)</f>
        <v>1309163</v>
      </c>
      <c r="I24" s="1164">
        <f>SUM(I10:I22)</f>
        <v>3338172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206</v>
      </c>
      <c r="C25" s="357">
        <f>'felh. bev.  '!D13</f>
        <v>0</v>
      </c>
      <c r="D25" s="357">
        <f>'felh. bev.  '!E13+'felh. bev.  '!E14+'felh. bev.  '!E42</f>
        <v>5553</v>
      </c>
      <c r="E25" s="357">
        <f>'felh. bev.  '!F13+'felh. bev.  '!F14+'felh. bev.  '!F42</f>
        <v>5553</v>
      </c>
      <c r="F25" s="607"/>
      <c r="G25" s="292"/>
      <c r="H25" s="292"/>
      <c r="I25" s="471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207</v>
      </c>
      <c r="C26" s="633"/>
      <c r="D26" s="285">
        <f>'pü.mérleg Önkorm.'!D26</f>
        <v>60</v>
      </c>
      <c r="E26" s="357">
        <f>SUM(C26:D26)</f>
        <v>60</v>
      </c>
      <c r="F26" s="867" t="s">
        <v>232</v>
      </c>
      <c r="G26" s="360"/>
      <c r="H26" s="360"/>
      <c r="I26" s="471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208</v>
      </c>
      <c r="C27" s="285"/>
      <c r="D27" s="285"/>
      <c r="E27" s="285"/>
      <c r="F27" s="501" t="s">
        <v>233</v>
      </c>
      <c r="G27" s="285">
        <f>'pü.mérleg Önkorm.'!G27+'pü.mérleg Hivatal'!H27+'püm. GAMESZ. '!G27+'püm-TASZII.'!G27+püm.Brunszvik!G27+'püm Festetics'!G27</f>
        <v>1476944</v>
      </c>
      <c r="H27" s="285">
        <f>'pü.mérleg Önkorm.'!H27+'pü.mérleg Hivatal'!I27+'püm. GAMESZ. '!H27+'püm-TASZII.'!H27+'püm Festetics'!H27</f>
        <v>160983</v>
      </c>
      <c r="I27" s="470">
        <f>SUM(G27:H27)</f>
        <v>1637927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5"/>
      <c r="D28" s="285"/>
      <c r="E28" s="285"/>
      <c r="F28" s="501" t="s">
        <v>234</v>
      </c>
      <c r="G28" s="285">
        <f>'felhalm. kiad.  '!G27</f>
        <v>10950</v>
      </c>
      <c r="H28" s="285">
        <f>'felhalm. kiad.  '!H27</f>
        <v>0</v>
      </c>
      <c r="I28" s="470">
        <f>SUM(G28:H28)</f>
        <v>10950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209</v>
      </c>
      <c r="C29" s="285">
        <f>'tám, végl. pe.átv  '!C52+'tám, végl. pe.átv  '!C72</f>
        <v>1</v>
      </c>
      <c r="D29" s="285">
        <f>'tám, végl. pe.átv  '!D52+'tám, végl. pe.átv  '!D72</f>
        <v>117109</v>
      </c>
      <c r="E29" s="285">
        <f>'tám, végl. pe.átv  '!E52+'tám, végl. pe.átv  '!E72</f>
        <v>117110</v>
      </c>
      <c r="F29" s="501" t="s">
        <v>235</v>
      </c>
      <c r="G29" s="285"/>
      <c r="H29" s="285"/>
      <c r="I29" s="470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210</v>
      </c>
      <c r="C30" s="285">
        <f>'felh. bev.  '!D32+'felh. bev.  '!D36</f>
        <v>0</v>
      </c>
      <c r="D30" s="285">
        <f>'felh. bev.  '!E32+'felh. bev.  '!E36</f>
        <v>6121</v>
      </c>
      <c r="E30" s="285">
        <f>'felh. bev.  '!F32+'felh. bev.  '!F36</f>
        <v>6121</v>
      </c>
      <c r="F30" s="864" t="s">
        <v>236</v>
      </c>
      <c r="G30" s="285">
        <f>'felhalm. kiad.  '!G96</f>
        <v>604811</v>
      </c>
      <c r="H30" s="285">
        <f>'felhalm. kiad.  '!H96</f>
        <v>3238</v>
      </c>
      <c r="I30" s="470">
        <f>SUM(G30:H30)</f>
        <v>608049</v>
      </c>
      <c r="J30" s="630"/>
      <c r="K30" s="188"/>
      <c r="L30" s="188"/>
      <c r="M30" s="188"/>
      <c r="N30" s="188"/>
      <c r="O30" s="188"/>
      <c r="P30" s="188"/>
    </row>
    <row r="31" spans="1:22" s="124" customFormat="1" x14ac:dyDescent="0.2">
      <c r="A31" s="164">
        <f t="shared" si="0"/>
        <v>23</v>
      </c>
      <c r="B31" s="116"/>
      <c r="C31" s="285"/>
      <c r="D31" s="285"/>
      <c r="E31" s="285"/>
      <c r="F31" s="864" t="s">
        <v>1362</v>
      </c>
      <c r="G31" s="285">
        <f>'pü.mérleg Önkorm.'!G31</f>
        <v>0</v>
      </c>
      <c r="H31" s="285">
        <f>'pü.mérleg Önkorm.'!H31</f>
        <v>6000</v>
      </c>
      <c r="I31" s="285">
        <f>'pü.mérleg Önkorm.'!I31</f>
        <v>6000</v>
      </c>
      <c r="J31" s="292">
        <f>'pü.mérleg Önkorm.'!J31</f>
        <v>0</v>
      </c>
      <c r="K31" s="292">
        <f>'pü.mérleg Önkorm.'!K31</f>
        <v>0</v>
      </c>
      <c r="L31" s="292">
        <f>'pü.mérleg Önkorm.'!L31</f>
        <v>0</v>
      </c>
      <c r="M31" s="536"/>
      <c r="N31" s="188"/>
      <c r="O31" s="188"/>
      <c r="P31" s="188"/>
    </row>
    <row r="32" spans="1:22" x14ac:dyDescent="0.2">
      <c r="A32" s="164">
        <f t="shared" si="0"/>
        <v>24</v>
      </c>
      <c r="C32" s="285"/>
      <c r="D32" s="285"/>
      <c r="E32" s="285"/>
      <c r="F32" s="864" t="s">
        <v>286</v>
      </c>
      <c r="G32" s="285">
        <f>'pü.mérleg Önkorm.'!G32+'pü.mérleg Hivatal'!H31+'püm. GAMESZ. '!G31+'püm-TASZII.'!G31</f>
        <v>48940</v>
      </c>
      <c r="H32" s="285">
        <f>'pü.mérleg Önkorm.'!H32+'pü.mérleg Hivatal'!I31+'püm. GAMESZ. '!H31+'püm-TASZII.'!H31</f>
        <v>32520</v>
      </c>
      <c r="I32" s="470">
        <f>SUM(G32:H32)</f>
        <v>81460</v>
      </c>
      <c r="J32" s="158" t="e">
        <f>'pü.mérleg Önkorm.'!#REF!+'pü.mérleg Hivatal'!#REF!+'püm. GAMESZ. '!#REF!</f>
        <v>#REF!</v>
      </c>
      <c r="K32" s="158" t="e">
        <f>'pü.mérleg Önkorm.'!#REF!+'pü.mérleg Hivatal'!#REF!+'püm. GAMESZ. '!#REF!</f>
        <v>#REF!</v>
      </c>
      <c r="L32" s="158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4">
        <f t="shared" si="0"/>
        <v>25</v>
      </c>
      <c r="B33" s="174" t="s">
        <v>52</v>
      </c>
      <c r="C33" s="881">
        <f>C12+C20+C11+C17+C13+C29</f>
        <v>1737063</v>
      </c>
      <c r="D33" s="881">
        <f>D12+D20+D11+D17+D13+D29</f>
        <v>1145074</v>
      </c>
      <c r="E33" s="881">
        <f>E12+E20+E11+E17+E13+E29</f>
        <v>2882137</v>
      </c>
      <c r="F33" s="501" t="s">
        <v>287</v>
      </c>
      <c r="G33" s="297">
        <f>tartalék!C20</f>
        <v>27422</v>
      </c>
      <c r="H33" s="297">
        <f>tartalék!D20</f>
        <v>125443</v>
      </c>
      <c r="I33" s="470">
        <f>tartalék!E20</f>
        <v>152865</v>
      </c>
      <c r="J33" s="178"/>
      <c r="K33" s="183"/>
      <c r="L33" s="183"/>
      <c r="M33" s="183"/>
      <c r="N33" s="183"/>
      <c r="O33" s="183"/>
      <c r="P33" s="183"/>
    </row>
    <row r="34" spans="1:22" x14ac:dyDescent="0.2">
      <c r="A34" s="164">
        <f t="shared" si="0"/>
        <v>26</v>
      </c>
      <c r="B34" s="170" t="s">
        <v>67</v>
      </c>
      <c r="C34" s="868">
        <f>C15+C16+C23+C24+C25+C26+C27+C30</f>
        <v>9820</v>
      </c>
      <c r="D34" s="868">
        <f t="shared" ref="D34:E34" si="1">D15+D16+D23+D24+D25+D26+D27+D30</f>
        <v>317425</v>
      </c>
      <c r="E34" s="868">
        <f t="shared" si="1"/>
        <v>327245</v>
      </c>
      <c r="F34" s="840" t="s">
        <v>68</v>
      </c>
      <c r="G34" s="868">
        <f>SUM(G27:G33)</f>
        <v>2169067</v>
      </c>
      <c r="H34" s="868">
        <f>SUM(H27:H33)</f>
        <v>328184</v>
      </c>
      <c r="I34" s="1164">
        <f>SUM(I27:I33)</f>
        <v>2497251</v>
      </c>
      <c r="J34" s="158" t="e">
        <f>'pü.mérleg Önkorm.'!#REF!+'pü.mérleg Hivatal'!#REF!+'püm. GAMESZ. '!#REF!+püm.Brunszvik!#REF!+'püm-TASZII.'!#REF!</f>
        <v>#REF!</v>
      </c>
      <c r="K34" s="158" t="e">
        <f>'pü.mérleg Önkorm.'!#REF!+'pü.mérleg Hivatal'!#REF!+'püm. GAMESZ. '!#REF!+püm.Brunszvik!#REF!+'püm-TASZII.'!#REF!</f>
        <v>#REF!</v>
      </c>
      <c r="L34" s="158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78" t="s">
        <v>51</v>
      </c>
      <c r="C35" s="360">
        <f>SUM(C33:C34)</f>
        <v>1746883</v>
      </c>
      <c r="D35" s="360">
        <f>SUM(D33:D34)</f>
        <v>1462499</v>
      </c>
      <c r="E35" s="360">
        <f>SUM(C35:D35)</f>
        <v>3209382</v>
      </c>
      <c r="F35" s="869" t="s">
        <v>69</v>
      </c>
      <c r="G35" s="360">
        <f>G24+G34</f>
        <v>4198076</v>
      </c>
      <c r="H35" s="360">
        <f>H24+H34</f>
        <v>1637347</v>
      </c>
      <c r="I35" s="446">
        <f>I24+I34</f>
        <v>5835423</v>
      </c>
      <c r="J35" s="18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80"/>
      <c r="C36" s="285"/>
      <c r="D36" s="285"/>
      <c r="E36" s="285"/>
      <c r="F36" s="607"/>
      <c r="G36" s="292"/>
      <c r="H36" s="292"/>
      <c r="I36" s="471"/>
      <c r="J36" s="18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781" t="s">
        <v>23</v>
      </c>
      <c r="C37" s="285">
        <f>C35-G35</f>
        <v>-2451193</v>
      </c>
      <c r="D37" s="285">
        <f t="shared" ref="D37:E37" si="2">D35-H35</f>
        <v>-174848</v>
      </c>
      <c r="E37" s="285">
        <f t="shared" si="2"/>
        <v>-2626041</v>
      </c>
      <c r="F37" s="866"/>
      <c r="G37" s="358"/>
      <c r="H37" s="358"/>
      <c r="I37" s="472"/>
      <c r="J37" s="180"/>
      <c r="Q37" s="10"/>
      <c r="R37" s="10"/>
      <c r="S37" s="10"/>
      <c r="T37" s="10"/>
      <c r="U37" s="10"/>
      <c r="V37" s="10"/>
    </row>
    <row r="38" spans="1:22" s="11" customFormat="1" x14ac:dyDescent="0.2">
      <c r="A38" s="164">
        <f t="shared" si="0"/>
        <v>30</v>
      </c>
      <c r="B38" s="180"/>
      <c r="C38" s="285"/>
      <c r="D38" s="285"/>
      <c r="E38" s="285"/>
      <c r="F38" s="607"/>
      <c r="G38" s="292"/>
      <c r="H38" s="292"/>
      <c r="I38" s="471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26" t="s">
        <v>211</v>
      </c>
      <c r="C39" s="633"/>
      <c r="D39" s="633"/>
      <c r="E39" s="633"/>
      <c r="F39" s="867" t="s">
        <v>237</v>
      </c>
      <c r="G39" s="360"/>
      <c r="H39" s="360"/>
      <c r="I39" s="446"/>
      <c r="J39" s="178"/>
      <c r="K39" s="183"/>
      <c r="L39" s="183"/>
      <c r="M39" s="183"/>
      <c r="N39" s="183"/>
      <c r="O39" s="183"/>
      <c r="P39" s="183"/>
    </row>
    <row r="40" spans="1:22" s="11" customFormat="1" x14ac:dyDescent="0.2">
      <c r="A40" s="164">
        <f t="shared" si="0"/>
        <v>32</v>
      </c>
      <c r="B40" s="136" t="s">
        <v>212</v>
      </c>
      <c r="C40" s="633"/>
      <c r="D40" s="633"/>
      <c r="E40" s="633"/>
      <c r="F40" s="870" t="s">
        <v>238</v>
      </c>
      <c r="G40" s="189"/>
      <c r="I40" s="474"/>
      <c r="J40" s="178"/>
      <c r="K40" s="183"/>
      <c r="L40" s="183"/>
      <c r="M40" s="183"/>
      <c r="N40" s="183"/>
      <c r="O40" s="183"/>
      <c r="P40" s="183"/>
    </row>
    <row r="41" spans="1:22" s="11" customFormat="1" ht="21.75" x14ac:dyDescent="0.2">
      <c r="A41" s="331">
        <f t="shared" si="0"/>
        <v>33</v>
      </c>
      <c r="B41" s="1157" t="s">
        <v>1036</v>
      </c>
      <c r="C41" s="811">
        <f>'pü.mérleg Önkorm.'!C41</f>
        <v>1243160</v>
      </c>
      <c r="D41" s="811">
        <f>'pü.mérleg Önkorm.'!D41</f>
        <v>0</v>
      </c>
      <c r="E41" s="811">
        <f>'pü.mérleg Önkorm.'!E41</f>
        <v>1243160</v>
      </c>
      <c r="F41" s="190" t="s">
        <v>989</v>
      </c>
      <c r="G41" s="360"/>
      <c r="H41" s="360"/>
      <c r="I41" s="446"/>
      <c r="J41" s="178"/>
      <c r="K41" s="183"/>
      <c r="L41" s="183"/>
      <c r="M41" s="183"/>
      <c r="N41" s="183"/>
      <c r="O41" s="183"/>
      <c r="P41" s="183"/>
    </row>
    <row r="42" spans="1:22" x14ac:dyDescent="0.2">
      <c r="A42" s="164">
        <f t="shared" si="0"/>
        <v>34</v>
      </c>
      <c r="B42" s="118" t="s">
        <v>213</v>
      </c>
      <c r="C42" s="871"/>
      <c r="D42" s="872">
        <f>'pü.mérleg Önkorm.'!D42</f>
        <v>0</v>
      </c>
      <c r="E42" s="872">
        <f>SUM(C42:D42)</f>
        <v>0</v>
      </c>
      <c r="F42" s="501" t="s">
        <v>239</v>
      </c>
      <c r="G42" s="360"/>
      <c r="H42" s="360"/>
      <c r="I42" s="446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214</v>
      </c>
      <c r="C43" s="285"/>
      <c r="D43" s="285"/>
      <c r="E43" s="285"/>
      <c r="F43" s="501" t="s">
        <v>240</v>
      </c>
      <c r="G43" s="189"/>
      <c r="H43" s="189"/>
      <c r="I43" s="446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574" t="s">
        <v>963</v>
      </c>
      <c r="C44" s="285">
        <f>'pü.mérleg Önkorm.'!C44+'pü.mérleg Hivatal'!D43+'püm. GAMESZ. '!C43+püm.Brunszvik!C43+'püm-TASZII.'!C43+'püm Festetics'!C43</f>
        <v>1205857</v>
      </c>
      <c r="D44" s="285">
        <f>'pü.mérleg Önkorm.'!D44+'pü.mérleg Hivatal'!E43+'püm. GAMESZ. '!D43+püm.Brunszvik!D43+'püm-TASZII.'!D43+'püm Festetics'!D43</f>
        <v>174339</v>
      </c>
      <c r="E44" s="285">
        <f>'pü.mérleg Önkorm.'!E44+'pü.mérleg Hivatal'!F43+'püm. GAMESZ. '!E43+püm.Brunszvik!E43+'püm-TASZII.'!E43+'püm Festetics'!E43</f>
        <v>1380196</v>
      </c>
      <c r="F44" s="501" t="s">
        <v>241</v>
      </c>
      <c r="G44" s="189"/>
      <c r="H44" s="189"/>
      <c r="I44" s="446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574" t="s">
        <v>991</v>
      </c>
      <c r="C45" s="285">
        <f>'püm Festetics'!C44</f>
        <v>0</v>
      </c>
      <c r="D45" s="285">
        <f>'püm Festetics'!D44</f>
        <v>0</v>
      </c>
      <c r="E45" s="285">
        <f>'püm Festetics'!E44</f>
        <v>0</v>
      </c>
      <c r="F45" s="501"/>
      <c r="G45" s="189"/>
      <c r="H45" s="189"/>
      <c r="I45" s="446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216</v>
      </c>
      <c r="C46" s="285">
        <f>'pü.mérleg Önkorm.'!C46</f>
        <v>32811</v>
      </c>
      <c r="D46" s="285">
        <f>'pü.mérleg Önkorm.'!D46</f>
        <v>4260</v>
      </c>
      <c r="E46" s="285">
        <f>'pü.mérleg Önkorm.'!E46</f>
        <v>37071</v>
      </c>
      <c r="F46" s="501" t="s">
        <v>242</v>
      </c>
      <c r="G46" s="360"/>
      <c r="H46" s="360"/>
      <c r="I46" s="471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9" t="s">
        <v>217</v>
      </c>
      <c r="C47" s="633"/>
      <c r="D47" s="633"/>
      <c r="E47" s="633"/>
      <c r="F47" s="864" t="s">
        <v>243</v>
      </c>
      <c r="G47" s="292">
        <f>'pü.mérleg Önkorm.'!G47</f>
        <v>30635</v>
      </c>
      <c r="H47" s="292">
        <f>'pü.mérleg Önkorm.'!H47</f>
        <v>3751</v>
      </c>
      <c r="I47" s="471">
        <f>'pü.mérleg Önkorm.'!I47</f>
        <v>34386</v>
      </c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118" t="s">
        <v>218</v>
      </c>
      <c r="C48" s="285"/>
      <c r="D48" s="285"/>
      <c r="E48" s="285"/>
      <c r="F48" s="501" t="s">
        <v>244</v>
      </c>
      <c r="G48" s="292"/>
      <c r="H48" s="292"/>
      <c r="I48" s="471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7" t="s">
        <v>219</v>
      </c>
      <c r="C49" s="285"/>
      <c r="D49" s="285"/>
      <c r="E49" s="285"/>
      <c r="F49" s="501" t="s">
        <v>245</v>
      </c>
      <c r="G49" s="292"/>
      <c r="H49" s="292"/>
      <c r="I49" s="471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537" t="s">
        <v>220</v>
      </c>
      <c r="C50" s="285"/>
      <c r="D50" s="285"/>
      <c r="E50" s="285"/>
      <c r="F50" s="501" t="s">
        <v>246</v>
      </c>
      <c r="G50" s="292"/>
      <c r="H50" s="292"/>
      <c r="I50" s="471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 t="s">
        <v>221</v>
      </c>
      <c r="C51" s="285">
        <f>'pü.mérleg Önkorm.'!C51</f>
        <v>0</v>
      </c>
      <c r="D51" s="285">
        <f>'pü.mérleg Önkorm.'!D51</f>
        <v>0</v>
      </c>
      <c r="E51" s="285">
        <f>SUM(C51:D51)</f>
        <v>0</v>
      </c>
      <c r="F51" s="501" t="s">
        <v>247</v>
      </c>
      <c r="G51" s="292"/>
      <c r="H51" s="292"/>
      <c r="I51" s="471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5"/>
      <c r="D52" s="285"/>
      <c r="E52" s="285"/>
      <c r="F52" s="501" t="s">
        <v>248</v>
      </c>
      <c r="G52" s="292"/>
      <c r="H52" s="292"/>
      <c r="I52" s="471"/>
      <c r="J52" s="180"/>
      <c r="Q52" s="10"/>
      <c r="R52" s="10"/>
      <c r="S52" s="10"/>
      <c r="T52" s="10"/>
      <c r="U52" s="10"/>
      <c r="V52" s="10"/>
    </row>
    <row r="53" spans="1:22" x14ac:dyDescent="0.2">
      <c r="A53" s="164">
        <f t="shared" si="0"/>
        <v>45</v>
      </c>
      <c r="B53" s="118"/>
      <c r="C53" s="285"/>
      <c r="D53" s="285"/>
      <c r="E53" s="285"/>
      <c r="F53" s="501" t="s">
        <v>249</v>
      </c>
      <c r="G53" s="292"/>
      <c r="H53" s="292"/>
      <c r="I53" s="471"/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164">
        <f t="shared" si="0"/>
        <v>46</v>
      </c>
      <c r="B54" s="178" t="s">
        <v>462</v>
      </c>
      <c r="C54" s="633">
        <f>SUM(C40:C52)</f>
        <v>2481828</v>
      </c>
      <c r="D54" s="633">
        <f>SUM(D40:D52)</f>
        <v>178599</v>
      </c>
      <c r="E54" s="633">
        <f>SUM(E40:E52)</f>
        <v>2660427</v>
      </c>
      <c r="F54" s="867" t="s">
        <v>455</v>
      </c>
      <c r="G54" s="360">
        <f>SUM(G40:G53)</f>
        <v>30635</v>
      </c>
      <c r="H54" s="360">
        <f>SUM(H40:H53)</f>
        <v>3751</v>
      </c>
      <c r="I54" s="446">
        <f>SUM(I40:I53)</f>
        <v>34386</v>
      </c>
      <c r="J54" s="180"/>
      <c r="Q54" s="10"/>
      <c r="R54" s="10"/>
      <c r="S54" s="10"/>
      <c r="T54" s="10"/>
      <c r="U54" s="10"/>
      <c r="V54" s="10"/>
    </row>
    <row r="55" spans="1:22" ht="12" thickBot="1" x14ac:dyDescent="0.25">
      <c r="A55" s="932">
        <f t="shared" si="0"/>
        <v>47</v>
      </c>
      <c r="B55" s="1136" t="s">
        <v>457</v>
      </c>
      <c r="C55" s="1092">
        <f>C35+C54</f>
        <v>4228711</v>
      </c>
      <c r="D55" s="908">
        <f>D35+D54</f>
        <v>1641098</v>
      </c>
      <c r="E55" s="909">
        <f>E35+E54</f>
        <v>5869809</v>
      </c>
      <c r="F55" s="507" t="s">
        <v>456</v>
      </c>
      <c r="G55" s="807">
        <f>G35+G54</f>
        <v>4228711</v>
      </c>
      <c r="H55" s="807">
        <f>H35+H54</f>
        <v>1641098</v>
      </c>
      <c r="I55" s="1087">
        <f>I35+I54</f>
        <v>5869809</v>
      </c>
      <c r="J55" s="180"/>
      <c r="Q55" s="10"/>
      <c r="R55" s="10"/>
      <c r="S55" s="10"/>
      <c r="T55" s="10"/>
      <c r="U55" s="10"/>
      <c r="V55" s="10"/>
    </row>
    <row r="56" spans="1:22" x14ac:dyDescent="0.2">
      <c r="B56" s="183"/>
      <c r="C56" s="182"/>
      <c r="D56" s="182"/>
      <c r="E56" s="182"/>
      <c r="F56" s="182"/>
      <c r="G56" s="182"/>
      <c r="H56" s="182"/>
      <c r="I56" s="182"/>
      <c r="T56" s="10"/>
      <c r="U56" s="10"/>
      <c r="V56" s="10"/>
    </row>
    <row r="57" spans="1:22" s="11" customFormat="1" ht="12.75" x14ac:dyDescent="0.2">
      <c r="A57" s="183"/>
      <c r="B57" s="178"/>
      <c r="C57" s="182"/>
      <c r="D57" s="182"/>
      <c r="E57" s="442">
        <f>E55-I55</f>
        <v>0</v>
      </c>
      <c r="F57" s="182"/>
      <c r="G57" s="182"/>
      <c r="H57" s="182"/>
      <c r="I57" s="182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83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232" t="s">
        <v>1369</v>
      </c>
      <c r="C1" s="1232"/>
      <c r="D1" s="1232"/>
      <c r="E1" s="1232"/>
      <c r="F1" s="1232"/>
    </row>
    <row r="2" spans="1:7" x14ac:dyDescent="0.2">
      <c r="B2" s="294"/>
      <c r="C2" s="294"/>
      <c r="D2" s="294"/>
      <c r="E2" s="294"/>
      <c r="F2" s="294"/>
    </row>
    <row r="3" spans="1:7" ht="13.5" customHeight="1" x14ac:dyDescent="0.2">
      <c r="B3" s="1238" t="s">
        <v>1237</v>
      </c>
      <c r="C3" s="1238"/>
      <c r="D3" s="1238"/>
      <c r="E3" s="1238"/>
      <c r="F3" s="1238"/>
    </row>
    <row r="4" spans="1:7" x14ac:dyDescent="0.2">
      <c r="B4" s="1239" t="s">
        <v>1114</v>
      </c>
      <c r="C4" s="1239"/>
      <c r="D4" s="1239"/>
      <c r="E4" s="1240"/>
      <c r="F4" s="1240"/>
    </row>
    <row r="5" spans="1:7" x14ac:dyDescent="0.2">
      <c r="B5" s="144"/>
      <c r="C5" s="144"/>
      <c r="D5" s="144"/>
      <c r="E5" s="295"/>
      <c r="F5" s="295"/>
    </row>
    <row r="6" spans="1:7" ht="12.75" x14ac:dyDescent="0.2">
      <c r="B6" s="144"/>
      <c r="C6" s="1233" t="s">
        <v>310</v>
      </c>
      <c r="D6" s="1234"/>
      <c r="E6" s="1234"/>
      <c r="F6" s="1234"/>
    </row>
    <row r="7" spans="1:7" ht="19.149999999999999" customHeight="1" x14ac:dyDescent="0.2">
      <c r="B7" s="1235" t="s">
        <v>77</v>
      </c>
      <c r="C7" s="1236" t="s">
        <v>86</v>
      </c>
      <c r="D7" s="1237" t="s">
        <v>1078</v>
      </c>
      <c r="E7" s="1237"/>
      <c r="F7" s="1237"/>
    </row>
    <row r="8" spans="1:7" s="8" customFormat="1" ht="42.75" customHeight="1" x14ac:dyDescent="0.2">
      <c r="A8" s="149"/>
      <c r="B8" s="1235"/>
      <c r="C8" s="1236"/>
      <c r="D8" s="890" t="s">
        <v>62</v>
      </c>
      <c r="E8" s="890" t="s">
        <v>63</v>
      </c>
      <c r="F8" s="890" t="s">
        <v>64</v>
      </c>
    </row>
    <row r="9" spans="1:7" ht="14.25" customHeight="1" x14ac:dyDescent="0.2">
      <c r="B9" s="150" t="s">
        <v>493</v>
      </c>
      <c r="C9" s="891" t="s">
        <v>87</v>
      </c>
      <c r="D9" s="892"/>
      <c r="E9" s="147"/>
      <c r="F9" s="893"/>
      <c r="G9" s="600"/>
    </row>
    <row r="10" spans="1:7" ht="28.9" customHeight="1" x14ac:dyDescent="0.2">
      <c r="B10" s="933" t="s">
        <v>501</v>
      </c>
      <c r="C10" s="934" t="s">
        <v>468</v>
      </c>
      <c r="D10" s="900"/>
      <c r="E10" s="935"/>
      <c r="F10" s="900"/>
      <c r="G10" s="600"/>
    </row>
    <row r="11" spans="1:7" x14ac:dyDescent="0.2">
      <c r="B11" s="150" t="s">
        <v>502</v>
      </c>
      <c r="C11" s="894" t="s">
        <v>449</v>
      </c>
      <c r="D11" s="632"/>
      <c r="E11" s="147"/>
      <c r="F11" s="632"/>
      <c r="G11" s="600"/>
    </row>
    <row r="12" spans="1:7" x14ac:dyDescent="0.2">
      <c r="B12" s="150" t="s">
        <v>503</v>
      </c>
      <c r="C12" s="894" t="s">
        <v>1073</v>
      </c>
      <c r="D12" s="632"/>
      <c r="E12" s="147">
        <v>26039</v>
      </c>
      <c r="F12" s="632">
        <f t="shared" ref="F12:F24" si="0">SUM(D12:E12)</f>
        <v>26039</v>
      </c>
      <c r="G12" s="600"/>
    </row>
    <row r="13" spans="1:7" x14ac:dyDescent="0.2">
      <c r="B13" s="150" t="s">
        <v>504</v>
      </c>
      <c r="C13" s="894" t="s">
        <v>1072</v>
      </c>
      <c r="D13" s="632"/>
      <c r="E13" s="147">
        <v>34719</v>
      </c>
      <c r="F13" s="632">
        <f t="shared" si="0"/>
        <v>34719</v>
      </c>
      <c r="G13" s="600"/>
    </row>
    <row r="14" spans="1:7" x14ac:dyDescent="0.2">
      <c r="B14" s="150" t="s">
        <v>505</v>
      </c>
      <c r="C14" s="894" t="s">
        <v>937</v>
      </c>
      <c r="D14" s="632">
        <v>0</v>
      </c>
      <c r="E14" s="147"/>
      <c r="F14" s="632">
        <f t="shared" si="0"/>
        <v>0</v>
      </c>
      <c r="G14" s="600"/>
    </row>
    <row r="15" spans="1:7" x14ac:dyDescent="0.2">
      <c r="B15" s="150" t="s">
        <v>506</v>
      </c>
      <c r="C15" s="894" t="s">
        <v>450</v>
      </c>
      <c r="D15" s="632">
        <v>4500</v>
      </c>
      <c r="E15" s="147"/>
      <c r="F15" s="632">
        <f t="shared" si="0"/>
        <v>4500</v>
      </c>
      <c r="G15" s="600"/>
    </row>
    <row r="16" spans="1:7" x14ac:dyDescent="0.2">
      <c r="B16" s="150" t="s">
        <v>507</v>
      </c>
      <c r="C16" s="895" t="s">
        <v>451</v>
      </c>
      <c r="D16" s="632"/>
      <c r="E16" s="147">
        <v>2075</v>
      </c>
      <c r="F16" s="632">
        <f t="shared" si="0"/>
        <v>2075</v>
      </c>
      <c r="G16" s="600"/>
    </row>
    <row r="17" spans="1:9" ht="13.5" customHeight="1" x14ac:dyDescent="0.2">
      <c r="B17" s="150" t="s">
        <v>508</v>
      </c>
      <c r="C17" s="895" t="s">
        <v>481</v>
      </c>
      <c r="D17" s="632">
        <v>1250</v>
      </c>
      <c r="E17" s="632"/>
      <c r="F17" s="632">
        <f t="shared" si="0"/>
        <v>1250</v>
      </c>
      <c r="G17" s="600"/>
    </row>
    <row r="18" spans="1:9" ht="13.5" customHeight="1" x14ac:dyDescent="0.2">
      <c r="B18" s="150" t="s">
        <v>549</v>
      </c>
      <c r="C18" s="952" t="s">
        <v>317</v>
      </c>
      <c r="D18" s="953"/>
      <c r="E18" s="954">
        <v>50</v>
      </c>
      <c r="F18" s="953">
        <f t="shared" si="0"/>
        <v>50</v>
      </c>
      <c r="G18" s="600"/>
    </row>
    <row r="19" spans="1:9" ht="13.5" customHeight="1" x14ac:dyDescent="0.2">
      <c r="B19" s="150" t="s">
        <v>550</v>
      </c>
      <c r="C19" s="952" t="s">
        <v>1104</v>
      </c>
      <c r="D19" s="953"/>
      <c r="E19" s="954">
        <v>2802</v>
      </c>
      <c r="F19" s="953">
        <f t="shared" si="0"/>
        <v>2802</v>
      </c>
      <c r="G19" s="600"/>
    </row>
    <row r="20" spans="1:9" ht="13.5" customHeight="1" x14ac:dyDescent="0.2">
      <c r="B20" s="150" t="s">
        <v>551</v>
      </c>
      <c r="C20" s="952" t="s">
        <v>1184</v>
      </c>
      <c r="D20" s="953"/>
      <c r="E20" s="954">
        <v>191</v>
      </c>
      <c r="F20" s="953">
        <f t="shared" si="0"/>
        <v>191</v>
      </c>
      <c r="G20" s="600"/>
    </row>
    <row r="21" spans="1:9" ht="13.5" customHeight="1" x14ac:dyDescent="0.2">
      <c r="B21" s="150" t="s">
        <v>552</v>
      </c>
      <c r="C21" s="952" t="s">
        <v>1277</v>
      </c>
      <c r="D21" s="953">
        <v>12261</v>
      </c>
      <c r="E21" s="954"/>
      <c r="F21" s="953">
        <f t="shared" si="0"/>
        <v>12261</v>
      </c>
      <c r="G21" s="1111"/>
    </row>
    <row r="22" spans="1:9" ht="24" customHeight="1" x14ac:dyDescent="0.2">
      <c r="B22" s="933" t="s">
        <v>553</v>
      </c>
      <c r="C22" s="952" t="s">
        <v>1278</v>
      </c>
      <c r="D22" s="956">
        <v>12649</v>
      </c>
      <c r="E22" s="957"/>
      <c r="F22" s="956">
        <f t="shared" si="0"/>
        <v>12649</v>
      </c>
      <c r="G22" s="1111"/>
    </row>
    <row r="23" spans="1:9" ht="27" customHeight="1" x14ac:dyDescent="0.2">
      <c r="B23" s="933" t="s">
        <v>554</v>
      </c>
      <c r="C23" s="1151" t="s">
        <v>1279</v>
      </c>
      <c r="D23" s="956">
        <v>1656</v>
      </c>
      <c r="E23" s="957"/>
      <c r="F23" s="956">
        <f t="shared" si="0"/>
        <v>1656</v>
      </c>
      <c r="G23" s="1111"/>
    </row>
    <row r="24" spans="1:9" ht="27" customHeight="1" thickBot="1" x14ac:dyDescent="0.25">
      <c r="B24" s="933" t="s">
        <v>555</v>
      </c>
      <c r="C24" s="1151" t="s">
        <v>1326</v>
      </c>
      <c r="D24" s="956">
        <v>20640</v>
      </c>
      <c r="E24" s="957"/>
      <c r="F24" s="1160">
        <f t="shared" si="0"/>
        <v>20640</v>
      </c>
      <c r="G24" s="1111"/>
    </row>
    <row r="25" spans="1:9" ht="15" customHeight="1" thickBot="1" x14ac:dyDescent="0.25">
      <c r="B25" s="933" t="s">
        <v>556</v>
      </c>
      <c r="C25" s="1112" t="s">
        <v>469</v>
      </c>
      <c r="D25" s="902">
        <f>SUM(D12:D24)</f>
        <v>52956</v>
      </c>
      <c r="E25" s="902">
        <f t="shared" ref="E25" si="1">SUM(E12:E23)</f>
        <v>65876</v>
      </c>
      <c r="F25" s="903">
        <f>SUM(F12:F24)</f>
        <v>118832</v>
      </c>
      <c r="G25" s="1111"/>
    </row>
    <row r="26" spans="1:9" x14ac:dyDescent="0.2">
      <c r="B26" s="933" t="s">
        <v>558</v>
      </c>
      <c r="C26" s="897"/>
      <c r="D26" s="632"/>
      <c r="E26" s="896"/>
      <c r="F26" s="632"/>
      <c r="G26" s="600"/>
    </row>
    <row r="27" spans="1:9" x14ac:dyDescent="0.2">
      <c r="B27" s="933" t="s">
        <v>559</v>
      </c>
      <c r="C27" s="898" t="s">
        <v>470</v>
      </c>
      <c r="D27" s="632"/>
      <c r="E27" s="896"/>
      <c r="F27" s="632"/>
      <c r="G27" s="600"/>
      <c r="I27" s="1111"/>
    </row>
    <row r="28" spans="1:9" s="8" customFormat="1" ht="15.6" customHeight="1" x14ac:dyDescent="0.2">
      <c r="A28" s="149"/>
      <c r="B28" s="933" t="s">
        <v>560</v>
      </c>
      <c r="C28" s="899" t="s">
        <v>482</v>
      </c>
      <c r="D28" s="632">
        <v>129908</v>
      </c>
      <c r="E28" s="896"/>
      <c r="F28" s="632">
        <f>D28</f>
        <v>129908</v>
      </c>
      <c r="G28" s="599"/>
      <c r="I28" s="852"/>
    </row>
    <row r="29" spans="1:9" s="8" customFormat="1" ht="12" customHeight="1" x14ac:dyDescent="0.2">
      <c r="A29" s="149"/>
      <c r="B29" s="933" t="s">
        <v>561</v>
      </c>
      <c r="C29" s="899" t="s">
        <v>322</v>
      </c>
      <c r="D29" s="632">
        <v>26127</v>
      </c>
      <c r="E29" s="896"/>
      <c r="F29" s="632">
        <f t="shared" ref="F29:F35" si="2">SUM(D29:E29)</f>
        <v>26127</v>
      </c>
      <c r="G29" s="599"/>
      <c r="I29" s="852"/>
    </row>
    <row r="30" spans="1:9" s="8" customFormat="1" ht="12" customHeight="1" x14ac:dyDescent="0.2">
      <c r="A30" s="149"/>
      <c r="B30" s="933" t="s">
        <v>562</v>
      </c>
      <c r="C30" s="899" t="s">
        <v>1004</v>
      </c>
      <c r="D30" s="632"/>
      <c r="E30" s="896"/>
      <c r="F30" s="632">
        <f t="shared" si="2"/>
        <v>0</v>
      </c>
      <c r="G30" s="599"/>
      <c r="I30" s="852"/>
    </row>
    <row r="31" spans="1:9" s="8" customFormat="1" ht="12" customHeight="1" x14ac:dyDescent="0.2">
      <c r="A31" s="149"/>
      <c r="B31" s="933" t="s">
        <v>563</v>
      </c>
      <c r="C31" s="899" t="s">
        <v>1280</v>
      </c>
      <c r="D31" s="632">
        <v>1289</v>
      </c>
      <c r="E31" s="896"/>
      <c r="F31" s="632">
        <f t="shared" si="2"/>
        <v>1289</v>
      </c>
      <c r="G31" s="599"/>
    </row>
    <row r="32" spans="1:9" s="8" customFormat="1" x14ac:dyDescent="0.2">
      <c r="A32" s="149"/>
      <c r="B32" s="933" t="s">
        <v>564</v>
      </c>
      <c r="C32" s="897" t="s">
        <v>1125</v>
      </c>
      <c r="D32" s="632"/>
      <c r="E32" s="896">
        <v>19500</v>
      </c>
      <c r="F32" s="632">
        <f t="shared" si="2"/>
        <v>19500</v>
      </c>
      <c r="G32" s="599"/>
    </row>
    <row r="33" spans="1:7" s="8" customFormat="1" x14ac:dyDescent="0.2">
      <c r="A33" s="149"/>
      <c r="B33" s="933" t="s">
        <v>565</v>
      </c>
      <c r="C33" s="897" t="s">
        <v>320</v>
      </c>
      <c r="D33" s="632"/>
      <c r="E33" s="896">
        <v>75000</v>
      </c>
      <c r="F33" s="632">
        <f t="shared" si="2"/>
        <v>75000</v>
      </c>
      <c r="G33" s="599"/>
    </row>
    <row r="34" spans="1:7" s="8" customFormat="1" x14ac:dyDescent="0.2">
      <c r="A34" s="149"/>
      <c r="B34" s="933" t="s">
        <v>585</v>
      </c>
      <c r="C34" s="897" t="s">
        <v>1122</v>
      </c>
      <c r="D34" s="632"/>
      <c r="E34" s="896">
        <v>5000</v>
      </c>
      <c r="F34" s="632">
        <f t="shared" si="2"/>
        <v>5000</v>
      </c>
      <c r="G34" s="599"/>
    </row>
    <row r="35" spans="1:7" s="8" customFormat="1" x14ac:dyDescent="0.2">
      <c r="A35" s="149"/>
      <c r="B35" s="933" t="s">
        <v>586</v>
      </c>
      <c r="C35" s="897" t="s">
        <v>72</v>
      </c>
      <c r="D35" s="632"/>
      <c r="E35" s="896">
        <v>50000</v>
      </c>
      <c r="F35" s="632">
        <f t="shared" si="2"/>
        <v>50000</v>
      </c>
      <c r="G35" s="599"/>
    </row>
    <row r="36" spans="1:7" s="8" customFormat="1" x14ac:dyDescent="0.2">
      <c r="A36" s="149"/>
      <c r="B36" s="933" t="s">
        <v>587</v>
      </c>
      <c r="C36" s="814" t="s">
        <v>186</v>
      </c>
      <c r="D36" s="900"/>
      <c r="E36" s="901">
        <v>3500</v>
      </c>
      <c r="F36" s="900">
        <f>D36+E36</f>
        <v>3500</v>
      </c>
      <c r="G36" s="599"/>
    </row>
    <row r="37" spans="1:7" s="8" customFormat="1" x14ac:dyDescent="0.2">
      <c r="A37" s="149"/>
      <c r="B37" s="933" t="s">
        <v>588</v>
      </c>
      <c r="C37" s="814" t="s">
        <v>321</v>
      </c>
      <c r="D37" s="900"/>
      <c r="E37" s="901">
        <v>3500</v>
      </c>
      <c r="F37" s="900">
        <f>D37+E37</f>
        <v>3500</v>
      </c>
      <c r="G37" s="599"/>
    </row>
    <row r="38" spans="1:7" s="8" customFormat="1" x14ac:dyDescent="0.2">
      <c r="A38" s="149"/>
      <c r="B38" s="933" t="s">
        <v>589</v>
      </c>
      <c r="C38" s="814" t="s">
        <v>323</v>
      </c>
      <c r="D38" s="900"/>
      <c r="E38" s="901">
        <v>480</v>
      </c>
      <c r="F38" s="900">
        <f>D38+E38</f>
        <v>480</v>
      </c>
      <c r="G38" s="599"/>
    </row>
    <row r="39" spans="1:7" s="8" customFormat="1" x14ac:dyDescent="0.2">
      <c r="A39" s="149"/>
      <c r="B39" s="933" t="s">
        <v>590</v>
      </c>
      <c r="C39" s="897" t="s">
        <v>324</v>
      </c>
      <c r="D39" s="900"/>
      <c r="E39" s="901">
        <v>1500</v>
      </c>
      <c r="F39" s="900">
        <f>E39</f>
        <v>1500</v>
      </c>
      <c r="G39" s="599"/>
    </row>
    <row r="40" spans="1:7" s="8" customFormat="1" x14ac:dyDescent="0.2">
      <c r="A40" s="149"/>
      <c r="B40" s="933" t="s">
        <v>591</v>
      </c>
      <c r="C40" s="897" t="s">
        <v>1327</v>
      </c>
      <c r="D40" s="900"/>
      <c r="E40" s="901">
        <v>1000</v>
      </c>
      <c r="F40" s="900">
        <f>SUM(D40:E40)</f>
        <v>1000</v>
      </c>
      <c r="G40" s="1070"/>
    </row>
    <row r="41" spans="1:7" s="8" customFormat="1" x14ac:dyDescent="0.2">
      <c r="A41" s="149"/>
      <c r="B41" s="933" t="s">
        <v>592</v>
      </c>
      <c r="C41" s="897" t="s">
        <v>175</v>
      </c>
      <c r="D41" s="900"/>
      <c r="E41" s="901">
        <v>300</v>
      </c>
      <c r="F41" s="900">
        <f t="shared" ref="F41:F67" si="3">D41+E41</f>
        <v>300</v>
      </c>
      <c r="G41" s="599"/>
    </row>
    <row r="42" spans="1:7" s="8" customFormat="1" x14ac:dyDescent="0.2">
      <c r="A42" s="149"/>
      <c r="B42" s="933" t="s">
        <v>593</v>
      </c>
      <c r="C42" s="897" t="s">
        <v>176</v>
      </c>
      <c r="D42" s="900"/>
      <c r="E42" s="901">
        <v>2000</v>
      </c>
      <c r="F42" s="900">
        <f t="shared" si="3"/>
        <v>2000</v>
      </c>
      <c r="G42" s="599"/>
    </row>
    <row r="43" spans="1:7" s="8" customFormat="1" x14ac:dyDescent="0.2">
      <c r="A43" s="149"/>
      <c r="B43" s="933" t="s">
        <v>648</v>
      </c>
      <c r="C43" s="897" t="s">
        <v>293</v>
      </c>
      <c r="D43" s="900"/>
      <c r="E43" s="901">
        <v>1000</v>
      </c>
      <c r="F43" s="900">
        <f t="shared" si="3"/>
        <v>1000</v>
      </c>
      <c r="G43" s="599"/>
    </row>
    <row r="44" spans="1:7" s="8" customFormat="1" x14ac:dyDescent="0.2">
      <c r="A44" s="149"/>
      <c r="B44" s="933" t="s">
        <v>649</v>
      </c>
      <c r="C44" s="897" t="s">
        <v>1328</v>
      </c>
      <c r="D44" s="900"/>
      <c r="E44" s="901">
        <v>2000</v>
      </c>
      <c r="F44" s="900">
        <f t="shared" si="3"/>
        <v>2000</v>
      </c>
      <c r="G44" s="599"/>
    </row>
    <row r="45" spans="1:7" s="8" customFormat="1" x14ac:dyDescent="0.2">
      <c r="A45" s="149"/>
      <c r="B45" s="933" t="s">
        <v>650</v>
      </c>
      <c r="C45" s="897" t="s">
        <v>968</v>
      </c>
      <c r="D45" s="900"/>
      <c r="E45" s="901">
        <v>1000</v>
      </c>
      <c r="F45" s="900">
        <f t="shared" si="3"/>
        <v>1000</v>
      </c>
      <c r="G45" s="599"/>
    </row>
    <row r="46" spans="1:7" s="8" customFormat="1" x14ac:dyDescent="0.2">
      <c r="A46" s="149"/>
      <c r="B46" s="933" t="s">
        <v>651</v>
      </c>
      <c r="C46" s="897" t="s">
        <v>969</v>
      </c>
      <c r="D46" s="900"/>
      <c r="E46" s="901">
        <v>400</v>
      </c>
      <c r="F46" s="900">
        <f t="shared" si="3"/>
        <v>400</v>
      </c>
      <c r="G46" s="599"/>
    </row>
    <row r="47" spans="1:7" s="8" customFormat="1" x14ac:dyDescent="0.2">
      <c r="A47" s="149"/>
      <c r="B47" s="933" t="s">
        <v>121</v>
      </c>
      <c r="C47" s="897" t="s">
        <v>1000</v>
      </c>
      <c r="D47" s="900"/>
      <c r="E47" s="901">
        <v>100</v>
      </c>
      <c r="F47" s="900">
        <f t="shared" si="3"/>
        <v>100</v>
      </c>
      <c r="G47" s="599"/>
    </row>
    <row r="48" spans="1:7" s="8" customFormat="1" ht="12.75" customHeight="1" x14ac:dyDescent="0.2">
      <c r="A48" s="149"/>
      <c r="B48" s="933" t="s">
        <v>676</v>
      </c>
      <c r="C48" s="897" t="s">
        <v>1124</v>
      </c>
      <c r="D48" s="900"/>
      <c r="E48" s="901">
        <v>900</v>
      </c>
      <c r="F48" s="900">
        <f t="shared" si="3"/>
        <v>900</v>
      </c>
      <c r="G48" s="599"/>
    </row>
    <row r="49" spans="1:7" s="8" customFormat="1" x14ac:dyDescent="0.2">
      <c r="A49" s="149"/>
      <c r="B49" s="933" t="s">
        <v>677</v>
      </c>
      <c r="C49" s="897" t="s">
        <v>1001</v>
      </c>
      <c r="D49" s="900"/>
      <c r="E49" s="901">
        <v>0</v>
      </c>
      <c r="F49" s="900">
        <f t="shared" si="3"/>
        <v>0</v>
      </c>
      <c r="G49" s="599"/>
    </row>
    <row r="50" spans="1:7" s="8" customFormat="1" x14ac:dyDescent="0.2">
      <c r="A50" s="149"/>
      <c r="B50" s="933" t="s">
        <v>124</v>
      </c>
      <c r="C50" s="955" t="s">
        <v>1002</v>
      </c>
      <c r="D50" s="956"/>
      <c r="E50" s="957">
        <v>75</v>
      </c>
      <c r="F50" s="956">
        <f t="shared" si="3"/>
        <v>75</v>
      </c>
      <c r="G50" s="599"/>
    </row>
    <row r="51" spans="1:7" s="8" customFormat="1" x14ac:dyDescent="0.2">
      <c r="A51" s="149"/>
      <c r="B51" s="933" t="s">
        <v>125</v>
      </c>
      <c r="C51" s="955" t="s">
        <v>1003</v>
      </c>
      <c r="D51" s="956"/>
      <c r="E51" s="957">
        <v>821</v>
      </c>
      <c r="F51" s="956">
        <f t="shared" si="3"/>
        <v>821</v>
      </c>
      <c r="G51" s="599"/>
    </row>
    <row r="52" spans="1:7" s="8" customFormat="1" x14ac:dyDescent="0.2">
      <c r="A52" s="149"/>
      <c r="B52" s="933" t="s">
        <v>126</v>
      </c>
      <c r="C52" s="955" t="s">
        <v>1329</v>
      </c>
      <c r="D52" s="956"/>
      <c r="E52" s="957">
        <v>50</v>
      </c>
      <c r="F52" s="956">
        <f t="shared" si="3"/>
        <v>50</v>
      </c>
      <c r="G52" s="599"/>
    </row>
    <row r="53" spans="1:7" s="8" customFormat="1" ht="24" x14ac:dyDescent="0.2">
      <c r="A53" s="149"/>
      <c r="B53" s="933" t="s">
        <v>129</v>
      </c>
      <c r="C53" s="1152" t="s">
        <v>1123</v>
      </c>
      <c r="D53" s="956"/>
      <c r="E53" s="957">
        <v>150</v>
      </c>
      <c r="F53" s="956">
        <f t="shared" si="3"/>
        <v>150</v>
      </c>
      <c r="G53" s="599"/>
    </row>
    <row r="54" spans="1:7" s="8" customFormat="1" x14ac:dyDescent="0.2">
      <c r="A54" s="149"/>
      <c r="B54" s="933" t="s">
        <v>132</v>
      </c>
      <c r="C54" s="955" t="s">
        <v>1138</v>
      </c>
      <c r="D54" s="956"/>
      <c r="E54" s="957">
        <v>127</v>
      </c>
      <c r="F54" s="956">
        <f t="shared" si="3"/>
        <v>127</v>
      </c>
      <c r="G54" s="599"/>
    </row>
    <row r="55" spans="1:7" s="8" customFormat="1" x14ac:dyDescent="0.2">
      <c r="A55" s="149"/>
      <c r="B55" s="933" t="s">
        <v>133</v>
      </c>
      <c r="C55" s="955" t="s">
        <v>1185</v>
      </c>
      <c r="D55" s="956"/>
      <c r="E55" s="957">
        <v>0</v>
      </c>
      <c r="F55" s="956">
        <f t="shared" si="3"/>
        <v>0</v>
      </c>
      <c r="G55" s="599"/>
    </row>
    <row r="56" spans="1:7" s="8" customFormat="1" x14ac:dyDescent="0.2">
      <c r="A56" s="149"/>
      <c r="B56" s="933" t="s">
        <v>134</v>
      </c>
      <c r="C56" s="955" t="s">
        <v>1186</v>
      </c>
      <c r="D56" s="956"/>
      <c r="E56" s="957">
        <v>1000</v>
      </c>
      <c r="F56" s="956">
        <f t="shared" si="3"/>
        <v>1000</v>
      </c>
      <c r="G56" s="599"/>
    </row>
    <row r="57" spans="1:7" s="8" customFormat="1" ht="12.75" customHeight="1" x14ac:dyDescent="0.2">
      <c r="A57" s="149"/>
      <c r="B57" s="933" t="s">
        <v>135</v>
      </c>
      <c r="C57" s="955" t="s">
        <v>1187</v>
      </c>
      <c r="D57" s="956"/>
      <c r="E57" s="957">
        <v>1000</v>
      </c>
      <c r="F57" s="956">
        <f t="shared" si="3"/>
        <v>1000</v>
      </c>
      <c r="G57" s="599"/>
    </row>
    <row r="58" spans="1:7" s="8" customFormat="1" ht="12.75" customHeight="1" x14ac:dyDescent="0.2">
      <c r="A58" s="149"/>
      <c r="B58" s="933" t="s">
        <v>138</v>
      </c>
      <c r="C58" s="955" t="s">
        <v>1229</v>
      </c>
      <c r="D58" s="956"/>
      <c r="E58" s="957">
        <v>300</v>
      </c>
      <c r="F58" s="956">
        <f t="shared" si="3"/>
        <v>300</v>
      </c>
      <c r="G58" s="599"/>
    </row>
    <row r="59" spans="1:7" s="8" customFormat="1" ht="12.75" customHeight="1" x14ac:dyDescent="0.2">
      <c r="A59" s="149"/>
      <c r="B59" s="933" t="s">
        <v>141</v>
      </c>
      <c r="C59" s="955" t="s">
        <v>1255</v>
      </c>
      <c r="D59" s="956">
        <v>0</v>
      </c>
      <c r="E59" s="957">
        <v>0</v>
      </c>
      <c r="F59" s="956">
        <f t="shared" si="3"/>
        <v>0</v>
      </c>
      <c r="G59" s="599"/>
    </row>
    <row r="60" spans="1:7" s="8" customFormat="1" ht="12.75" customHeight="1" x14ac:dyDescent="0.2">
      <c r="A60" s="149"/>
      <c r="B60" s="933" t="s">
        <v>144</v>
      </c>
      <c r="C60" s="955" t="s">
        <v>1281</v>
      </c>
      <c r="D60" s="956">
        <v>534</v>
      </c>
      <c r="E60" s="957"/>
      <c r="F60" s="956">
        <f t="shared" si="3"/>
        <v>534</v>
      </c>
      <c r="G60" s="599"/>
    </row>
    <row r="61" spans="1:7" s="8" customFormat="1" ht="12.75" customHeight="1" x14ac:dyDescent="0.2">
      <c r="A61" s="149"/>
      <c r="B61" s="933" t="s">
        <v>145</v>
      </c>
      <c r="C61" s="955" t="s">
        <v>1286</v>
      </c>
      <c r="D61" s="956">
        <v>3563</v>
      </c>
      <c r="E61" s="957"/>
      <c r="F61" s="956">
        <f t="shared" si="3"/>
        <v>3563</v>
      </c>
      <c r="G61" s="599"/>
    </row>
    <row r="62" spans="1:7" s="8" customFormat="1" ht="25.5" customHeight="1" x14ac:dyDescent="0.2">
      <c r="A62" s="149"/>
      <c r="B62" s="933" t="s">
        <v>148</v>
      </c>
      <c r="C62" s="1152" t="s">
        <v>1285</v>
      </c>
      <c r="D62" s="956"/>
      <c r="E62" s="957">
        <v>1648</v>
      </c>
      <c r="F62" s="956">
        <f t="shared" si="3"/>
        <v>1648</v>
      </c>
      <c r="G62" s="599"/>
    </row>
    <row r="63" spans="1:7" s="8" customFormat="1" ht="12.75" customHeight="1" x14ac:dyDescent="0.2">
      <c r="A63" s="149"/>
      <c r="B63" s="933" t="s">
        <v>149</v>
      </c>
      <c r="C63" s="955" t="s">
        <v>1282</v>
      </c>
      <c r="D63" s="956"/>
      <c r="E63" s="957">
        <v>1851</v>
      </c>
      <c r="F63" s="956">
        <f t="shared" si="3"/>
        <v>1851</v>
      </c>
      <c r="G63" s="599"/>
    </row>
    <row r="64" spans="1:7" s="8" customFormat="1" ht="25.5" customHeight="1" x14ac:dyDescent="0.2">
      <c r="A64" s="149"/>
      <c r="B64" s="933" t="s">
        <v>150</v>
      </c>
      <c r="C64" s="1152" t="s">
        <v>1284</v>
      </c>
      <c r="D64" s="956"/>
      <c r="E64" s="957">
        <v>1522</v>
      </c>
      <c r="F64" s="956">
        <f t="shared" si="3"/>
        <v>1522</v>
      </c>
      <c r="G64" s="599"/>
    </row>
    <row r="65" spans="1:7" s="8" customFormat="1" ht="12.75" customHeight="1" x14ac:dyDescent="0.2">
      <c r="A65" s="149"/>
      <c r="B65" s="933" t="s">
        <v>151</v>
      </c>
      <c r="C65" s="955" t="s">
        <v>1283</v>
      </c>
      <c r="D65" s="956"/>
      <c r="E65" s="957">
        <v>1830</v>
      </c>
      <c r="F65" s="956">
        <f t="shared" si="3"/>
        <v>1830</v>
      </c>
      <c r="G65" s="599"/>
    </row>
    <row r="66" spans="1:7" s="8" customFormat="1" ht="12.75" customHeight="1" x14ac:dyDescent="0.2">
      <c r="A66" s="149"/>
      <c r="B66" s="933" t="s">
        <v>152</v>
      </c>
      <c r="C66" s="955" t="s">
        <v>1330</v>
      </c>
      <c r="D66" s="956"/>
      <c r="E66" s="957">
        <v>16674</v>
      </c>
      <c r="F66" s="956">
        <f t="shared" si="3"/>
        <v>16674</v>
      </c>
      <c r="G66" s="599"/>
    </row>
    <row r="67" spans="1:7" s="8" customFormat="1" ht="12.75" customHeight="1" x14ac:dyDescent="0.2">
      <c r="A67" s="149"/>
      <c r="B67" s="933" t="s">
        <v>154</v>
      </c>
      <c r="C67" s="955" t="s">
        <v>1331</v>
      </c>
      <c r="D67" s="956"/>
      <c r="E67" s="957">
        <v>100</v>
      </c>
      <c r="F67" s="956">
        <f t="shared" si="3"/>
        <v>100</v>
      </c>
      <c r="G67" s="599"/>
    </row>
    <row r="68" spans="1:7" s="8" customFormat="1" ht="12.75" thickBot="1" x14ac:dyDescent="0.25">
      <c r="A68" s="149"/>
      <c r="B68" s="933" t="s">
        <v>157</v>
      </c>
      <c r="C68" s="897" t="s">
        <v>1098</v>
      </c>
      <c r="D68" s="900">
        <v>0</v>
      </c>
      <c r="E68" s="901">
        <v>1034</v>
      </c>
      <c r="F68" s="900">
        <f>SUM(D68:E68)</f>
        <v>1034</v>
      </c>
      <c r="G68" s="599"/>
    </row>
    <row r="69" spans="1:7" s="8" customFormat="1" ht="12.75" thickBot="1" x14ac:dyDescent="0.25">
      <c r="A69" s="149"/>
      <c r="B69" s="933" t="s">
        <v>159</v>
      </c>
      <c r="C69" s="1112" t="s">
        <v>471</v>
      </c>
      <c r="D69" s="902">
        <f>SUM(D27:D68)</f>
        <v>161421</v>
      </c>
      <c r="E69" s="902">
        <f>SUM(E32:E68)</f>
        <v>195362</v>
      </c>
      <c r="F69" s="903">
        <f>SUM(F27:F68)</f>
        <v>356783</v>
      </c>
      <c r="G69" s="852"/>
    </row>
    <row r="70" spans="1:7" ht="12.75" thickBot="1" x14ac:dyDescent="0.25">
      <c r="B70" s="933" t="s">
        <v>160</v>
      </c>
      <c r="C70" s="894"/>
      <c r="D70" s="632"/>
      <c r="E70" s="147"/>
      <c r="F70" s="632"/>
      <c r="G70" s="600"/>
    </row>
    <row r="71" spans="1:7" ht="12.75" thickBot="1" x14ac:dyDescent="0.25">
      <c r="B71" s="933" t="s">
        <v>161</v>
      </c>
      <c r="C71" s="1115" t="s">
        <v>1231</v>
      </c>
      <c r="D71" s="1116">
        <f>D25+D69</f>
        <v>214377</v>
      </c>
      <c r="E71" s="1116">
        <f>E25+E69</f>
        <v>261238</v>
      </c>
      <c r="F71" s="1134">
        <f>F25+F69</f>
        <v>475615</v>
      </c>
    </row>
    <row r="72" spans="1:7" x14ac:dyDescent="0.2">
      <c r="B72" s="933" t="s">
        <v>1181</v>
      </c>
    </row>
    <row r="73" spans="1:7" x14ac:dyDescent="0.2">
      <c r="B73" s="933" t="s">
        <v>1182</v>
      </c>
      <c r="C73" s="1114" t="s">
        <v>338</v>
      </c>
    </row>
    <row r="74" spans="1:7" x14ac:dyDescent="0.2">
      <c r="B74" s="933" t="s">
        <v>1183</v>
      </c>
      <c r="C74" s="934" t="s">
        <v>468</v>
      </c>
    </row>
    <row r="75" spans="1:7" ht="12.75" thickBot="1" x14ac:dyDescent="0.25">
      <c r="B75" s="933" t="s">
        <v>1218</v>
      </c>
      <c r="C75" s="146" t="s">
        <v>1230</v>
      </c>
      <c r="D75" s="145">
        <v>30</v>
      </c>
      <c r="F75" s="145">
        <f>D75+E75</f>
        <v>30</v>
      </c>
    </row>
    <row r="76" spans="1:7" ht="12.75" thickBot="1" x14ac:dyDescent="0.25">
      <c r="B76" s="933" t="s">
        <v>1257</v>
      </c>
      <c r="C76" s="1112" t="s">
        <v>1234</v>
      </c>
      <c r="D76" s="1118">
        <f>SUM(D75)</f>
        <v>30</v>
      </c>
      <c r="E76" s="1118">
        <f t="shared" ref="E76:F76" si="4">SUM(E75)</f>
        <v>0</v>
      </c>
      <c r="F76" s="1119">
        <f t="shared" si="4"/>
        <v>30</v>
      </c>
    </row>
    <row r="77" spans="1:7" ht="12.75" thickBot="1" x14ac:dyDescent="0.25">
      <c r="B77" s="933" t="s">
        <v>1258</v>
      </c>
      <c r="C77" s="898"/>
      <c r="D77" s="1117"/>
      <c r="E77" s="1117"/>
      <c r="F77" s="1117"/>
    </row>
    <row r="78" spans="1:7" ht="12.75" thickBot="1" x14ac:dyDescent="0.25">
      <c r="B78" s="933" t="s">
        <v>1261</v>
      </c>
      <c r="C78" s="1120" t="s">
        <v>1232</v>
      </c>
      <c r="D78" s="1118">
        <f>SUM(D76)</f>
        <v>30</v>
      </c>
      <c r="E78" s="1118">
        <f>SUM(E76)</f>
        <v>0</v>
      </c>
      <c r="F78" s="1119">
        <f>SUM(F76)</f>
        <v>30</v>
      </c>
    </row>
    <row r="79" spans="1:7" x14ac:dyDescent="0.2">
      <c r="B79" s="933" t="s">
        <v>1262</v>
      </c>
      <c r="C79" s="1113"/>
      <c r="D79" s="1117"/>
      <c r="E79" s="1117"/>
      <c r="F79" s="1117"/>
    </row>
    <row r="80" spans="1:7" ht="24" x14ac:dyDescent="0.2">
      <c r="B80" s="933" t="s">
        <v>1263</v>
      </c>
      <c r="C80" s="934" t="s">
        <v>1235</v>
      </c>
      <c r="D80" s="1121">
        <f>D25+D76</f>
        <v>52986</v>
      </c>
      <c r="E80" s="1121">
        <f>E25+E76</f>
        <v>65876</v>
      </c>
      <c r="F80" s="1121">
        <f>F25+F76</f>
        <v>118862</v>
      </c>
    </row>
    <row r="81" spans="2:6" ht="24" x14ac:dyDescent="0.2">
      <c r="B81" s="933" t="s">
        <v>1268</v>
      </c>
      <c r="C81" s="1122" t="s">
        <v>1236</v>
      </c>
      <c r="D81" s="1121">
        <f>D69</f>
        <v>161421</v>
      </c>
      <c r="E81" s="1121">
        <f t="shared" ref="E81:F81" si="5">E69</f>
        <v>195362</v>
      </c>
      <c r="F81" s="1121">
        <f t="shared" si="5"/>
        <v>356783</v>
      </c>
    </row>
    <row r="82" spans="2:6" ht="12.75" thickBot="1" x14ac:dyDescent="0.25">
      <c r="B82" s="933" t="s">
        <v>1269</v>
      </c>
    </row>
    <row r="83" spans="2:6" ht="24.75" thickBot="1" x14ac:dyDescent="0.25">
      <c r="B83" s="933" t="s">
        <v>1270</v>
      </c>
      <c r="C83" s="1120" t="s">
        <v>1233</v>
      </c>
      <c r="D83" s="1118">
        <f>D71+D78</f>
        <v>214407</v>
      </c>
      <c r="E83" s="1118">
        <f>E71+E78</f>
        <v>261238</v>
      </c>
      <c r="F83" s="1119">
        <f>F71+F78</f>
        <v>475645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57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T163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8" customWidth="1"/>
    <col min="2" max="2" width="41.42578125" style="338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41" t="s">
        <v>1370</v>
      </c>
      <c r="B1" s="1241"/>
      <c r="C1" s="1241"/>
      <c r="D1" s="1241"/>
      <c r="E1" s="1241"/>
      <c r="F1" s="1241"/>
      <c r="G1" s="1213"/>
      <c r="H1" s="1213"/>
    </row>
    <row r="2" spans="1:9" ht="14.1" customHeight="1" x14ac:dyDescent="0.2">
      <c r="A2" s="1242" t="s">
        <v>78</v>
      </c>
      <c r="B2" s="1242"/>
      <c r="C2" s="1242"/>
      <c r="D2" s="1242"/>
      <c r="E2" s="1242"/>
      <c r="F2" s="1242"/>
      <c r="G2" s="1213"/>
      <c r="H2" s="1213"/>
    </row>
    <row r="3" spans="1:9" ht="14.1" customHeight="1" x14ac:dyDescent="0.2">
      <c r="A3" s="339"/>
      <c r="B3" s="1253" t="s">
        <v>1115</v>
      </c>
      <c r="C3" s="1253"/>
      <c r="D3" s="1253"/>
      <c r="E3" s="1253"/>
      <c r="F3" s="1253"/>
      <c r="G3" s="1253"/>
      <c r="H3" s="1253"/>
    </row>
    <row r="4" spans="1:9" ht="14.25" customHeight="1" thickBot="1" x14ac:dyDescent="0.25">
      <c r="A4" s="1245" t="s">
        <v>310</v>
      </c>
      <c r="B4" s="1245"/>
      <c r="C4" s="1245"/>
      <c r="D4" s="1245"/>
      <c r="E4" s="1245"/>
      <c r="F4" s="1245"/>
      <c r="G4" s="1246"/>
      <c r="H4" s="1246"/>
    </row>
    <row r="5" spans="1:9" ht="24" customHeight="1" thickBot="1" x14ac:dyDescent="0.25">
      <c r="A5" s="1247" t="s">
        <v>483</v>
      </c>
      <c r="B5" s="336" t="s">
        <v>57</v>
      </c>
      <c r="C5" s="87" t="s">
        <v>58</v>
      </c>
      <c r="D5" s="87" t="s">
        <v>59</v>
      </c>
      <c r="E5" s="87" t="s">
        <v>60</v>
      </c>
      <c r="F5" s="88" t="s">
        <v>484</v>
      </c>
      <c r="G5" s="88" t="s">
        <v>485</v>
      </c>
      <c r="H5" s="544" t="s">
        <v>486</v>
      </c>
    </row>
    <row r="6" spans="1:9" ht="1.9" hidden="1" customHeight="1" thickBot="1" x14ac:dyDescent="0.25">
      <c r="A6" s="1247"/>
      <c r="B6" s="337"/>
      <c r="C6" s="141"/>
      <c r="D6" s="141"/>
      <c r="E6" s="141"/>
      <c r="F6" s="142"/>
    </row>
    <row r="7" spans="1:9" s="270" customFormat="1" ht="23.25" customHeight="1" thickBot="1" x14ac:dyDescent="0.25">
      <c r="A7" s="1247"/>
      <c r="B7" s="337"/>
      <c r="C7" s="141"/>
      <c r="D7" s="1254" t="s">
        <v>326</v>
      </c>
      <c r="E7" s="1255"/>
      <c r="F7" s="1256"/>
      <c r="G7" s="1243" t="s">
        <v>1078</v>
      </c>
      <c r="H7" s="1244"/>
    </row>
    <row r="8" spans="1:9" s="83" customFormat="1" ht="30.75" customHeight="1" thickBot="1" x14ac:dyDescent="0.25">
      <c r="A8" s="1247"/>
      <c r="B8" s="1248" t="s">
        <v>86</v>
      </c>
      <c r="C8" s="1248" t="s">
        <v>487</v>
      </c>
      <c r="D8" s="1257" t="s">
        <v>488</v>
      </c>
      <c r="E8" s="1257" t="s">
        <v>489</v>
      </c>
      <c r="F8" s="1250" t="s">
        <v>490</v>
      </c>
      <c r="G8" s="1249" t="s">
        <v>62</v>
      </c>
      <c r="H8" s="1251" t="s">
        <v>63</v>
      </c>
    </row>
    <row r="9" spans="1:9" s="83" customFormat="1" ht="41.25" customHeight="1" thickBot="1" x14ac:dyDescent="0.25">
      <c r="A9" s="1247"/>
      <c r="B9" s="1248"/>
      <c r="C9" s="1248"/>
      <c r="D9" s="1257"/>
      <c r="E9" s="1257"/>
      <c r="F9" s="1250"/>
      <c r="G9" s="1250"/>
      <c r="H9" s="1252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17"/>
      <c r="I10" s="601"/>
    </row>
    <row r="11" spans="1:9" ht="14.1" customHeight="1" x14ac:dyDescent="0.2">
      <c r="A11" s="130"/>
      <c r="B11" s="89"/>
      <c r="C11" s="90"/>
      <c r="D11" s="90"/>
      <c r="E11" s="90"/>
      <c r="F11" s="91"/>
      <c r="H11" s="618"/>
      <c r="I11" s="601"/>
    </row>
    <row r="12" spans="1:9" ht="14.1" customHeight="1" x14ac:dyDescent="0.2">
      <c r="A12" s="324" t="s">
        <v>491</v>
      </c>
      <c r="B12" s="89" t="s">
        <v>492</v>
      </c>
      <c r="C12" s="90"/>
      <c r="D12" s="90"/>
      <c r="E12" s="90"/>
      <c r="F12" s="91"/>
      <c r="H12" s="618"/>
      <c r="I12" s="601"/>
    </row>
    <row r="13" spans="1:9" ht="14.1" customHeight="1" x14ac:dyDescent="0.2">
      <c r="A13" s="284" t="s">
        <v>493</v>
      </c>
      <c r="B13" s="109" t="s">
        <v>1238</v>
      </c>
      <c r="C13" s="800" t="s">
        <v>977</v>
      </c>
      <c r="D13" s="90">
        <v>270</v>
      </c>
      <c r="E13" s="90">
        <v>73</v>
      </c>
      <c r="F13" s="91">
        <f>D13+E13</f>
        <v>343</v>
      </c>
      <c r="G13" s="86">
        <f t="shared" ref="G13:G18" si="0">F13</f>
        <v>343</v>
      </c>
      <c r="H13" s="618"/>
      <c r="I13" s="601"/>
    </row>
    <row r="14" spans="1:9" ht="14.1" customHeight="1" x14ac:dyDescent="0.2">
      <c r="A14" s="284" t="s">
        <v>501</v>
      </c>
      <c r="B14" s="109" t="s">
        <v>1239</v>
      </c>
      <c r="C14" s="800" t="s">
        <v>977</v>
      </c>
      <c r="D14" s="90">
        <v>9500</v>
      </c>
      <c r="E14" s="90">
        <v>2565</v>
      </c>
      <c r="F14" s="91">
        <f>D14+E14</f>
        <v>12065</v>
      </c>
      <c r="G14" s="86">
        <f t="shared" si="0"/>
        <v>12065</v>
      </c>
      <c r="H14" s="618"/>
      <c r="I14" s="601"/>
    </row>
    <row r="15" spans="1:9" ht="14.1" customHeight="1" x14ac:dyDescent="0.2">
      <c r="A15" s="284" t="s">
        <v>502</v>
      </c>
      <c r="B15" s="109" t="s">
        <v>1287</v>
      </c>
      <c r="C15" s="800" t="s">
        <v>977</v>
      </c>
      <c r="D15" s="90">
        <v>1103</v>
      </c>
      <c r="E15" s="90">
        <v>297</v>
      </c>
      <c r="F15" s="91">
        <f t="shared" ref="F15:F18" si="1">D15+E15</f>
        <v>1400</v>
      </c>
      <c r="G15" s="86">
        <f t="shared" si="0"/>
        <v>1400</v>
      </c>
      <c r="H15" s="618"/>
      <c r="I15" s="601"/>
    </row>
    <row r="16" spans="1:9" ht="14.1" customHeight="1" x14ac:dyDescent="0.2">
      <c r="A16" s="284" t="s">
        <v>503</v>
      </c>
      <c r="B16" s="109" t="s">
        <v>1288</v>
      </c>
      <c r="C16" s="800" t="s">
        <v>977</v>
      </c>
      <c r="D16" s="90">
        <v>220</v>
      </c>
      <c r="E16" s="90">
        <v>60</v>
      </c>
      <c r="F16" s="91">
        <f t="shared" si="1"/>
        <v>280</v>
      </c>
      <c r="G16" s="86">
        <f t="shared" si="0"/>
        <v>280</v>
      </c>
      <c r="H16" s="618"/>
      <c r="I16" s="601"/>
    </row>
    <row r="17" spans="1:9" ht="14.1" customHeight="1" x14ac:dyDescent="0.2">
      <c r="A17" s="284" t="s">
        <v>504</v>
      </c>
      <c r="B17" s="109" t="s">
        <v>1289</v>
      </c>
      <c r="C17" s="800" t="s">
        <v>977</v>
      </c>
      <c r="D17" s="90">
        <v>280</v>
      </c>
      <c r="E17" s="90">
        <v>76</v>
      </c>
      <c r="F17" s="91">
        <f t="shared" si="1"/>
        <v>356</v>
      </c>
      <c r="G17" s="86">
        <f t="shared" si="0"/>
        <v>356</v>
      </c>
      <c r="H17" s="618"/>
      <c r="I17" s="601"/>
    </row>
    <row r="18" spans="1:9" ht="14.1" customHeight="1" x14ac:dyDescent="0.2">
      <c r="A18" s="284" t="s">
        <v>505</v>
      </c>
      <c r="B18" s="109" t="s">
        <v>1290</v>
      </c>
      <c r="C18" s="480" t="s">
        <v>494</v>
      </c>
      <c r="D18" s="90">
        <v>740</v>
      </c>
      <c r="E18" s="90">
        <v>200</v>
      </c>
      <c r="F18" s="91">
        <f t="shared" si="1"/>
        <v>940</v>
      </c>
      <c r="G18" s="86">
        <f t="shared" si="0"/>
        <v>940</v>
      </c>
      <c r="H18" s="618"/>
      <c r="I18" s="601"/>
    </row>
    <row r="19" spans="1:9" s="101" customFormat="1" ht="13.15" customHeight="1" thickBot="1" x14ac:dyDescent="0.25">
      <c r="A19" s="284"/>
      <c r="B19" s="92"/>
      <c r="C19" s="480"/>
      <c r="D19" s="128"/>
      <c r="E19" s="128"/>
      <c r="F19" s="107"/>
      <c r="G19" s="85"/>
      <c r="H19" s="90"/>
      <c r="I19" s="602"/>
    </row>
    <row r="20" spans="1:9" s="101" customFormat="1" ht="15" customHeight="1" thickBot="1" x14ac:dyDescent="0.25">
      <c r="A20" s="325"/>
      <c r="B20" s="93" t="s">
        <v>495</v>
      </c>
      <c r="C20" s="94"/>
      <c r="D20" s="815">
        <f>SUM(D13:D18)</f>
        <v>12113</v>
      </c>
      <c r="E20" s="815">
        <f t="shared" ref="E20:G20" si="2">SUM(E13:E18)</f>
        <v>3271</v>
      </c>
      <c r="F20" s="815">
        <f t="shared" si="2"/>
        <v>15384</v>
      </c>
      <c r="G20" s="815">
        <f t="shared" si="2"/>
        <v>15384</v>
      </c>
      <c r="H20" s="815">
        <f>SUM(H13:H18)</f>
        <v>0</v>
      </c>
      <c r="I20" s="604"/>
    </row>
    <row r="21" spans="1:9" ht="14.1" customHeight="1" x14ac:dyDescent="0.2">
      <c r="A21" s="326"/>
      <c r="B21" s="92"/>
      <c r="C21" s="90"/>
      <c r="D21" s="90"/>
      <c r="E21" s="90"/>
      <c r="F21" s="91"/>
      <c r="H21" s="618"/>
      <c r="I21" s="601"/>
    </row>
    <row r="22" spans="1:9" ht="12" customHeight="1" x14ac:dyDescent="0.2">
      <c r="A22" s="326" t="s">
        <v>496</v>
      </c>
      <c r="B22" s="89" t="s">
        <v>497</v>
      </c>
      <c r="C22" s="90"/>
      <c r="D22" s="90"/>
      <c r="E22" s="90"/>
      <c r="F22" s="91"/>
      <c r="H22" s="618"/>
      <c r="I22" s="601"/>
    </row>
    <row r="23" spans="1:9" ht="26.25" customHeight="1" x14ac:dyDescent="0.2">
      <c r="A23" s="130" t="s">
        <v>493</v>
      </c>
      <c r="B23" s="92" t="s">
        <v>1216</v>
      </c>
      <c r="C23" s="480" t="s">
        <v>494</v>
      </c>
      <c r="D23" s="800">
        <v>7874</v>
      </c>
      <c r="E23" s="800">
        <v>2126</v>
      </c>
      <c r="F23" s="801">
        <f>D23+E23</f>
        <v>10000</v>
      </c>
      <c r="G23" s="481">
        <f>F23</f>
        <v>10000</v>
      </c>
      <c r="H23" s="800"/>
      <c r="I23" s="802"/>
    </row>
    <row r="24" spans="1:9" ht="17.25" customHeight="1" x14ac:dyDescent="0.2">
      <c r="A24" s="130" t="s">
        <v>501</v>
      </c>
      <c r="B24" s="92" t="s">
        <v>1240</v>
      </c>
      <c r="C24" s="800" t="s">
        <v>1241</v>
      </c>
      <c r="D24" s="800">
        <v>0</v>
      </c>
      <c r="E24" s="800">
        <v>0</v>
      </c>
      <c r="F24" s="801">
        <f>D24+E24</f>
        <v>0</v>
      </c>
      <c r="G24" s="481">
        <f>F24</f>
        <v>0</v>
      </c>
      <c r="H24" s="800"/>
      <c r="I24" s="802"/>
    </row>
    <row r="25" spans="1:9" ht="17.25" customHeight="1" x14ac:dyDescent="0.2">
      <c r="A25" s="130" t="s">
        <v>502</v>
      </c>
      <c r="B25" s="92" t="s">
        <v>1291</v>
      </c>
      <c r="C25" s="800" t="s">
        <v>1241</v>
      </c>
      <c r="D25" s="800">
        <v>748</v>
      </c>
      <c r="E25" s="800">
        <v>202</v>
      </c>
      <c r="F25" s="801">
        <f>D25+E25</f>
        <v>950</v>
      </c>
      <c r="G25" s="481">
        <f>F25</f>
        <v>950</v>
      </c>
      <c r="H25" s="800"/>
      <c r="I25" s="802"/>
    </row>
    <row r="26" spans="1:9" ht="13.5" customHeight="1" thickBot="1" x14ac:dyDescent="0.25">
      <c r="A26" s="130"/>
      <c r="B26" s="109"/>
      <c r="C26" s="90"/>
      <c r="D26" s="128"/>
      <c r="E26" s="128"/>
      <c r="F26" s="107"/>
      <c r="G26" s="86"/>
      <c r="H26" s="128"/>
      <c r="I26" s="802"/>
    </row>
    <row r="27" spans="1:9" ht="12" customHeight="1" thickBot="1" x14ac:dyDescent="0.25">
      <c r="A27" s="490"/>
      <c r="B27" s="483" t="s">
        <v>498</v>
      </c>
      <c r="C27" s="153"/>
      <c r="D27" s="816">
        <f>SUM(D23:D26)</f>
        <v>8622</v>
      </c>
      <c r="E27" s="816">
        <f>SUM(E23:E26)</f>
        <v>2328</v>
      </c>
      <c r="F27" s="816">
        <f>SUM(F23:F26)</f>
        <v>10950</v>
      </c>
      <c r="G27" s="816">
        <f>SUM(G23:G26)</f>
        <v>10950</v>
      </c>
      <c r="H27" s="816">
        <f>SUM(H23:H26)</f>
        <v>0</v>
      </c>
      <c r="I27" s="601"/>
    </row>
    <row r="28" spans="1:9" ht="12" customHeight="1" x14ac:dyDescent="0.2">
      <c r="A28" s="326"/>
      <c r="B28" s="95"/>
      <c r="C28" s="90"/>
      <c r="D28" s="90"/>
      <c r="E28" s="90"/>
      <c r="F28" s="91"/>
      <c r="H28" s="618"/>
      <c r="I28" s="601"/>
    </row>
    <row r="29" spans="1:9" ht="15.75" customHeight="1" x14ac:dyDescent="0.2">
      <c r="A29" s="576" t="s">
        <v>499</v>
      </c>
      <c r="B29" s="100" t="s">
        <v>500</v>
      </c>
      <c r="C29" s="97"/>
      <c r="D29" s="90"/>
      <c r="E29" s="90"/>
      <c r="F29" s="91"/>
      <c r="H29" s="618"/>
      <c r="I29" s="601"/>
    </row>
    <row r="30" spans="1:9" s="101" customFormat="1" ht="19.5" customHeight="1" x14ac:dyDescent="0.2">
      <c r="A30" s="984" t="s">
        <v>493</v>
      </c>
      <c r="B30" s="96" t="s">
        <v>1099</v>
      </c>
      <c r="C30" s="800" t="s">
        <v>977</v>
      </c>
      <c r="D30" s="800">
        <v>4623</v>
      </c>
      <c r="E30" s="800">
        <v>1250</v>
      </c>
      <c r="F30" s="801">
        <f>D30+E30</f>
        <v>5873</v>
      </c>
      <c r="G30" s="481">
        <f t="shared" ref="G30:G35" si="3">F30</f>
        <v>5873</v>
      </c>
      <c r="H30" s="128"/>
      <c r="I30" s="602"/>
    </row>
    <row r="31" spans="1:9" s="101" customFormat="1" ht="19.5" customHeight="1" x14ac:dyDescent="0.2">
      <c r="A31" s="984" t="s">
        <v>1131</v>
      </c>
      <c r="B31" s="96" t="s">
        <v>1012</v>
      </c>
      <c r="C31" s="480" t="s">
        <v>494</v>
      </c>
      <c r="D31" s="800">
        <v>0</v>
      </c>
      <c r="E31" s="800">
        <v>0</v>
      </c>
      <c r="F31" s="801">
        <f>D31+E31</f>
        <v>0</v>
      </c>
      <c r="G31" s="481">
        <f t="shared" si="3"/>
        <v>0</v>
      </c>
      <c r="H31" s="128"/>
      <c r="I31" s="602"/>
    </row>
    <row r="32" spans="1:9" s="101" customFormat="1" ht="24.75" customHeight="1" x14ac:dyDescent="0.2">
      <c r="A32" s="984" t="s">
        <v>1130</v>
      </c>
      <c r="B32" s="96" t="s">
        <v>1132</v>
      </c>
      <c r="C32" s="800" t="s">
        <v>977</v>
      </c>
      <c r="D32" s="800">
        <v>24980</v>
      </c>
      <c r="E32" s="800">
        <v>6745</v>
      </c>
      <c r="F32" s="801">
        <f>SUM(D32:E32)</f>
        <v>31725</v>
      </c>
      <c r="G32" s="481">
        <f t="shared" si="3"/>
        <v>31725</v>
      </c>
      <c r="H32" s="128"/>
      <c r="I32" s="602"/>
    </row>
    <row r="33" spans="1:12" s="101" customFormat="1" ht="23.25" customHeight="1" x14ac:dyDescent="0.2">
      <c r="A33" s="984" t="s">
        <v>502</v>
      </c>
      <c r="B33" s="96" t="s">
        <v>1133</v>
      </c>
      <c r="C33" s="480" t="s">
        <v>494</v>
      </c>
      <c r="D33" s="800">
        <v>19280</v>
      </c>
      <c r="E33" s="800">
        <v>5206</v>
      </c>
      <c r="F33" s="801">
        <f t="shared" ref="F33:F50" si="4">D33+E33</f>
        <v>24486</v>
      </c>
      <c r="G33" s="481">
        <f t="shared" si="3"/>
        <v>24486</v>
      </c>
      <c r="H33" s="800"/>
      <c r="I33" s="602"/>
    </row>
    <row r="34" spans="1:12" s="101" customFormat="1" ht="24.75" customHeight="1" x14ac:dyDescent="0.2">
      <c r="A34" s="984" t="s">
        <v>503</v>
      </c>
      <c r="B34" s="96" t="s">
        <v>990</v>
      </c>
      <c r="C34" s="480" t="s">
        <v>494</v>
      </c>
      <c r="D34" s="800">
        <f>23622-15748</f>
        <v>7874</v>
      </c>
      <c r="E34" s="800">
        <f>6378-4252</f>
        <v>2126</v>
      </c>
      <c r="F34" s="801">
        <f t="shared" si="4"/>
        <v>10000</v>
      </c>
      <c r="G34" s="481">
        <f t="shared" si="3"/>
        <v>10000</v>
      </c>
      <c r="H34" s="128"/>
      <c r="I34" s="602"/>
    </row>
    <row r="35" spans="1:12" s="101" customFormat="1" ht="26.25" customHeight="1" x14ac:dyDescent="0.2">
      <c r="A35" s="984" t="s">
        <v>504</v>
      </c>
      <c r="B35" s="92" t="s">
        <v>1198</v>
      </c>
      <c r="C35" s="480" t="s">
        <v>494</v>
      </c>
      <c r="D35" s="800">
        <v>723404</v>
      </c>
      <c r="E35" s="800">
        <v>14901</v>
      </c>
      <c r="F35" s="801">
        <f t="shared" si="4"/>
        <v>738305</v>
      </c>
      <c r="G35" s="481">
        <f t="shared" si="3"/>
        <v>738305</v>
      </c>
      <c r="H35" s="128"/>
      <c r="I35" s="602"/>
    </row>
    <row r="36" spans="1:12" s="101" customFormat="1" ht="21.75" customHeight="1" x14ac:dyDescent="0.2">
      <c r="A36" s="984" t="s">
        <v>505</v>
      </c>
      <c r="B36" s="743" t="s">
        <v>187</v>
      </c>
      <c r="C36" s="480" t="s">
        <v>494</v>
      </c>
      <c r="D36" s="800">
        <v>5468</v>
      </c>
      <c r="E36" s="800">
        <v>1486</v>
      </c>
      <c r="F36" s="801">
        <f t="shared" si="4"/>
        <v>6954</v>
      </c>
      <c r="G36" s="481"/>
      <c r="H36" s="800">
        <f>F36</f>
        <v>6954</v>
      </c>
      <c r="I36" s="602"/>
    </row>
    <row r="37" spans="1:12" s="101" customFormat="1" ht="36.75" customHeight="1" x14ac:dyDescent="0.2">
      <c r="A37" s="984" t="s">
        <v>1119</v>
      </c>
      <c r="B37" s="987" t="s">
        <v>1102</v>
      </c>
      <c r="C37" s="800" t="s">
        <v>494</v>
      </c>
      <c r="D37" s="800">
        <v>0</v>
      </c>
      <c r="E37" s="800">
        <v>0</v>
      </c>
      <c r="F37" s="801">
        <f t="shared" si="4"/>
        <v>0</v>
      </c>
      <c r="G37" s="481">
        <f>F37</f>
        <v>0</v>
      </c>
      <c r="H37" s="800"/>
      <c r="I37" s="962"/>
      <c r="J37" s="963"/>
      <c r="K37" s="963"/>
      <c r="L37" s="963"/>
    </row>
    <row r="38" spans="1:12" s="101" customFormat="1" ht="27" customHeight="1" x14ac:dyDescent="0.2">
      <c r="A38" s="984" t="s">
        <v>1120</v>
      </c>
      <c r="B38" s="743" t="s">
        <v>1199</v>
      </c>
      <c r="C38" s="480"/>
      <c r="D38" s="800">
        <v>118355</v>
      </c>
      <c r="E38" s="800">
        <v>31957</v>
      </c>
      <c r="F38" s="801">
        <f t="shared" si="4"/>
        <v>150312</v>
      </c>
      <c r="G38" s="481">
        <f>F38</f>
        <v>150312</v>
      </c>
      <c r="H38" s="800"/>
      <c r="I38" s="602"/>
    </row>
    <row r="39" spans="1:12" s="101" customFormat="1" ht="26.25" customHeight="1" x14ac:dyDescent="0.2">
      <c r="A39" s="984" t="s">
        <v>1121</v>
      </c>
      <c r="B39" s="743" t="s">
        <v>1242</v>
      </c>
      <c r="C39" s="480" t="s">
        <v>494</v>
      </c>
      <c r="D39" s="800">
        <v>82214</v>
      </c>
      <c r="E39" s="800">
        <v>22197</v>
      </c>
      <c r="F39" s="801">
        <f t="shared" ref="F39" si="5">D39+E39</f>
        <v>104411</v>
      </c>
      <c r="G39" s="481">
        <f t="shared" ref="G39" si="6">F39</f>
        <v>104411</v>
      </c>
      <c r="H39" s="800"/>
      <c r="I39" s="602"/>
    </row>
    <row r="40" spans="1:12" s="101" customFormat="1" ht="21.75" customHeight="1" x14ac:dyDescent="0.2">
      <c r="A40" s="984" t="s">
        <v>1292</v>
      </c>
      <c r="B40" s="743" t="s">
        <v>1243</v>
      </c>
      <c r="C40" s="480" t="s">
        <v>494</v>
      </c>
      <c r="D40" s="800">
        <v>15008</v>
      </c>
      <c r="E40" s="800">
        <v>4053</v>
      </c>
      <c r="F40" s="801">
        <f t="shared" si="4"/>
        <v>19061</v>
      </c>
      <c r="G40" s="481">
        <f t="shared" ref="G40:G47" si="7">F40</f>
        <v>19061</v>
      </c>
      <c r="H40" s="800"/>
      <c r="I40" s="602"/>
    </row>
    <row r="41" spans="1:12" s="101" customFormat="1" ht="21.75" customHeight="1" x14ac:dyDescent="0.2">
      <c r="A41" s="984" t="s">
        <v>1293</v>
      </c>
      <c r="B41" s="743" t="s">
        <v>1294</v>
      </c>
      <c r="C41" s="480" t="s">
        <v>977</v>
      </c>
      <c r="D41" s="800">
        <v>10552</v>
      </c>
      <c r="E41" s="800">
        <v>2848</v>
      </c>
      <c r="F41" s="801">
        <f t="shared" si="4"/>
        <v>13400</v>
      </c>
      <c r="G41" s="481">
        <f t="shared" si="7"/>
        <v>13400</v>
      </c>
      <c r="H41" s="800"/>
      <c r="I41" s="602"/>
    </row>
    <row r="42" spans="1:12" s="101" customFormat="1" ht="21.75" customHeight="1" x14ac:dyDescent="0.2">
      <c r="A42" s="984" t="s">
        <v>508</v>
      </c>
      <c r="B42" s="743" t="s">
        <v>1088</v>
      </c>
      <c r="C42" s="480" t="s">
        <v>494</v>
      </c>
      <c r="D42" s="800">
        <v>9213</v>
      </c>
      <c r="E42" s="800">
        <v>2487</v>
      </c>
      <c r="F42" s="801">
        <f t="shared" si="4"/>
        <v>11700</v>
      </c>
      <c r="G42" s="481">
        <f t="shared" si="7"/>
        <v>11700</v>
      </c>
      <c r="H42" s="800"/>
      <c r="I42" s="802"/>
    </row>
    <row r="43" spans="1:12" s="101" customFormat="1" ht="21.75" customHeight="1" x14ac:dyDescent="0.2">
      <c r="A43" s="1071" t="s">
        <v>1295</v>
      </c>
      <c r="B43" s="743" t="s">
        <v>976</v>
      </c>
      <c r="C43" s="480" t="s">
        <v>494</v>
      </c>
      <c r="D43" s="800">
        <v>0</v>
      </c>
      <c r="E43" s="800">
        <v>0</v>
      </c>
      <c r="F43" s="801">
        <v>0</v>
      </c>
      <c r="G43" s="481">
        <f t="shared" si="7"/>
        <v>0</v>
      </c>
      <c r="H43" s="800"/>
      <c r="I43" s="802"/>
    </row>
    <row r="44" spans="1:12" s="101" customFormat="1" ht="21.75" customHeight="1" x14ac:dyDescent="0.2">
      <c r="A44" s="1071" t="s">
        <v>1296</v>
      </c>
      <c r="B44" s="743" t="s">
        <v>1298</v>
      </c>
      <c r="C44" s="480" t="s">
        <v>494</v>
      </c>
      <c r="D44" s="800">
        <v>62937</v>
      </c>
      <c r="E44" s="800">
        <v>16993</v>
      </c>
      <c r="F44" s="801">
        <f t="shared" si="4"/>
        <v>79930</v>
      </c>
      <c r="G44" s="481">
        <f t="shared" si="7"/>
        <v>79930</v>
      </c>
      <c r="H44" s="800"/>
      <c r="I44" s="802"/>
    </row>
    <row r="45" spans="1:12" s="101" customFormat="1" ht="21.75" customHeight="1" x14ac:dyDescent="0.2">
      <c r="A45" s="1071" t="s">
        <v>1297</v>
      </c>
      <c r="B45" s="743" t="s">
        <v>1299</v>
      </c>
      <c r="C45" s="480" t="s">
        <v>494</v>
      </c>
      <c r="D45" s="800">
        <v>1615</v>
      </c>
      <c r="E45" s="800">
        <v>531</v>
      </c>
      <c r="F45" s="801">
        <f t="shared" si="4"/>
        <v>2146</v>
      </c>
      <c r="G45" s="481">
        <f t="shared" si="7"/>
        <v>2146</v>
      </c>
      <c r="H45" s="800"/>
      <c r="I45" s="802"/>
    </row>
    <row r="46" spans="1:12" s="101" customFormat="1" ht="21.75" customHeight="1" x14ac:dyDescent="0.2">
      <c r="A46" s="1071" t="s">
        <v>1300</v>
      </c>
      <c r="B46" s="743" t="s">
        <v>1301</v>
      </c>
      <c r="C46" s="480" t="s">
        <v>494</v>
      </c>
      <c r="D46" s="800">
        <v>4094</v>
      </c>
      <c r="E46" s="800">
        <v>1106</v>
      </c>
      <c r="F46" s="801">
        <f t="shared" si="4"/>
        <v>5200</v>
      </c>
      <c r="G46" s="481">
        <f t="shared" si="7"/>
        <v>5200</v>
      </c>
      <c r="H46" s="800"/>
      <c r="I46" s="802"/>
    </row>
    <row r="47" spans="1:12" s="101" customFormat="1" ht="21.75" customHeight="1" x14ac:dyDescent="0.2">
      <c r="A47" s="984" t="s">
        <v>550</v>
      </c>
      <c r="B47" s="743" t="s">
        <v>978</v>
      </c>
      <c r="C47" s="480" t="s">
        <v>494</v>
      </c>
      <c r="D47" s="800">
        <v>12367</v>
      </c>
      <c r="E47" s="800">
        <v>3339</v>
      </c>
      <c r="F47" s="801">
        <f t="shared" si="4"/>
        <v>15706</v>
      </c>
      <c r="G47" s="481">
        <f t="shared" si="7"/>
        <v>15706</v>
      </c>
      <c r="H47" s="800"/>
      <c r="I47" s="802"/>
    </row>
    <row r="48" spans="1:12" s="101" customFormat="1" ht="21.75" customHeight="1" x14ac:dyDescent="0.2">
      <c r="A48" s="1071" t="s">
        <v>1188</v>
      </c>
      <c r="B48" s="743" t="s">
        <v>1011</v>
      </c>
      <c r="C48" s="480" t="s">
        <v>494</v>
      </c>
      <c r="D48" s="800">
        <v>2362</v>
      </c>
      <c r="E48" s="800">
        <v>638</v>
      </c>
      <c r="F48" s="801">
        <f t="shared" si="4"/>
        <v>3000</v>
      </c>
      <c r="G48" s="481"/>
      <c r="H48" s="800">
        <f>F48</f>
        <v>3000</v>
      </c>
      <c r="I48" s="802"/>
    </row>
    <row r="49" spans="1:9" s="101" customFormat="1" ht="27" customHeight="1" x14ac:dyDescent="0.2">
      <c r="A49" s="1071" t="s">
        <v>1189</v>
      </c>
      <c r="B49" s="743" t="s">
        <v>1190</v>
      </c>
      <c r="C49" s="800" t="s">
        <v>977</v>
      </c>
      <c r="D49" s="800">
        <v>67639</v>
      </c>
      <c r="E49" s="800">
        <v>18262</v>
      </c>
      <c r="F49" s="801">
        <f t="shared" si="4"/>
        <v>85901</v>
      </c>
      <c r="G49" s="481"/>
      <c r="H49" s="800">
        <f>F49</f>
        <v>85901</v>
      </c>
      <c r="I49" s="802"/>
    </row>
    <row r="50" spans="1:9" s="101" customFormat="1" ht="26.25" customHeight="1" x14ac:dyDescent="0.2">
      <c r="A50" s="984" t="s">
        <v>552</v>
      </c>
      <c r="B50" s="743" t="s">
        <v>1200</v>
      </c>
      <c r="C50" s="480" t="s">
        <v>494</v>
      </c>
      <c r="D50" s="800">
        <v>53000</v>
      </c>
      <c r="E50" s="800">
        <v>14310</v>
      </c>
      <c r="F50" s="801">
        <f t="shared" si="4"/>
        <v>67310</v>
      </c>
      <c r="G50" s="481">
        <f>F50</f>
        <v>67310</v>
      </c>
      <c r="H50" s="800"/>
      <c r="I50" s="802"/>
    </row>
    <row r="51" spans="1:9" s="101" customFormat="1" ht="27.75" customHeight="1" x14ac:dyDescent="0.2">
      <c r="A51" s="984" t="s">
        <v>553</v>
      </c>
      <c r="B51" s="936" t="s">
        <v>1191</v>
      </c>
      <c r="C51" s="480" t="s">
        <v>494</v>
      </c>
      <c r="D51" s="800">
        <v>0</v>
      </c>
      <c r="E51" s="800">
        <v>0</v>
      </c>
      <c r="F51" s="801">
        <f t="shared" ref="F51" si="8">D51+E51</f>
        <v>0</v>
      </c>
      <c r="G51" s="481">
        <f>F51</f>
        <v>0</v>
      </c>
      <c r="H51" s="800"/>
      <c r="I51" s="602"/>
    </row>
    <row r="52" spans="1:9" s="101" customFormat="1" ht="27.75" customHeight="1" x14ac:dyDescent="0.2">
      <c r="A52" s="1071" t="s">
        <v>1134</v>
      </c>
      <c r="B52" s="968" t="s">
        <v>1039</v>
      </c>
      <c r="C52" s="480" t="s">
        <v>494</v>
      </c>
      <c r="D52" s="800">
        <v>13950</v>
      </c>
      <c r="E52" s="800">
        <v>3767</v>
      </c>
      <c r="F52" s="801">
        <f t="shared" ref="F52:F60" si="9">SUM(D52:E52)</f>
        <v>17717</v>
      </c>
      <c r="G52" s="481">
        <f>F52</f>
        <v>17717</v>
      </c>
      <c r="H52" s="800"/>
      <c r="I52" s="602"/>
    </row>
    <row r="53" spans="1:9" s="101" customFormat="1" ht="27.75" customHeight="1" x14ac:dyDescent="0.2">
      <c r="A53" s="1071" t="s">
        <v>1135</v>
      </c>
      <c r="B53" s="1047" t="s">
        <v>1245</v>
      </c>
      <c r="C53" s="800" t="s">
        <v>319</v>
      </c>
      <c r="D53" s="800">
        <v>0</v>
      </c>
      <c r="E53" s="800">
        <v>0</v>
      </c>
      <c r="F53" s="801">
        <f t="shared" si="9"/>
        <v>0</v>
      </c>
      <c r="G53" s="481">
        <f>F53</f>
        <v>0</v>
      </c>
      <c r="H53" s="800"/>
      <c r="I53" s="602"/>
    </row>
    <row r="54" spans="1:9" s="101" customFormat="1" ht="27.75" customHeight="1" x14ac:dyDescent="0.2">
      <c r="A54" s="984" t="s">
        <v>555</v>
      </c>
      <c r="B54" s="1047" t="s">
        <v>1126</v>
      </c>
      <c r="C54" s="800" t="s">
        <v>319</v>
      </c>
      <c r="D54" s="800">
        <f>6938+197</f>
        <v>7135</v>
      </c>
      <c r="E54" s="800">
        <v>53</v>
      </c>
      <c r="F54" s="801">
        <f t="shared" si="9"/>
        <v>7188</v>
      </c>
      <c r="G54" s="481"/>
      <c r="H54" s="481">
        <f>F54</f>
        <v>7188</v>
      </c>
      <c r="I54" s="602"/>
    </row>
    <row r="55" spans="1:9" s="101" customFormat="1" ht="27.75" customHeight="1" x14ac:dyDescent="0.2">
      <c r="A55" s="984" t="s">
        <v>556</v>
      </c>
      <c r="B55" s="1047" t="s">
        <v>1192</v>
      </c>
      <c r="C55" s="800" t="s">
        <v>319</v>
      </c>
      <c r="D55" s="800">
        <v>7200</v>
      </c>
      <c r="E55" s="800">
        <v>1944</v>
      </c>
      <c r="F55" s="801">
        <f t="shared" si="9"/>
        <v>9144</v>
      </c>
      <c r="G55" s="481"/>
      <c r="H55" s="800">
        <f>F55</f>
        <v>9144</v>
      </c>
      <c r="I55" s="602"/>
    </row>
    <row r="56" spans="1:9" s="101" customFormat="1" ht="19.5" customHeight="1" x14ac:dyDescent="0.2">
      <c r="A56" s="984" t="s">
        <v>558</v>
      </c>
      <c r="B56" s="1047" t="s">
        <v>1244</v>
      </c>
      <c r="C56" s="800" t="s">
        <v>319</v>
      </c>
      <c r="D56" s="800">
        <v>0</v>
      </c>
      <c r="E56" s="800">
        <v>0</v>
      </c>
      <c r="F56" s="801">
        <f t="shared" si="9"/>
        <v>0</v>
      </c>
      <c r="G56" s="481">
        <f>F56</f>
        <v>0</v>
      </c>
      <c r="H56" s="800"/>
      <c r="I56" s="602"/>
    </row>
    <row r="57" spans="1:9" s="101" customFormat="1" ht="39" customHeight="1" x14ac:dyDescent="0.2">
      <c r="A57" s="984" t="s">
        <v>559</v>
      </c>
      <c r="B57" s="1047" t="s">
        <v>1332</v>
      </c>
      <c r="C57" s="800" t="s">
        <v>319</v>
      </c>
      <c r="D57" s="800">
        <v>65427</v>
      </c>
      <c r="E57" s="800">
        <v>17665</v>
      </c>
      <c r="F57" s="801">
        <f t="shared" si="9"/>
        <v>83092</v>
      </c>
      <c r="G57" s="481">
        <f>F57</f>
        <v>83092</v>
      </c>
      <c r="H57" s="800"/>
      <c r="I57" s="602"/>
    </row>
    <row r="58" spans="1:9" s="101" customFormat="1" ht="27.75" customHeight="1" x14ac:dyDescent="0.2">
      <c r="A58" s="984" t="s">
        <v>560</v>
      </c>
      <c r="B58" s="1047" t="s">
        <v>1302</v>
      </c>
      <c r="C58" s="800" t="s">
        <v>319</v>
      </c>
      <c r="D58" s="800">
        <v>5118</v>
      </c>
      <c r="E58" s="800">
        <v>1382</v>
      </c>
      <c r="F58" s="801">
        <f t="shared" si="9"/>
        <v>6500</v>
      </c>
      <c r="G58" s="481">
        <f>F58</f>
        <v>6500</v>
      </c>
      <c r="H58" s="800"/>
      <c r="I58" s="602"/>
    </row>
    <row r="59" spans="1:9" s="101" customFormat="1" ht="27.75" customHeight="1" x14ac:dyDescent="0.2">
      <c r="A59" s="984" t="s">
        <v>561</v>
      </c>
      <c r="B59" s="1047" t="s">
        <v>1303</v>
      </c>
      <c r="C59" s="800" t="s">
        <v>319</v>
      </c>
      <c r="D59" s="800">
        <v>23900</v>
      </c>
      <c r="E59" s="800">
        <v>6453</v>
      </c>
      <c r="F59" s="801">
        <f t="shared" si="9"/>
        <v>30353</v>
      </c>
      <c r="G59" s="481">
        <f>F59</f>
        <v>30353</v>
      </c>
      <c r="H59" s="800"/>
      <c r="I59" s="602"/>
    </row>
    <row r="60" spans="1:9" s="101" customFormat="1" ht="27.75" customHeight="1" x14ac:dyDescent="0.2">
      <c r="A60" s="984" t="s">
        <v>562</v>
      </c>
      <c r="B60" s="1047" t="s">
        <v>1304</v>
      </c>
      <c r="C60" s="480" t="s">
        <v>494</v>
      </c>
      <c r="D60" s="800">
        <v>3454</v>
      </c>
      <c r="E60" s="800">
        <v>933</v>
      </c>
      <c r="F60" s="801">
        <f t="shared" si="9"/>
        <v>4387</v>
      </c>
      <c r="G60" s="481"/>
      <c r="H60" s="800">
        <f>F60</f>
        <v>4387</v>
      </c>
      <c r="I60" s="602"/>
    </row>
    <row r="61" spans="1:9" s="101" customFormat="1" ht="10.5" customHeight="1" thickBot="1" x14ac:dyDescent="0.25">
      <c r="A61" s="984"/>
      <c r="B61" s="1047"/>
      <c r="C61" s="800"/>
      <c r="D61" s="800"/>
      <c r="E61" s="800"/>
      <c r="F61" s="801"/>
      <c r="G61" s="481"/>
      <c r="H61" s="800"/>
      <c r="I61" s="602"/>
    </row>
    <row r="62" spans="1:9" ht="13.9" customHeight="1" thickBot="1" x14ac:dyDescent="0.25">
      <c r="A62" s="491"/>
      <c r="B62" s="93" t="s">
        <v>509</v>
      </c>
      <c r="C62" s="102"/>
      <c r="D62" s="815">
        <f>SUM(D30:D60)</f>
        <v>1351169</v>
      </c>
      <c r="E62" s="815">
        <f>SUM(E30:E60)</f>
        <v>182632</v>
      </c>
      <c r="F62" s="815">
        <f>SUM(F30:F60)</f>
        <v>1533801</v>
      </c>
      <c r="G62" s="815">
        <f>SUM(G30:G60)</f>
        <v>1417227</v>
      </c>
      <c r="H62" s="815">
        <f>SUM(H30:H60)</f>
        <v>116574</v>
      </c>
      <c r="I62" s="601"/>
    </row>
    <row r="63" spans="1:9" s="101" customFormat="1" ht="13.9" customHeight="1" x14ac:dyDescent="0.2">
      <c r="A63" s="284"/>
      <c r="B63" s="92"/>
      <c r="C63" s="97"/>
      <c r="D63" s="90"/>
      <c r="E63" s="90"/>
      <c r="F63" s="91"/>
      <c r="G63" s="85"/>
      <c r="H63" s="91"/>
      <c r="I63" s="602"/>
    </row>
    <row r="64" spans="1:9" s="101" customFormat="1" ht="13.9" customHeight="1" x14ac:dyDescent="0.2">
      <c r="A64" s="130"/>
      <c r="B64" s="92"/>
      <c r="C64" s="97"/>
      <c r="D64" s="90"/>
      <c r="E64" s="90"/>
      <c r="F64" s="91"/>
      <c r="G64" s="85"/>
      <c r="H64" s="90"/>
      <c r="I64" s="602"/>
    </row>
    <row r="65" spans="1:9" s="105" customFormat="1" ht="15.75" customHeight="1" x14ac:dyDescent="0.15">
      <c r="A65" s="326" t="s">
        <v>510</v>
      </c>
      <c r="B65" s="103" t="s">
        <v>511</v>
      </c>
      <c r="C65" s="104"/>
      <c r="D65" s="91"/>
      <c r="E65" s="91"/>
      <c r="F65" s="91"/>
      <c r="G65" s="115"/>
      <c r="H65" s="619"/>
      <c r="I65" s="603"/>
    </row>
    <row r="66" spans="1:9" s="105" customFormat="1" ht="15.75" customHeight="1" x14ac:dyDescent="0.15">
      <c r="A66" s="984" t="s">
        <v>512</v>
      </c>
      <c r="B66" s="92" t="s">
        <v>567</v>
      </c>
      <c r="C66" s="479" t="s">
        <v>316</v>
      </c>
      <c r="D66" s="964">
        <v>5000</v>
      </c>
      <c r="E66" s="964">
        <f>D66*0.27</f>
        <v>1350</v>
      </c>
      <c r="F66" s="965">
        <f>D66+E66</f>
        <v>6350</v>
      </c>
      <c r="G66" s="966">
        <v>6350</v>
      </c>
      <c r="H66" s="964"/>
      <c r="I66" s="603"/>
    </row>
    <row r="67" spans="1:9" s="105" customFormat="1" ht="15.75" customHeight="1" x14ac:dyDescent="0.2">
      <c r="A67" s="984" t="s">
        <v>689</v>
      </c>
      <c r="B67" s="106" t="s">
        <v>177</v>
      </c>
      <c r="C67" s="479" t="s">
        <v>316</v>
      </c>
      <c r="D67" s="480">
        <v>1000</v>
      </c>
      <c r="E67" s="480">
        <f>D67*0.27</f>
        <v>270</v>
      </c>
      <c r="F67" s="482">
        <f>SUM(D67:E67)</f>
        <v>1270</v>
      </c>
      <c r="G67" s="967"/>
      <c r="H67" s="480">
        <v>1270</v>
      </c>
      <c r="I67" s="603"/>
    </row>
    <row r="68" spans="1:9" s="105" customFormat="1" ht="27" customHeight="1" x14ac:dyDescent="0.15">
      <c r="A68" s="984" t="s">
        <v>101</v>
      </c>
      <c r="B68" s="743" t="s">
        <v>1201</v>
      </c>
      <c r="C68" s="479" t="s">
        <v>316</v>
      </c>
      <c r="D68" s="480">
        <v>19000</v>
      </c>
      <c r="E68" s="480">
        <v>5130</v>
      </c>
      <c r="F68" s="482">
        <f t="shared" ref="F68:F72" si="10">D68+E68</f>
        <v>24130</v>
      </c>
      <c r="G68" s="921">
        <f>F68</f>
        <v>24130</v>
      </c>
      <c r="H68" s="480"/>
      <c r="I68" s="603"/>
    </row>
    <row r="69" spans="1:9" s="105" customFormat="1" ht="27" customHeight="1" x14ac:dyDescent="0.15">
      <c r="A69" s="984" t="s">
        <v>311</v>
      </c>
      <c r="B69" s="743" t="s">
        <v>1040</v>
      </c>
      <c r="C69" s="479" t="s">
        <v>316</v>
      </c>
      <c r="D69" s="480">
        <v>0</v>
      </c>
      <c r="E69" s="480">
        <v>0</v>
      </c>
      <c r="F69" s="482">
        <f t="shared" si="10"/>
        <v>0</v>
      </c>
      <c r="G69" s="921">
        <v>0</v>
      </c>
      <c r="H69" s="480"/>
      <c r="I69" s="603"/>
    </row>
    <row r="70" spans="1:9" s="105" customFormat="1" ht="25.9" customHeight="1" x14ac:dyDescent="0.2">
      <c r="A70" s="984" t="s">
        <v>1100</v>
      </c>
      <c r="B70" s="106" t="s">
        <v>1039</v>
      </c>
      <c r="C70" s="479" t="s">
        <v>316</v>
      </c>
      <c r="D70" s="480">
        <v>0</v>
      </c>
      <c r="E70" s="480">
        <v>0</v>
      </c>
      <c r="F70" s="482">
        <f t="shared" si="10"/>
        <v>0</v>
      </c>
      <c r="G70" s="967">
        <v>0</v>
      </c>
      <c r="H70" s="480"/>
      <c r="I70" s="603"/>
    </row>
    <row r="71" spans="1:9" s="105" customFormat="1" ht="25.9" customHeight="1" x14ac:dyDescent="0.2">
      <c r="A71" s="984" t="s">
        <v>938</v>
      </c>
      <c r="B71" s="106" t="s">
        <v>1101</v>
      </c>
      <c r="C71" s="479" t="s">
        <v>316</v>
      </c>
      <c r="D71" s="480">
        <v>248</v>
      </c>
      <c r="E71" s="480">
        <v>67</v>
      </c>
      <c r="F71" s="482">
        <f t="shared" si="10"/>
        <v>315</v>
      </c>
      <c r="G71" s="967"/>
      <c r="H71" s="480">
        <f>F71</f>
        <v>315</v>
      </c>
      <c r="I71" s="603"/>
    </row>
    <row r="72" spans="1:9" s="105" customFormat="1" ht="31.5" customHeight="1" x14ac:dyDescent="0.15">
      <c r="A72" s="984" t="s">
        <v>1193</v>
      </c>
      <c r="B72" s="743" t="s">
        <v>1194</v>
      </c>
      <c r="C72" s="479" t="s">
        <v>316</v>
      </c>
      <c r="D72" s="480">
        <v>12598</v>
      </c>
      <c r="E72" s="480">
        <v>3402</v>
      </c>
      <c r="F72" s="482">
        <f t="shared" si="10"/>
        <v>16000</v>
      </c>
      <c r="G72" s="967"/>
      <c r="H72" s="480">
        <f>F72</f>
        <v>16000</v>
      </c>
      <c r="I72" s="603"/>
    </row>
    <row r="73" spans="1:9" s="105" customFormat="1" ht="9.75" customHeight="1" thickBot="1" x14ac:dyDescent="0.2">
      <c r="A73" s="984"/>
      <c r="B73" s="743"/>
      <c r="C73" s="479"/>
      <c r="D73" s="480"/>
      <c r="E73" s="480"/>
      <c r="F73" s="482"/>
      <c r="G73" s="967"/>
      <c r="H73" s="480"/>
      <c r="I73" s="603"/>
    </row>
    <row r="74" spans="1:9" s="105" customFormat="1" ht="12" customHeight="1" thickBot="1" x14ac:dyDescent="0.2">
      <c r="A74" s="327"/>
      <c r="B74" s="93" t="s">
        <v>513</v>
      </c>
      <c r="C74" s="102"/>
      <c r="D74" s="94">
        <f>SUM(D66:D72)</f>
        <v>37846</v>
      </c>
      <c r="E74" s="94">
        <f t="shared" ref="E74:H74" si="11">SUM(E66:E72)</f>
        <v>10219</v>
      </c>
      <c r="F74" s="94">
        <f t="shared" si="11"/>
        <v>48065</v>
      </c>
      <c r="G74" s="94">
        <f t="shared" si="11"/>
        <v>30480</v>
      </c>
      <c r="H74" s="94">
        <f t="shared" si="11"/>
        <v>17585</v>
      </c>
      <c r="I74" s="603"/>
    </row>
    <row r="75" spans="1:9" s="105" customFormat="1" ht="12" customHeight="1" x14ac:dyDescent="0.15">
      <c r="A75" s="326"/>
      <c r="B75" s="103"/>
      <c r="C75" s="104"/>
      <c r="D75" s="91"/>
      <c r="E75" s="91"/>
      <c r="F75" s="91"/>
      <c r="G75" s="91"/>
      <c r="H75" s="91"/>
      <c r="I75" s="603"/>
    </row>
    <row r="76" spans="1:9" s="105" customFormat="1" ht="12" customHeight="1" x14ac:dyDescent="0.15">
      <c r="A76" s="326"/>
      <c r="B76" s="103"/>
      <c r="C76" s="104"/>
      <c r="D76" s="91"/>
      <c r="E76" s="91"/>
      <c r="F76" s="91"/>
      <c r="G76" s="115"/>
      <c r="H76" s="619"/>
      <c r="I76" s="603"/>
    </row>
    <row r="77" spans="1:9" s="83" customFormat="1" ht="15" customHeight="1" x14ac:dyDescent="0.2">
      <c r="A77" s="326" t="s">
        <v>514</v>
      </c>
      <c r="B77" s="89" t="s">
        <v>515</v>
      </c>
      <c r="C77" s="91"/>
      <c r="D77" s="91"/>
      <c r="E77" s="91"/>
      <c r="F77" s="91"/>
      <c r="G77" s="86"/>
      <c r="H77" s="128"/>
      <c r="I77" s="604"/>
    </row>
    <row r="78" spans="1:9" s="83" customFormat="1" ht="15" customHeight="1" thickBot="1" x14ac:dyDescent="0.25">
      <c r="A78" s="326"/>
      <c r="B78" s="109"/>
      <c r="C78" s="97"/>
      <c r="D78" s="90"/>
      <c r="E78" s="90"/>
      <c r="F78" s="91"/>
      <c r="G78" s="86"/>
      <c r="H78" s="128"/>
      <c r="I78" s="604"/>
    </row>
    <row r="79" spans="1:9" s="83" customFormat="1" ht="13.5" customHeight="1" thickBot="1" x14ac:dyDescent="0.25">
      <c r="A79" s="327"/>
      <c r="B79" s="108" t="s">
        <v>516</v>
      </c>
      <c r="C79" s="94"/>
      <c r="D79" s="94">
        <f>SUM(D78)</f>
        <v>0</v>
      </c>
      <c r="E79" s="94">
        <f>SUM(E78)</f>
        <v>0</v>
      </c>
      <c r="F79" s="94">
        <f>SUM(F78)</f>
        <v>0</v>
      </c>
      <c r="G79" s="94">
        <f>SUM(G78)</f>
        <v>0</v>
      </c>
      <c r="H79" s="94">
        <f>SUM(H78)</f>
        <v>0</v>
      </c>
      <c r="I79" s="604"/>
    </row>
    <row r="80" spans="1:9" s="83" customFormat="1" ht="13.5" customHeight="1" x14ac:dyDescent="0.2">
      <c r="A80" s="326"/>
      <c r="B80" s="89"/>
      <c r="C80" s="91"/>
      <c r="D80" s="91"/>
      <c r="E80" s="91"/>
      <c r="F80" s="91"/>
      <c r="G80" s="91"/>
      <c r="H80" s="91"/>
      <c r="I80" s="604"/>
    </row>
    <row r="81" spans="1:9" s="83" customFormat="1" ht="13.5" customHeight="1" x14ac:dyDescent="0.2">
      <c r="A81" s="326"/>
      <c r="B81" s="89"/>
      <c r="C81" s="91"/>
      <c r="D81" s="91"/>
      <c r="E81" s="91"/>
      <c r="F81" s="91"/>
      <c r="G81" s="86"/>
      <c r="H81" s="128"/>
      <c r="I81" s="604"/>
    </row>
    <row r="82" spans="1:9" s="83" customFormat="1" ht="13.5" customHeight="1" x14ac:dyDescent="0.2">
      <c r="A82" s="326" t="s">
        <v>90</v>
      </c>
      <c r="B82" s="89" t="s">
        <v>178</v>
      </c>
      <c r="C82" s="91"/>
      <c r="F82" s="90"/>
      <c r="G82" s="86"/>
      <c r="H82" s="90"/>
      <c r="I82" s="604"/>
    </row>
    <row r="83" spans="1:9" s="83" customFormat="1" ht="20.25" customHeight="1" x14ac:dyDescent="0.2">
      <c r="A83" s="130" t="s">
        <v>512</v>
      </c>
      <c r="B83" s="109" t="s">
        <v>1041</v>
      </c>
      <c r="C83" s="91" t="s">
        <v>316</v>
      </c>
      <c r="D83" s="480">
        <v>2094</v>
      </c>
      <c r="E83" s="480">
        <v>566</v>
      </c>
      <c r="F83" s="482">
        <f>SUM(D83:E83)</f>
        <v>2660</v>
      </c>
      <c r="G83" s="481"/>
      <c r="H83" s="480">
        <f>SUM(F83:G83)</f>
        <v>2660</v>
      </c>
      <c r="I83" s="604"/>
    </row>
    <row r="84" spans="1:9" s="83" customFormat="1" ht="25.5" customHeight="1" x14ac:dyDescent="0.2">
      <c r="A84" s="130" t="s">
        <v>689</v>
      </c>
      <c r="B84" s="920" t="s">
        <v>1096</v>
      </c>
      <c r="C84" s="479" t="s">
        <v>316</v>
      </c>
      <c r="D84" s="480">
        <v>4606</v>
      </c>
      <c r="E84" s="480">
        <v>866</v>
      </c>
      <c r="F84" s="482">
        <f>SUM(D84:E84)</f>
        <v>5472</v>
      </c>
      <c r="G84" s="481"/>
      <c r="H84" s="480">
        <f>F84</f>
        <v>5472</v>
      </c>
      <c r="I84" s="604"/>
    </row>
    <row r="85" spans="1:9" s="83" customFormat="1" ht="24" customHeight="1" x14ac:dyDescent="0.2">
      <c r="A85" s="130" t="s">
        <v>101</v>
      </c>
      <c r="B85" s="109" t="s">
        <v>1097</v>
      </c>
      <c r="C85" s="479" t="s">
        <v>316</v>
      </c>
      <c r="D85" s="480">
        <v>99</v>
      </c>
      <c r="E85" s="480">
        <v>27</v>
      </c>
      <c r="F85" s="482">
        <f t="shared" ref="F85" si="12">SUM(D85:E85)</f>
        <v>126</v>
      </c>
      <c r="G85" s="481">
        <f t="shared" ref="G85" si="13">F85</f>
        <v>126</v>
      </c>
      <c r="H85" s="480"/>
      <c r="I85" s="802"/>
    </row>
    <row r="86" spans="1:9" s="83" customFormat="1" ht="24" customHeight="1" x14ac:dyDescent="0.2">
      <c r="A86" s="130" t="s">
        <v>311</v>
      </c>
      <c r="B86" s="109" t="s">
        <v>1105</v>
      </c>
      <c r="C86" s="479" t="s">
        <v>316</v>
      </c>
      <c r="D86" s="480">
        <v>0</v>
      </c>
      <c r="E86" s="480">
        <v>0</v>
      </c>
      <c r="F86" s="482">
        <f>SUM(D86:E86)</f>
        <v>0</v>
      </c>
      <c r="G86" s="481"/>
      <c r="H86" s="480">
        <f>F86</f>
        <v>0</v>
      </c>
      <c r="I86" s="802"/>
    </row>
    <row r="87" spans="1:9" s="83" customFormat="1" ht="13.5" customHeight="1" thickBot="1" x14ac:dyDescent="0.25">
      <c r="A87" s="489"/>
      <c r="B87" s="485"/>
      <c r="C87" s="91"/>
      <c r="D87" s="90"/>
      <c r="E87" s="90"/>
      <c r="F87" s="90"/>
      <c r="G87" s="86"/>
      <c r="H87" s="90"/>
      <c r="I87" s="604"/>
    </row>
    <row r="88" spans="1:9" s="83" customFormat="1" ht="12.75" customHeight="1" thickBot="1" x14ac:dyDescent="0.25">
      <c r="A88" s="486"/>
      <c r="B88" s="483" t="s">
        <v>179</v>
      </c>
      <c r="C88" s="153"/>
      <c r="D88" s="153">
        <f>SUM(D83:D87)</f>
        <v>6799</v>
      </c>
      <c r="E88" s="153">
        <f>SUM(E83:E87)</f>
        <v>1459</v>
      </c>
      <c r="F88" s="153">
        <f>SUM(F83:F87)</f>
        <v>8258</v>
      </c>
      <c r="G88" s="153">
        <f>SUM(G83:G87)</f>
        <v>126</v>
      </c>
      <c r="H88" s="153">
        <f>SUM(H83:H87)</f>
        <v>8132</v>
      </c>
      <c r="I88" s="604"/>
    </row>
    <row r="89" spans="1:9" s="83" customFormat="1" ht="12.75" customHeight="1" x14ac:dyDescent="0.2">
      <c r="A89" s="130"/>
      <c r="B89" s="89"/>
      <c r="C89" s="91"/>
      <c r="D89" s="91"/>
      <c r="E89" s="91"/>
      <c r="F89" s="91"/>
      <c r="G89" s="86"/>
      <c r="H89" s="128"/>
      <c r="I89" s="604"/>
    </row>
    <row r="90" spans="1:9" s="83" customFormat="1" ht="24" customHeight="1" x14ac:dyDescent="0.2">
      <c r="A90" s="326" t="s">
        <v>91</v>
      </c>
      <c r="B90" s="89" t="s">
        <v>73</v>
      </c>
      <c r="C90" s="91"/>
      <c r="D90" s="91"/>
      <c r="E90" s="91"/>
      <c r="F90" s="91"/>
      <c r="G90" s="86"/>
      <c r="H90" s="128"/>
      <c r="I90" s="604"/>
    </row>
    <row r="91" spans="1:9" s="83" customFormat="1" ht="16.5" customHeight="1" x14ac:dyDescent="0.2">
      <c r="A91" s="130" t="s">
        <v>493</v>
      </c>
      <c r="B91" s="109" t="s">
        <v>1246</v>
      </c>
      <c r="C91" s="479"/>
      <c r="D91" s="480">
        <v>3238</v>
      </c>
      <c r="E91" s="480"/>
      <c r="F91" s="482">
        <f>D91+E91</f>
        <v>3238</v>
      </c>
      <c r="G91" s="481"/>
      <c r="H91" s="800">
        <f>F91</f>
        <v>3238</v>
      </c>
      <c r="I91" s="604"/>
    </row>
    <row r="92" spans="1:9" s="83" customFormat="1" ht="26.25" customHeight="1" x14ac:dyDescent="0.2">
      <c r="A92" s="130" t="s">
        <v>501</v>
      </c>
      <c r="B92" s="109" t="s">
        <v>1306</v>
      </c>
      <c r="C92" s="479"/>
      <c r="D92" s="480">
        <v>196570</v>
      </c>
      <c r="E92" s="480"/>
      <c r="F92" s="482">
        <v>196570</v>
      </c>
      <c r="G92" s="481">
        <f>F92</f>
        <v>196570</v>
      </c>
      <c r="H92" s="800"/>
      <c r="I92" s="604"/>
    </row>
    <row r="93" spans="1:9" s="83" customFormat="1" ht="24" customHeight="1" x14ac:dyDescent="0.2">
      <c r="A93" s="130" t="s">
        <v>502</v>
      </c>
      <c r="B93" s="968" t="s">
        <v>1305</v>
      </c>
      <c r="C93" s="479"/>
      <c r="D93" s="480">
        <v>228881</v>
      </c>
      <c r="E93" s="480"/>
      <c r="F93" s="482">
        <f>D93</f>
        <v>228881</v>
      </c>
      <c r="G93" s="481">
        <f>F93</f>
        <v>228881</v>
      </c>
      <c r="H93" s="800"/>
      <c r="I93" s="604"/>
    </row>
    <row r="94" spans="1:9" s="83" customFormat="1" ht="34.5" customHeight="1" x14ac:dyDescent="0.2">
      <c r="A94" s="130" t="s">
        <v>503</v>
      </c>
      <c r="B94" s="968" t="s">
        <v>1333</v>
      </c>
      <c r="C94" s="479"/>
      <c r="D94" s="480">
        <v>179360</v>
      </c>
      <c r="E94" s="480"/>
      <c r="F94" s="482">
        <f>D94</f>
        <v>179360</v>
      </c>
      <c r="G94" s="481">
        <f>F94</f>
        <v>179360</v>
      </c>
      <c r="H94" s="800"/>
      <c r="I94" s="604"/>
    </row>
    <row r="95" spans="1:9" s="83" customFormat="1" ht="13.5" customHeight="1" thickBot="1" x14ac:dyDescent="0.25">
      <c r="A95" s="130"/>
      <c r="B95" s="92"/>
      <c r="C95" s="90"/>
      <c r="D95" s="91"/>
      <c r="E95" s="91"/>
      <c r="F95" s="90"/>
      <c r="G95" s="86"/>
      <c r="H95" s="128"/>
      <c r="I95" s="604"/>
    </row>
    <row r="96" spans="1:9" s="83" customFormat="1" ht="22.5" customHeight="1" thickBot="1" x14ac:dyDescent="0.25">
      <c r="A96" s="486"/>
      <c r="B96" s="487" t="s">
        <v>517</v>
      </c>
      <c r="C96" s="494"/>
      <c r="D96" s="94">
        <f>SUM(D91:D94)</f>
        <v>608049</v>
      </c>
      <c r="E96" s="94">
        <f t="shared" ref="E96:H96" si="14">SUM(E91:E94)</f>
        <v>0</v>
      </c>
      <c r="F96" s="94">
        <f t="shared" si="14"/>
        <v>608049</v>
      </c>
      <c r="G96" s="94">
        <f t="shared" si="14"/>
        <v>604811</v>
      </c>
      <c r="H96" s="94">
        <f t="shared" si="14"/>
        <v>3238</v>
      </c>
      <c r="I96" s="604"/>
    </row>
    <row r="97" spans="1:20" s="83" customFormat="1" ht="12.75" customHeight="1" x14ac:dyDescent="0.2">
      <c r="A97" s="130"/>
      <c r="B97" s="110"/>
      <c r="C97" s="90"/>
      <c r="D97" s="91"/>
      <c r="E97" s="91"/>
      <c r="F97" s="91"/>
      <c r="G97" s="86"/>
      <c r="H97" s="128"/>
      <c r="I97" s="604"/>
    </row>
    <row r="98" spans="1:20" s="83" customFormat="1" ht="12" customHeight="1" x14ac:dyDescent="0.2">
      <c r="A98" s="130"/>
      <c r="B98" s="109"/>
      <c r="C98" s="90"/>
      <c r="D98" s="90"/>
      <c r="E98" s="90"/>
      <c r="F98" s="91"/>
      <c r="G98" s="86"/>
      <c r="H98" s="128"/>
      <c r="I98" s="604"/>
    </row>
    <row r="99" spans="1:20" s="83" customFormat="1" ht="12.75" customHeight="1" x14ac:dyDescent="0.2">
      <c r="A99" s="326" t="s">
        <v>92</v>
      </c>
      <c r="B99" s="89" t="s">
        <v>309</v>
      </c>
      <c r="C99" s="90"/>
      <c r="D99" s="90"/>
      <c r="E99" s="90"/>
      <c r="F99" s="91"/>
      <c r="G99" s="86"/>
      <c r="H99" s="128"/>
      <c r="I99" s="604"/>
    </row>
    <row r="100" spans="1:20" s="111" customFormat="1" ht="13.5" customHeight="1" x14ac:dyDescent="0.2">
      <c r="A100" s="130" t="s">
        <v>493</v>
      </c>
      <c r="B100" s="109" t="s">
        <v>74</v>
      </c>
      <c r="C100" s="90"/>
      <c r="D100" s="90">
        <v>45182</v>
      </c>
      <c r="E100" s="90"/>
      <c r="F100" s="91">
        <f>SUM(D100:E100)</f>
        <v>45182</v>
      </c>
      <c r="G100" s="85">
        <f>F100</f>
        <v>45182</v>
      </c>
      <c r="H100" s="90"/>
      <c r="I100" s="605"/>
    </row>
    <row r="101" spans="1:20" s="111" customFormat="1" ht="13.5" customHeight="1" x14ac:dyDescent="0.2">
      <c r="A101" s="130" t="s">
        <v>501</v>
      </c>
      <c r="B101" s="109" t="s">
        <v>1013</v>
      </c>
      <c r="C101" s="90"/>
      <c r="D101" s="90">
        <v>3670</v>
      </c>
      <c r="E101" s="90"/>
      <c r="F101" s="91">
        <f>SUM(D101:E101)</f>
        <v>3670</v>
      </c>
      <c r="G101" s="85">
        <f>F101</f>
        <v>3670</v>
      </c>
      <c r="H101" s="90"/>
      <c r="I101" s="605"/>
      <c r="T101" s="1072"/>
    </row>
    <row r="102" spans="1:20" s="111" customFormat="1" ht="24.75" customHeight="1" x14ac:dyDescent="0.2">
      <c r="A102" s="130" t="s">
        <v>502</v>
      </c>
      <c r="B102" s="814" t="s">
        <v>1195</v>
      </c>
      <c r="C102" s="800"/>
      <c r="D102" s="800">
        <v>16000</v>
      </c>
      <c r="E102" s="800"/>
      <c r="F102" s="801">
        <f>D102+E102</f>
        <v>16000</v>
      </c>
      <c r="G102" s="481"/>
      <c r="H102" s="800">
        <f>F102</f>
        <v>16000</v>
      </c>
      <c r="I102" s="605"/>
    </row>
    <row r="103" spans="1:20" s="111" customFormat="1" ht="12.75" customHeight="1" x14ac:dyDescent="0.2">
      <c r="A103" s="130" t="s">
        <v>503</v>
      </c>
      <c r="B103" s="814" t="s">
        <v>294</v>
      </c>
      <c r="C103" s="800"/>
      <c r="D103" s="800">
        <v>15000</v>
      </c>
      <c r="E103" s="800"/>
      <c r="F103" s="801">
        <f>D103+E103</f>
        <v>15000</v>
      </c>
      <c r="G103" s="481"/>
      <c r="H103" s="800">
        <f>F103</f>
        <v>15000</v>
      </c>
      <c r="I103" s="605"/>
    </row>
    <row r="104" spans="1:20" s="111" customFormat="1" ht="12.75" customHeight="1" x14ac:dyDescent="0.2">
      <c r="A104" s="130" t="s">
        <v>504</v>
      </c>
      <c r="B104" s="814" t="s">
        <v>1103</v>
      </c>
      <c r="C104" s="800"/>
      <c r="D104" s="800">
        <v>1520</v>
      </c>
      <c r="E104" s="800"/>
      <c r="F104" s="801">
        <f>D104+E104</f>
        <v>1520</v>
      </c>
      <c r="G104" s="481"/>
      <c r="H104" s="800">
        <f>F104</f>
        <v>1520</v>
      </c>
      <c r="I104" s="605"/>
    </row>
    <row r="105" spans="1:20" s="111" customFormat="1" ht="12.75" customHeight="1" x14ac:dyDescent="0.2">
      <c r="A105" s="130" t="s">
        <v>505</v>
      </c>
      <c r="B105" s="814" t="s">
        <v>1196</v>
      </c>
      <c r="C105" s="800"/>
      <c r="D105" s="800">
        <v>0</v>
      </c>
      <c r="E105" s="800"/>
      <c r="F105" s="801">
        <f>D105+E105</f>
        <v>0</v>
      </c>
      <c r="G105" s="481"/>
      <c r="H105" s="800">
        <f>F105</f>
        <v>0</v>
      </c>
      <c r="I105" s="605"/>
    </row>
    <row r="106" spans="1:20" s="111" customFormat="1" ht="12.75" customHeight="1" x14ac:dyDescent="0.2">
      <c r="A106" s="130" t="s">
        <v>506</v>
      </c>
      <c r="B106" s="814" t="s">
        <v>1307</v>
      </c>
      <c r="C106" s="800"/>
      <c r="D106" s="800">
        <v>88</v>
      </c>
      <c r="E106" s="800"/>
      <c r="F106" s="801">
        <f>D106+E106</f>
        <v>88</v>
      </c>
      <c r="G106" s="481">
        <f>F106</f>
        <v>88</v>
      </c>
      <c r="H106" s="800"/>
      <c r="I106" s="605"/>
    </row>
    <row r="107" spans="1:20" s="111" customFormat="1" ht="12" customHeight="1" thickBot="1" x14ac:dyDescent="0.25">
      <c r="A107" s="130"/>
      <c r="B107" s="814"/>
      <c r="C107" s="800"/>
      <c r="D107" s="800"/>
      <c r="E107" s="800"/>
      <c r="F107" s="801"/>
      <c r="G107" s="481"/>
      <c r="H107" s="800"/>
      <c r="I107" s="605"/>
    </row>
    <row r="108" spans="1:20" s="83" customFormat="1" ht="13.5" customHeight="1" thickBot="1" x14ac:dyDescent="0.25">
      <c r="A108" s="486"/>
      <c r="B108" s="108" t="s">
        <v>518</v>
      </c>
      <c r="C108" s="94"/>
      <c r="D108" s="94">
        <f>SUM(D100:D107)</f>
        <v>81460</v>
      </c>
      <c r="E108" s="94">
        <f t="shared" ref="E108:H108" si="15">SUM(E100:E107)</f>
        <v>0</v>
      </c>
      <c r="F108" s="94">
        <f t="shared" si="15"/>
        <v>81460</v>
      </c>
      <c r="G108" s="94">
        <f t="shared" si="15"/>
        <v>48940</v>
      </c>
      <c r="H108" s="94">
        <f t="shared" si="15"/>
        <v>32520</v>
      </c>
      <c r="I108" s="604"/>
    </row>
    <row r="109" spans="1:20" s="83" customFormat="1" ht="12.75" customHeight="1" x14ac:dyDescent="0.2">
      <c r="A109" s="130"/>
      <c r="B109" s="89"/>
      <c r="C109" s="90"/>
      <c r="D109" s="90"/>
      <c r="E109" s="90"/>
      <c r="F109" s="91"/>
      <c r="G109" s="86"/>
      <c r="H109" s="128"/>
      <c r="I109" s="604"/>
    </row>
    <row r="110" spans="1:20" ht="12.75" customHeight="1" x14ac:dyDescent="0.2">
      <c r="A110" s="326" t="s">
        <v>522</v>
      </c>
      <c r="B110" s="89" t="s">
        <v>1108</v>
      </c>
      <c r="C110" s="90"/>
      <c r="D110" s="90"/>
      <c r="E110" s="90"/>
      <c r="F110" s="91"/>
      <c r="H110" s="618"/>
      <c r="I110" s="601"/>
    </row>
    <row r="111" spans="1:20" s="111" customFormat="1" ht="21.75" customHeight="1" x14ac:dyDescent="0.2">
      <c r="A111" s="130" t="s">
        <v>512</v>
      </c>
      <c r="B111" s="109" t="s">
        <v>519</v>
      </c>
      <c r="C111" s="90"/>
      <c r="D111" s="90">
        <v>0</v>
      </c>
      <c r="E111" s="90"/>
      <c r="F111" s="91">
        <f>SUM(D111:E111)</f>
        <v>0</v>
      </c>
      <c r="G111" s="152"/>
      <c r="H111" s="90">
        <f>F111</f>
        <v>0</v>
      </c>
      <c r="I111" s="605"/>
    </row>
    <row r="112" spans="1:20" s="111" customFormat="1" ht="21.75" customHeight="1" x14ac:dyDescent="0.2">
      <c r="A112" s="130" t="s">
        <v>689</v>
      </c>
      <c r="B112" s="109" t="s">
        <v>520</v>
      </c>
      <c r="C112" s="90"/>
      <c r="D112" s="90">
        <v>0</v>
      </c>
      <c r="E112" s="90"/>
      <c r="F112" s="91">
        <f>SUM(D112:E112)</f>
        <v>0</v>
      </c>
      <c r="G112" s="152"/>
      <c r="H112" s="90">
        <f>F112</f>
        <v>0</v>
      </c>
      <c r="I112" s="605"/>
      <c r="M112" s="1072"/>
    </row>
    <row r="113" spans="1:19" s="111" customFormat="1" ht="21.75" customHeight="1" x14ac:dyDescent="0.2">
      <c r="A113" s="130" t="s">
        <v>101</v>
      </c>
      <c r="B113" s="109" t="s">
        <v>1308</v>
      </c>
      <c r="C113" s="480"/>
      <c r="D113" s="480">
        <v>6000</v>
      </c>
      <c r="E113" s="480"/>
      <c r="F113" s="482">
        <f>D113</f>
        <v>6000</v>
      </c>
      <c r="G113" s="1153"/>
      <c r="H113" s="480">
        <f>F113</f>
        <v>6000</v>
      </c>
      <c r="I113" s="605"/>
      <c r="M113" s="1072"/>
    </row>
    <row r="114" spans="1:19" s="111" customFormat="1" ht="12" customHeight="1" thickBot="1" x14ac:dyDescent="0.25">
      <c r="A114" s="130"/>
      <c r="B114" s="109"/>
      <c r="C114" s="90"/>
      <c r="D114" s="90"/>
      <c r="E114" s="90"/>
      <c r="F114" s="91"/>
      <c r="G114" s="152"/>
      <c r="H114" s="90"/>
      <c r="I114" s="605"/>
    </row>
    <row r="115" spans="1:19" s="83" customFormat="1" ht="21.75" customHeight="1" thickBot="1" x14ac:dyDescent="0.25">
      <c r="A115" s="486"/>
      <c r="B115" s="108" t="s">
        <v>521</v>
      </c>
      <c r="C115" s="516"/>
      <c r="D115" s="516">
        <f>SUM(D111:D113)</f>
        <v>6000</v>
      </c>
      <c r="E115" s="516">
        <f t="shared" ref="E115:H115" si="16">SUM(E111:E113)</f>
        <v>0</v>
      </c>
      <c r="F115" s="516">
        <f t="shared" si="16"/>
        <v>6000</v>
      </c>
      <c r="G115" s="516">
        <f t="shared" si="16"/>
        <v>0</v>
      </c>
      <c r="H115" s="516">
        <f t="shared" si="16"/>
        <v>6000</v>
      </c>
      <c r="I115" s="604"/>
    </row>
    <row r="116" spans="1:19" s="83" customFormat="1" ht="13.5" customHeight="1" x14ac:dyDescent="0.2">
      <c r="A116" s="130"/>
      <c r="B116" s="89"/>
      <c r="C116" s="91"/>
      <c r="D116" s="91"/>
      <c r="E116" s="91"/>
      <c r="F116" s="91"/>
      <c r="G116" s="91"/>
      <c r="H116" s="91"/>
      <c r="I116" s="604"/>
    </row>
    <row r="117" spans="1:19" s="83" customFormat="1" ht="13.5" customHeight="1" thickBot="1" x14ac:dyDescent="0.25">
      <c r="A117" s="489"/>
      <c r="B117" s="484"/>
      <c r="C117" s="492"/>
      <c r="D117" s="492"/>
      <c r="E117" s="492"/>
      <c r="F117" s="492"/>
      <c r="G117" s="493"/>
      <c r="H117" s="493"/>
      <c r="I117" s="604"/>
    </row>
    <row r="118" spans="1:19" s="83" customFormat="1" ht="13.5" customHeight="1" thickBot="1" x14ac:dyDescent="0.25">
      <c r="A118" s="486"/>
      <c r="B118" s="483" t="s">
        <v>180</v>
      </c>
      <c r="C118" s="153"/>
      <c r="D118" s="153">
        <f>D20+D27+D62+D74+D79+D88+D96+D108+D115</f>
        <v>2112058</v>
      </c>
      <c r="E118" s="153">
        <f>E20+E27+E62+E74+E79+E88+E96+E108+E115</f>
        <v>199909</v>
      </c>
      <c r="F118" s="153">
        <f>F20+F27+F62+F74+F79+F88+F96+F108+F115</f>
        <v>2311967</v>
      </c>
      <c r="G118" s="153">
        <f>G20+G27+G62+G74+G79+G88+G96+G108+G115</f>
        <v>2127918</v>
      </c>
      <c r="H118" s="803">
        <f>H20+H27+H62+H74+H79+H88+H96+H108+H115</f>
        <v>184049</v>
      </c>
      <c r="I118" s="616"/>
    </row>
    <row r="119" spans="1:19" s="83" customFormat="1" ht="13.5" customHeight="1" x14ac:dyDescent="0.2">
      <c r="A119" s="130"/>
      <c r="B119" s="89"/>
      <c r="C119" s="91"/>
      <c r="D119" s="91"/>
      <c r="E119" s="91"/>
      <c r="F119" s="91"/>
      <c r="G119" s="128"/>
      <c r="H119" s="128"/>
      <c r="I119" s="604"/>
    </row>
    <row r="120" spans="1:19" s="112" customFormat="1" ht="13.5" customHeight="1" x14ac:dyDescent="0.15">
      <c r="A120" s="130"/>
      <c r="B120" s="89"/>
      <c r="C120" s="91"/>
      <c r="D120" s="91"/>
      <c r="E120" s="91"/>
      <c r="F120" s="91"/>
      <c r="G120" s="107"/>
      <c r="H120" s="107"/>
      <c r="I120" s="606"/>
    </row>
    <row r="121" spans="1:19" s="112" customFormat="1" ht="15.75" customHeight="1" x14ac:dyDescent="0.15">
      <c r="A121" s="326" t="s">
        <v>525</v>
      </c>
      <c r="B121" s="89" t="s">
        <v>523</v>
      </c>
      <c r="C121" s="91"/>
      <c r="D121" s="91"/>
      <c r="E121" s="91"/>
      <c r="F121" s="91"/>
      <c r="G121" s="107"/>
      <c r="H121" s="107"/>
      <c r="I121" s="606"/>
    </row>
    <row r="122" spans="1:19" s="923" customFormat="1" ht="21.75" customHeight="1" x14ac:dyDescent="0.2">
      <c r="A122" s="130" t="s">
        <v>493</v>
      </c>
      <c r="B122" s="109" t="s">
        <v>1171</v>
      </c>
      <c r="C122" s="480" t="s">
        <v>316</v>
      </c>
      <c r="D122" s="800">
        <v>1342</v>
      </c>
      <c r="E122" s="800">
        <v>513</v>
      </c>
      <c r="F122" s="801">
        <f>SUM(D122:E122)</f>
        <v>1855</v>
      </c>
      <c r="G122" s="481">
        <f>F122</f>
        <v>1855</v>
      </c>
      <c r="H122" s="800"/>
      <c r="I122" s="922"/>
    </row>
    <row r="123" spans="1:19" s="112" customFormat="1" ht="21.75" customHeight="1" x14ac:dyDescent="0.2">
      <c r="A123" s="130" t="s">
        <v>501</v>
      </c>
      <c r="B123" s="109" t="s">
        <v>1014</v>
      </c>
      <c r="C123" s="480" t="s">
        <v>316</v>
      </c>
      <c r="D123" s="480">
        <v>2887</v>
      </c>
      <c r="E123" s="480">
        <v>298</v>
      </c>
      <c r="F123" s="482">
        <f>SUM(D123:E123)</f>
        <v>3185</v>
      </c>
      <c r="G123" s="515"/>
      <c r="H123" s="128">
        <f>F123</f>
        <v>3185</v>
      </c>
      <c r="I123" s="606"/>
      <c r="S123" s="629"/>
    </row>
    <row r="124" spans="1:19" s="112" customFormat="1" ht="22.15" customHeight="1" x14ac:dyDescent="0.15">
      <c r="A124" s="130" t="s">
        <v>502</v>
      </c>
      <c r="B124" s="109" t="s">
        <v>1089</v>
      </c>
      <c r="C124" s="480" t="s">
        <v>316</v>
      </c>
      <c r="D124" s="480">
        <v>1000</v>
      </c>
      <c r="E124" s="480">
        <f>D124*0.27</f>
        <v>270</v>
      </c>
      <c r="F124" s="482">
        <f>SUM(D124:E124)</f>
        <v>1270</v>
      </c>
      <c r="G124" s="481">
        <v>1270</v>
      </c>
      <c r="H124" s="800"/>
      <c r="I124" s="606"/>
    </row>
    <row r="125" spans="1:19" s="112" customFormat="1" ht="12.75" customHeight="1" thickBot="1" x14ac:dyDescent="0.2">
      <c r="A125" s="489"/>
      <c r="B125" s="109"/>
      <c r="C125" s="480"/>
      <c r="D125" s="480"/>
      <c r="E125" s="480"/>
      <c r="F125" s="482"/>
      <c r="G125" s="481"/>
      <c r="H125" s="800"/>
      <c r="I125" s="606"/>
    </row>
    <row r="126" spans="1:19" s="112" customFormat="1" ht="21.75" customHeight="1" thickBot="1" x14ac:dyDescent="0.2">
      <c r="A126" s="486"/>
      <c r="B126" s="108" t="s">
        <v>524</v>
      </c>
      <c r="C126" s="94"/>
      <c r="D126" s="1048">
        <f>SUM(D122:D124)</f>
        <v>5229</v>
      </c>
      <c r="E126" s="1048">
        <f t="shared" ref="E126:F126" si="17">SUM(E122:E124)</f>
        <v>1081</v>
      </c>
      <c r="F126" s="1048">
        <f t="shared" si="17"/>
        <v>6310</v>
      </c>
      <c r="G126" s="1048">
        <f t="shared" ref="G126" si="18">SUM(G122:G124)</f>
        <v>3125</v>
      </c>
      <c r="H126" s="1048">
        <f t="shared" ref="H126" si="19">SUM(H122:H124)</f>
        <v>3185</v>
      </c>
      <c r="I126" s="606"/>
    </row>
    <row r="127" spans="1:19" s="112" customFormat="1" ht="13.5" customHeight="1" x14ac:dyDescent="0.15">
      <c r="A127" s="130"/>
      <c r="B127" s="89"/>
      <c r="C127" s="91"/>
      <c r="D127" s="91"/>
      <c r="E127" s="91"/>
      <c r="F127" s="91"/>
      <c r="G127" s="99"/>
      <c r="H127" s="107"/>
      <c r="I127" s="606"/>
    </row>
    <row r="128" spans="1:19" s="112" customFormat="1" ht="13.5" customHeight="1" x14ac:dyDescent="0.15">
      <c r="A128" s="326" t="s">
        <v>181</v>
      </c>
      <c r="B128" s="89" t="s">
        <v>76</v>
      </c>
      <c r="C128" s="91"/>
      <c r="D128" s="91"/>
      <c r="E128" s="91"/>
      <c r="F128" s="91"/>
      <c r="G128" s="99"/>
      <c r="H128" s="107"/>
      <c r="I128" s="606"/>
    </row>
    <row r="129" spans="1:9" s="83" customFormat="1" ht="21.75" customHeight="1" x14ac:dyDescent="0.2">
      <c r="A129" s="130" t="s">
        <v>493</v>
      </c>
      <c r="B129" s="109" t="s">
        <v>318</v>
      </c>
      <c r="C129" s="480" t="s">
        <v>319</v>
      </c>
      <c r="D129" s="480">
        <v>5625</v>
      </c>
      <c r="E129" s="480">
        <v>1519</v>
      </c>
      <c r="F129" s="482">
        <f>SUM(D129:E129)</f>
        <v>7144</v>
      </c>
      <c r="G129" s="481">
        <f>F129</f>
        <v>7144</v>
      </c>
      <c r="H129" s="800"/>
      <c r="I129" s="604"/>
    </row>
    <row r="130" spans="1:9" s="83" customFormat="1" ht="12.75" customHeight="1" thickBot="1" x14ac:dyDescent="0.25">
      <c r="A130" s="130"/>
      <c r="B130" s="109"/>
      <c r="C130" s="480"/>
      <c r="D130" s="480"/>
      <c r="E130" s="480"/>
      <c r="F130" s="482"/>
      <c r="G130" s="481"/>
      <c r="H130" s="800"/>
      <c r="I130" s="604"/>
    </row>
    <row r="131" spans="1:9" s="83" customFormat="1" ht="21.75" customHeight="1" thickBot="1" x14ac:dyDescent="0.25">
      <c r="A131" s="486"/>
      <c r="B131" s="483" t="s">
        <v>75</v>
      </c>
      <c r="C131" s="851"/>
      <c r="D131" s="851">
        <f>SUM(D129:D130)</f>
        <v>5625</v>
      </c>
      <c r="E131" s="851">
        <f>SUM(E129:E130)</f>
        <v>1519</v>
      </c>
      <c r="F131" s="851">
        <f>SUM(F129:F130)</f>
        <v>7144</v>
      </c>
      <c r="G131" s="851">
        <f>SUM(G129:G130)</f>
        <v>7144</v>
      </c>
      <c r="H131" s="851">
        <f>SUM(H129:H130)</f>
        <v>0</v>
      </c>
      <c r="I131" s="604"/>
    </row>
    <row r="132" spans="1:9" s="83" customFormat="1" ht="13.5" customHeight="1" x14ac:dyDescent="0.2">
      <c r="A132" s="130"/>
      <c r="B132" s="109"/>
      <c r="C132" s="90"/>
      <c r="D132" s="90"/>
      <c r="E132" s="90"/>
      <c r="F132" s="90"/>
      <c r="G132" s="86"/>
      <c r="H132" s="128"/>
      <c r="I132" s="604"/>
    </row>
    <row r="133" spans="1:9" s="112" customFormat="1" ht="26.45" customHeight="1" x14ac:dyDescent="0.2">
      <c r="A133" s="130"/>
      <c r="B133" s="89" t="s">
        <v>981</v>
      </c>
      <c r="C133" s="91"/>
      <c r="D133" s="90"/>
      <c r="E133" s="90"/>
      <c r="F133" s="91"/>
      <c r="G133" s="99"/>
      <c r="H133" s="107"/>
      <c r="I133" s="606"/>
    </row>
    <row r="134" spans="1:9" s="112" customFormat="1" ht="33" customHeight="1" x14ac:dyDescent="0.15">
      <c r="A134" s="130" t="s">
        <v>493</v>
      </c>
      <c r="B134" s="804" t="s">
        <v>1075</v>
      </c>
      <c r="C134" s="480" t="s">
        <v>316</v>
      </c>
      <c r="D134" s="800">
        <v>3301</v>
      </c>
      <c r="E134" s="800">
        <v>515</v>
      </c>
      <c r="F134" s="801">
        <f>SUM(D134:E134)</f>
        <v>3816</v>
      </c>
      <c r="G134" s="515"/>
      <c r="H134" s="800">
        <f>F134</f>
        <v>3816</v>
      </c>
      <c r="I134" s="606"/>
    </row>
    <row r="135" spans="1:9" s="112" customFormat="1" ht="19.5" customHeight="1" x14ac:dyDescent="0.15">
      <c r="A135" s="130" t="s">
        <v>501</v>
      </c>
      <c r="B135" s="804" t="s">
        <v>1197</v>
      </c>
      <c r="C135" s="480" t="s">
        <v>316</v>
      </c>
      <c r="D135" s="800">
        <v>2732</v>
      </c>
      <c r="E135" s="800">
        <v>738</v>
      </c>
      <c r="F135" s="801">
        <f>SUM(D135:E135)</f>
        <v>3470</v>
      </c>
      <c r="G135" s="515"/>
      <c r="H135" s="800">
        <f>F135</f>
        <v>3470</v>
      </c>
      <c r="I135" s="606"/>
    </row>
    <row r="136" spans="1:9" s="112" customFormat="1" ht="19.5" customHeight="1" x14ac:dyDescent="0.15">
      <c r="A136" s="130" t="s">
        <v>502</v>
      </c>
      <c r="B136" s="804" t="s">
        <v>1247</v>
      </c>
      <c r="C136" s="480" t="s">
        <v>316</v>
      </c>
      <c r="D136" s="800">
        <v>2310</v>
      </c>
      <c r="E136" s="800">
        <v>624</v>
      </c>
      <c r="F136" s="801">
        <f>SUM(D136:E136)</f>
        <v>2934</v>
      </c>
      <c r="G136" s="515"/>
      <c r="H136" s="800">
        <f>F136</f>
        <v>2934</v>
      </c>
      <c r="I136" s="606"/>
    </row>
    <row r="137" spans="1:9" s="112" customFormat="1" ht="21.75" customHeight="1" x14ac:dyDescent="0.15">
      <c r="A137" s="130" t="s">
        <v>503</v>
      </c>
      <c r="B137" s="804" t="s">
        <v>1248</v>
      </c>
      <c r="C137" s="480" t="s">
        <v>316</v>
      </c>
      <c r="D137" s="800">
        <v>276</v>
      </c>
      <c r="E137" s="800">
        <v>74</v>
      </c>
      <c r="F137" s="801">
        <f>D137+E137</f>
        <v>350</v>
      </c>
      <c r="G137" s="515"/>
      <c r="H137" s="800">
        <f>F137</f>
        <v>350</v>
      </c>
      <c r="I137" s="606"/>
    </row>
    <row r="138" spans="1:9" s="112" customFormat="1" ht="12" customHeight="1" thickBot="1" x14ac:dyDescent="0.25">
      <c r="A138" s="130"/>
      <c r="B138" s="742"/>
      <c r="C138" s="739"/>
      <c r="D138" s="128"/>
      <c r="E138" s="128"/>
      <c r="F138" s="128"/>
      <c r="G138" s="99"/>
      <c r="H138" s="128"/>
      <c r="I138" s="606"/>
    </row>
    <row r="139" spans="1:9" s="112" customFormat="1" ht="21.75" customHeight="1" thickBot="1" x14ac:dyDescent="0.2">
      <c r="A139" s="490"/>
      <c r="B139" s="488" t="s">
        <v>980</v>
      </c>
      <c r="C139" s="850"/>
      <c r="D139" s="851">
        <f>SUM(D134:D138)</f>
        <v>8619</v>
      </c>
      <c r="E139" s="851">
        <f>SUM(E134:E138)</f>
        <v>1951</v>
      </c>
      <c r="F139" s="851">
        <f>SUM(F134:F138)</f>
        <v>10570</v>
      </c>
      <c r="G139" s="851">
        <f>SUM(G134:G138)</f>
        <v>0</v>
      </c>
      <c r="H139" s="851">
        <f>SUM(H134:H138)</f>
        <v>10570</v>
      </c>
      <c r="I139" s="606"/>
    </row>
    <row r="140" spans="1:9" s="112" customFormat="1" ht="13.5" customHeight="1" x14ac:dyDescent="0.15">
      <c r="A140" s="326"/>
      <c r="B140" s="89"/>
      <c r="C140" s="91"/>
      <c r="D140" s="91"/>
      <c r="E140" s="91"/>
      <c r="F140" s="91"/>
      <c r="G140" s="91"/>
      <c r="H140" s="91"/>
      <c r="I140" s="606"/>
    </row>
    <row r="141" spans="1:9" s="112" customFormat="1" ht="13.5" customHeight="1" x14ac:dyDescent="0.15">
      <c r="A141" s="326"/>
      <c r="B141" s="89" t="s">
        <v>717</v>
      </c>
      <c r="C141" s="91"/>
      <c r="D141" s="91"/>
      <c r="E141" s="91"/>
      <c r="F141" s="91"/>
      <c r="G141" s="91"/>
      <c r="H141" s="91"/>
      <c r="I141" s="606"/>
    </row>
    <row r="142" spans="1:9" s="923" customFormat="1" ht="26.25" customHeight="1" x14ac:dyDescent="0.2">
      <c r="A142" s="130" t="s">
        <v>493</v>
      </c>
      <c r="B142" s="804" t="s">
        <v>1107</v>
      </c>
      <c r="C142" s="480" t="s">
        <v>316</v>
      </c>
      <c r="D142" s="800">
        <v>0</v>
      </c>
      <c r="E142" s="800">
        <v>0</v>
      </c>
      <c r="F142" s="801">
        <f>SUM(D142:E142)</f>
        <v>0</v>
      </c>
      <c r="G142" s="800">
        <f>F142</f>
        <v>0</v>
      </c>
      <c r="H142" s="482"/>
      <c r="I142" s="922"/>
    </row>
    <row r="143" spans="1:9" s="923" customFormat="1" ht="21.75" customHeight="1" x14ac:dyDescent="0.2">
      <c r="A143" s="130" t="s">
        <v>501</v>
      </c>
      <c r="B143" s="109" t="s">
        <v>1074</v>
      </c>
      <c r="C143" s="480" t="s">
        <v>316</v>
      </c>
      <c r="D143" s="480">
        <v>3893</v>
      </c>
      <c r="E143" s="480">
        <v>1044</v>
      </c>
      <c r="F143" s="482">
        <f>SUM(D143:E143)</f>
        <v>4937</v>
      </c>
      <c r="G143" s="480">
        <v>0</v>
      </c>
      <c r="H143" s="480">
        <f>F143</f>
        <v>4937</v>
      </c>
      <c r="I143" s="922"/>
    </row>
    <row r="144" spans="1:9" s="923" customFormat="1" ht="21.75" customHeight="1" x14ac:dyDescent="0.2">
      <c r="A144" s="130" t="s">
        <v>502</v>
      </c>
      <c r="B144" s="109" t="s">
        <v>1106</v>
      </c>
      <c r="C144" s="480" t="s">
        <v>316</v>
      </c>
      <c r="D144" s="480">
        <v>536</v>
      </c>
      <c r="E144" s="480">
        <v>129</v>
      </c>
      <c r="F144" s="482">
        <f>SUM(D144:E144)</f>
        <v>665</v>
      </c>
      <c r="G144" s="480">
        <f>F144</f>
        <v>665</v>
      </c>
      <c r="H144" s="480"/>
      <c r="I144" s="922"/>
    </row>
    <row r="145" spans="1:14" s="923" customFormat="1" ht="11.25" customHeight="1" thickBot="1" x14ac:dyDescent="0.25">
      <c r="A145" s="130"/>
      <c r="B145" s="109"/>
      <c r="C145" s="480"/>
      <c r="D145" s="480"/>
      <c r="E145" s="480"/>
      <c r="F145" s="482"/>
      <c r="G145" s="480"/>
      <c r="H145" s="480"/>
      <c r="I145" s="922"/>
    </row>
    <row r="146" spans="1:14" s="112" customFormat="1" ht="21.75" customHeight="1" thickBot="1" x14ac:dyDescent="0.2">
      <c r="A146" s="490"/>
      <c r="B146" s="483" t="s">
        <v>16</v>
      </c>
      <c r="C146" s="851"/>
      <c r="D146" s="851">
        <f>SUM(D142:D144)</f>
        <v>4429</v>
      </c>
      <c r="E146" s="851">
        <f>SUM(E142:E144)</f>
        <v>1173</v>
      </c>
      <c r="F146" s="851">
        <f>SUM(F142:F144)</f>
        <v>5602</v>
      </c>
      <c r="G146" s="851">
        <f>SUM(G142:G144)</f>
        <v>665</v>
      </c>
      <c r="H146" s="851">
        <f>SUM(H142:H144)</f>
        <v>4937</v>
      </c>
      <c r="I146" s="606"/>
    </row>
    <row r="147" spans="1:14" s="112" customFormat="1" ht="13.5" customHeight="1" x14ac:dyDescent="0.15">
      <c r="A147" s="326"/>
      <c r="B147" s="89"/>
      <c r="C147" s="91"/>
      <c r="D147" s="91"/>
      <c r="E147" s="91"/>
      <c r="F147" s="91"/>
      <c r="G147" s="91"/>
      <c r="H147" s="91"/>
      <c r="I147" s="606"/>
    </row>
    <row r="148" spans="1:14" s="112" customFormat="1" ht="13.5" customHeight="1" x14ac:dyDescent="0.15">
      <c r="A148" s="326"/>
      <c r="B148" s="89" t="s">
        <v>1249</v>
      </c>
      <c r="C148" s="91"/>
      <c r="D148" s="91"/>
      <c r="E148" s="91"/>
      <c r="F148" s="91"/>
      <c r="G148" s="91"/>
      <c r="H148" s="91"/>
      <c r="I148" s="606"/>
    </row>
    <row r="149" spans="1:14" s="923" customFormat="1" ht="21.75" customHeight="1" x14ac:dyDescent="0.2">
      <c r="A149" s="130" t="s">
        <v>493</v>
      </c>
      <c r="B149" s="109" t="s">
        <v>191</v>
      </c>
      <c r="C149" s="480" t="s">
        <v>316</v>
      </c>
      <c r="D149" s="480">
        <v>39</v>
      </c>
      <c r="E149" s="480">
        <v>11</v>
      </c>
      <c r="F149" s="482">
        <f>D149+E149</f>
        <v>50</v>
      </c>
      <c r="G149" s="480">
        <f>F149</f>
        <v>50</v>
      </c>
      <c r="H149" s="969"/>
      <c r="I149" s="922"/>
    </row>
    <row r="150" spans="1:14" s="923" customFormat="1" ht="21.75" customHeight="1" x14ac:dyDescent="0.2">
      <c r="A150" s="130" t="s">
        <v>501</v>
      </c>
      <c r="B150" s="109" t="s">
        <v>1334</v>
      </c>
      <c r="C150" s="480" t="s">
        <v>316</v>
      </c>
      <c r="D150" s="480">
        <v>435</v>
      </c>
      <c r="E150" s="480">
        <v>117</v>
      </c>
      <c r="F150" s="482">
        <f>SUM(D150:E150)</f>
        <v>552</v>
      </c>
      <c r="G150" s="480">
        <f>F150</f>
        <v>552</v>
      </c>
      <c r="H150" s="482"/>
      <c r="I150" s="922"/>
      <c r="K150" s="1161"/>
    </row>
    <row r="151" spans="1:14" s="923" customFormat="1" ht="21.75" customHeight="1" x14ac:dyDescent="0.2">
      <c r="A151" s="130" t="s">
        <v>502</v>
      </c>
      <c r="B151" s="109" t="s">
        <v>1335</v>
      </c>
      <c r="C151" s="480" t="s">
        <v>316</v>
      </c>
      <c r="D151" s="480">
        <v>362</v>
      </c>
      <c r="E151" s="480">
        <v>98</v>
      </c>
      <c r="F151" s="482">
        <f t="shared" ref="F151:F152" si="20">SUM(D151:E151)</f>
        <v>460</v>
      </c>
      <c r="G151" s="480">
        <f t="shared" ref="G151:G152" si="21">F151</f>
        <v>460</v>
      </c>
      <c r="H151" s="969"/>
      <c r="I151" s="1161"/>
    </row>
    <row r="152" spans="1:14" s="923" customFormat="1" ht="21.75" customHeight="1" x14ac:dyDescent="0.2">
      <c r="A152" s="130" t="s">
        <v>503</v>
      </c>
      <c r="B152" s="109" t="s">
        <v>1336</v>
      </c>
      <c r="C152" s="480" t="s">
        <v>316</v>
      </c>
      <c r="D152" s="480">
        <v>1363</v>
      </c>
      <c r="E152" s="480">
        <v>368</v>
      </c>
      <c r="F152" s="482">
        <f t="shared" si="20"/>
        <v>1731</v>
      </c>
      <c r="G152" s="480">
        <f t="shared" si="21"/>
        <v>1731</v>
      </c>
      <c r="H152" s="969"/>
      <c r="I152" s="1161"/>
    </row>
    <row r="153" spans="1:14" s="923" customFormat="1" ht="12" customHeight="1" thickBot="1" x14ac:dyDescent="0.25">
      <c r="A153" s="489"/>
      <c r="B153" s="485"/>
      <c r="C153" s="924"/>
      <c r="D153" s="924"/>
      <c r="E153" s="924"/>
      <c r="F153" s="925"/>
      <c r="G153" s="924"/>
      <c r="H153" s="925"/>
      <c r="I153" s="922"/>
    </row>
    <row r="154" spans="1:14" s="923" customFormat="1" ht="21.75" customHeight="1" thickBot="1" x14ac:dyDescent="0.25">
      <c r="A154" s="490"/>
      <c r="B154" s="483" t="s">
        <v>192</v>
      </c>
      <c r="C154" s="851"/>
      <c r="D154" s="851">
        <f>SUM(D149:D153)</f>
        <v>2199</v>
      </c>
      <c r="E154" s="851">
        <f t="shared" ref="E154:G154" si="22">SUM(E149:E153)</f>
        <v>594</v>
      </c>
      <c r="F154" s="851">
        <f t="shared" si="22"/>
        <v>2793</v>
      </c>
      <c r="G154" s="851">
        <f t="shared" si="22"/>
        <v>2793</v>
      </c>
      <c r="H154" s="851"/>
      <c r="I154" s="922"/>
    </row>
    <row r="155" spans="1:14" s="112" customFormat="1" ht="13.5" customHeight="1" x14ac:dyDescent="0.2">
      <c r="A155" s="130"/>
      <c r="B155" s="109"/>
      <c r="C155" s="90"/>
      <c r="D155" s="90"/>
      <c r="E155" s="90"/>
      <c r="F155" s="91"/>
      <c r="G155" s="99"/>
      <c r="H155" s="107"/>
      <c r="I155" s="606"/>
      <c r="N155" s="629"/>
    </row>
    <row r="156" spans="1:14" s="112" customFormat="1" ht="13.5" customHeight="1" x14ac:dyDescent="0.15">
      <c r="A156" s="326" t="s">
        <v>526</v>
      </c>
      <c r="B156" s="89" t="s">
        <v>527</v>
      </c>
      <c r="C156" s="91"/>
      <c r="D156" s="91"/>
      <c r="E156" s="91"/>
      <c r="F156" s="91"/>
      <c r="G156" s="99"/>
      <c r="H156" s="107"/>
      <c r="I156" s="606"/>
    </row>
    <row r="157" spans="1:14" s="112" customFormat="1" ht="11.25" customHeight="1" thickBot="1" x14ac:dyDescent="0.25">
      <c r="A157" s="489"/>
      <c r="B157" s="109"/>
      <c r="C157" s="90"/>
      <c r="D157" s="90"/>
      <c r="E157" s="90"/>
      <c r="F157" s="91"/>
      <c r="G157" s="86"/>
      <c r="H157" s="620"/>
      <c r="I157" s="606"/>
    </row>
    <row r="158" spans="1:14" s="112" customFormat="1" ht="21.75" customHeight="1" thickBot="1" x14ac:dyDescent="0.25">
      <c r="A158" s="486"/>
      <c r="B158" s="108" t="s">
        <v>528</v>
      </c>
      <c r="C158" s="113"/>
      <c r="D158" s="94">
        <f>D156</f>
        <v>0</v>
      </c>
      <c r="E158" s="94">
        <f t="shared" ref="E158:G158" si="23">E156</f>
        <v>0</v>
      </c>
      <c r="F158" s="94">
        <f t="shared" si="23"/>
        <v>0</v>
      </c>
      <c r="G158" s="94">
        <f t="shared" si="23"/>
        <v>0</v>
      </c>
      <c r="H158" s="94"/>
      <c r="I158" s="606"/>
    </row>
    <row r="159" spans="1:14" s="83" customFormat="1" ht="13.5" customHeight="1" thickBot="1" x14ac:dyDescent="0.25">
      <c r="A159" s="130"/>
      <c r="B159" s="109"/>
      <c r="C159" s="90"/>
      <c r="D159" s="90"/>
      <c r="E159" s="90"/>
      <c r="F159" s="91"/>
      <c r="G159" s="86"/>
      <c r="H159" s="128"/>
      <c r="I159" s="604"/>
    </row>
    <row r="160" spans="1:14" s="112" customFormat="1" ht="20.25" customHeight="1" thickBot="1" x14ac:dyDescent="0.2">
      <c r="A160" s="486"/>
      <c r="B160" s="108" t="s">
        <v>529</v>
      </c>
      <c r="C160" s="516"/>
      <c r="D160" s="516">
        <f>D20+D27+D62+D74+D79+D88+D96+D108+D115+D126+D131+D139+D146+D158+D154</f>
        <v>2138159</v>
      </c>
      <c r="E160" s="516">
        <f>E20+E27+E62+E74+E79+E88+E96+E108+E115+E126+E131+E139+E146+E158+E154</f>
        <v>206227</v>
      </c>
      <c r="F160" s="516">
        <f>F20+F27+F62+F74+F79+F88+F96+F108+F115+F126+F131+F139+F146+F158+F154</f>
        <v>2344386</v>
      </c>
      <c r="G160" s="516">
        <f>G20+G27+G62+G74+G79+G88+G96+G108+G115+G126+G131+G139+G146+G158+G154</f>
        <v>2141645</v>
      </c>
      <c r="H160" s="516">
        <f>H20+H27+H62+H74+H79+H88+H96+H108+H115+H126+H131+H139+H146+H158+H154</f>
        <v>202741</v>
      </c>
      <c r="I160" s="606"/>
    </row>
    <row r="163" spans="5:6" ht="14.1" customHeight="1" x14ac:dyDescent="0.2">
      <c r="E163" s="114"/>
      <c r="F163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2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41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59" t="s">
        <v>1371</v>
      </c>
      <c r="B2" s="1259"/>
      <c r="C2" s="1259"/>
      <c r="D2" s="1259"/>
      <c r="E2" s="1259"/>
    </row>
    <row r="3" spans="1:5" x14ac:dyDescent="0.25">
      <c r="B3" s="18"/>
      <c r="C3" s="333"/>
    </row>
    <row r="4" spans="1:5" ht="15" customHeight="1" x14ac:dyDescent="0.25">
      <c r="A4" s="1260" t="s">
        <v>78</v>
      </c>
      <c r="B4" s="1260"/>
      <c r="C4" s="1260"/>
      <c r="D4" s="1260"/>
      <c r="E4" s="1260"/>
    </row>
    <row r="5" spans="1:5" ht="15" customHeight="1" x14ac:dyDescent="0.25">
      <c r="A5" s="1261" t="s">
        <v>1082</v>
      </c>
      <c r="B5" s="1261"/>
      <c r="C5" s="1261"/>
      <c r="D5" s="1261"/>
      <c r="E5" s="1261"/>
    </row>
    <row r="6" spans="1:5" ht="15" customHeight="1" x14ac:dyDescent="0.25">
      <c r="A6" s="1261" t="s">
        <v>538</v>
      </c>
      <c r="B6" s="1261"/>
      <c r="C6" s="1261"/>
      <c r="D6" s="1261"/>
      <c r="E6" s="1261"/>
    </row>
    <row r="7" spans="1:5" ht="15" customHeight="1" x14ac:dyDescent="0.25">
      <c r="B7" s="1261"/>
      <c r="C7" s="1261"/>
    </row>
    <row r="8" spans="1:5" s="19" customFormat="1" ht="20.100000000000001" customHeight="1" x14ac:dyDescent="0.25">
      <c r="A8" s="1262" t="s">
        <v>310</v>
      </c>
      <c r="B8" s="1263"/>
      <c r="C8" s="1263"/>
      <c r="D8" s="1263"/>
      <c r="E8" s="1263"/>
    </row>
    <row r="9" spans="1:5" s="19" customFormat="1" ht="20.100000000000001" customHeight="1" x14ac:dyDescent="0.25">
      <c r="A9" s="1266" t="s">
        <v>77</v>
      </c>
      <c r="B9" s="496" t="s">
        <v>57</v>
      </c>
      <c r="C9" s="1265" t="s">
        <v>58</v>
      </c>
      <c r="D9" s="1265"/>
      <c r="E9" s="1265"/>
    </row>
    <row r="10" spans="1:5" ht="46.5" customHeight="1" x14ac:dyDescent="0.25">
      <c r="A10" s="1266"/>
      <c r="B10" s="1258" t="s">
        <v>86</v>
      </c>
      <c r="C10" s="1264" t="s">
        <v>1143</v>
      </c>
      <c r="D10" s="1264"/>
      <c r="E10" s="1264"/>
    </row>
    <row r="11" spans="1:5" ht="20.100000000000001" customHeight="1" x14ac:dyDescent="0.25">
      <c r="A11" s="1266"/>
      <c r="B11" s="1258"/>
      <c r="C11" s="495" t="s">
        <v>182</v>
      </c>
      <c r="D11" s="497" t="s">
        <v>183</v>
      </c>
      <c r="E11" s="498" t="s">
        <v>184</v>
      </c>
    </row>
    <row r="12" spans="1:5" ht="20.100000000000001" customHeight="1" x14ac:dyDescent="0.25">
      <c r="A12" s="21" t="s">
        <v>493</v>
      </c>
      <c r="B12" s="22" t="s">
        <v>539</v>
      </c>
      <c r="C12" s="621"/>
      <c r="D12" s="622"/>
      <c r="E12" s="623"/>
    </row>
    <row r="13" spans="1:5" ht="20.100000000000001" customHeight="1" x14ac:dyDescent="0.25">
      <c r="A13" s="21" t="s">
        <v>501</v>
      </c>
      <c r="B13" s="23" t="s">
        <v>654</v>
      </c>
      <c r="C13" s="624"/>
      <c r="D13" s="625"/>
      <c r="E13" s="626"/>
    </row>
    <row r="14" spans="1:5" ht="30.75" customHeight="1" x14ac:dyDescent="0.25">
      <c r="A14" s="1073" t="s">
        <v>502</v>
      </c>
      <c r="B14" s="784" t="s">
        <v>312</v>
      </c>
      <c r="C14" s="1077"/>
      <c r="D14" s="1078">
        <v>0</v>
      </c>
      <c r="E14" s="1079">
        <f t="shared" ref="E14:E19" si="0">C14+D14</f>
        <v>0</v>
      </c>
    </row>
    <row r="15" spans="1:5" ht="24.6" customHeight="1" x14ac:dyDescent="0.25">
      <c r="A15" s="1073" t="s">
        <v>503</v>
      </c>
      <c r="B15" s="784" t="s">
        <v>663</v>
      </c>
      <c r="C15" s="1078"/>
      <c r="D15" s="1078">
        <v>15629</v>
      </c>
      <c r="E15" s="1079">
        <f t="shared" si="0"/>
        <v>15629</v>
      </c>
    </row>
    <row r="16" spans="1:5" ht="36" customHeight="1" x14ac:dyDescent="0.25">
      <c r="A16" s="1073" t="s">
        <v>504</v>
      </c>
      <c r="B16" s="970" t="s">
        <v>1203</v>
      </c>
      <c r="C16" s="1077">
        <v>0</v>
      </c>
      <c r="D16" s="628">
        <v>78232</v>
      </c>
      <c r="E16" s="1079">
        <f t="shared" si="0"/>
        <v>78232</v>
      </c>
    </row>
    <row r="17" spans="1:5" ht="36.75" customHeight="1" x14ac:dyDescent="0.25">
      <c r="A17" s="1073" t="s">
        <v>505</v>
      </c>
      <c r="B17" s="1076" t="s">
        <v>1206</v>
      </c>
      <c r="C17" s="904">
        <v>0</v>
      </c>
      <c r="D17" s="628"/>
      <c r="E17" s="1079">
        <f t="shared" si="0"/>
        <v>0</v>
      </c>
    </row>
    <row r="18" spans="1:5" ht="24" customHeight="1" x14ac:dyDescent="0.25">
      <c r="A18" s="1073" t="s">
        <v>506</v>
      </c>
      <c r="B18" s="784" t="s">
        <v>1202</v>
      </c>
      <c r="C18" s="904">
        <v>0</v>
      </c>
      <c r="D18" s="628">
        <v>31582</v>
      </c>
      <c r="E18" s="1079">
        <f t="shared" si="0"/>
        <v>31582</v>
      </c>
    </row>
    <row r="19" spans="1:5" ht="31.5" customHeight="1" thickBot="1" x14ac:dyDescent="0.3">
      <c r="A19" s="1073" t="s">
        <v>507</v>
      </c>
      <c r="B19" s="1123" t="s">
        <v>1250</v>
      </c>
      <c r="C19" s="904">
        <v>27422</v>
      </c>
      <c r="D19" s="628"/>
      <c r="E19" s="1079">
        <f t="shared" si="0"/>
        <v>27422</v>
      </c>
    </row>
    <row r="20" spans="1:5" s="15" customFormat="1" ht="19.5" customHeight="1" thickBot="1" x14ac:dyDescent="0.3">
      <c r="A20" s="1124" t="s">
        <v>508</v>
      </c>
      <c r="B20" s="1130" t="s">
        <v>49</v>
      </c>
      <c r="C20" s="1131">
        <f>SUM(C14:C19)</f>
        <v>27422</v>
      </c>
      <c r="D20" s="1131">
        <f t="shared" ref="D20:E20" si="1">SUM(D14:D19)</f>
        <v>125443</v>
      </c>
      <c r="E20" s="1162">
        <f t="shared" si="1"/>
        <v>152865</v>
      </c>
    </row>
    <row r="21" spans="1:5" s="15" customFormat="1" ht="20.25" customHeight="1" x14ac:dyDescent="0.25">
      <c r="A21" s="1073" t="s">
        <v>549</v>
      </c>
      <c r="B21" s="26"/>
      <c r="C21" s="1080"/>
      <c r="D21" s="1081"/>
      <c r="E21" s="1082"/>
    </row>
    <row r="22" spans="1:5" ht="19.5" customHeight="1" x14ac:dyDescent="0.25">
      <c r="A22" s="1073" t="s">
        <v>550</v>
      </c>
      <c r="B22" s="26" t="s">
        <v>655</v>
      </c>
      <c r="C22" s="1077"/>
      <c r="D22" s="1083"/>
      <c r="E22" s="1084"/>
    </row>
    <row r="23" spans="1:5" ht="21" customHeight="1" x14ac:dyDescent="0.25">
      <c r="A23" s="1073" t="s">
        <v>551</v>
      </c>
      <c r="B23" s="17" t="s">
        <v>540</v>
      </c>
      <c r="C23" s="1077"/>
      <c r="D23" s="1078">
        <v>0</v>
      </c>
      <c r="E23" s="1079">
        <f>C23+D23</f>
        <v>0</v>
      </c>
    </row>
    <row r="24" spans="1:5" ht="21.75" customHeight="1" x14ac:dyDescent="0.25">
      <c r="A24" s="1073" t="s">
        <v>552</v>
      </c>
      <c r="B24" s="24" t="s">
        <v>541</v>
      </c>
      <c r="C24" s="1077"/>
      <c r="D24" s="1078">
        <v>1855</v>
      </c>
      <c r="E24" s="1079">
        <f>C24+D24</f>
        <v>1855</v>
      </c>
    </row>
    <row r="25" spans="1:5" ht="41.25" customHeight="1" thickBot="1" x14ac:dyDescent="0.3">
      <c r="A25" s="1073" t="s">
        <v>553</v>
      </c>
      <c r="B25" s="919" t="s">
        <v>1005</v>
      </c>
      <c r="C25" s="916"/>
      <c r="D25" s="917">
        <v>0</v>
      </c>
      <c r="E25" s="918">
        <f>C25+D25</f>
        <v>0</v>
      </c>
    </row>
    <row r="26" spans="1:5" s="15" customFormat="1" ht="21" customHeight="1" thickBot="1" x14ac:dyDescent="0.3">
      <c r="A26" s="1124" t="s">
        <v>554</v>
      </c>
      <c r="B26" s="1130" t="s">
        <v>656</v>
      </c>
      <c r="C26" s="1131">
        <f>SUM(C23:C24)</f>
        <v>0</v>
      </c>
      <c r="D26" s="1132">
        <f>SUM(D23:D25)</f>
        <v>1855</v>
      </c>
      <c r="E26" s="1128">
        <f>C26+D26</f>
        <v>1855</v>
      </c>
    </row>
    <row r="27" spans="1:5" s="15" customFormat="1" ht="22.5" customHeight="1" thickBot="1" x14ac:dyDescent="0.3">
      <c r="A27" s="1124" t="s">
        <v>555</v>
      </c>
      <c r="B27" s="302" t="s">
        <v>542</v>
      </c>
      <c r="C27" s="1126">
        <f>C20+C26</f>
        <v>27422</v>
      </c>
      <c r="D27" s="1127">
        <f>D20+D26</f>
        <v>127298</v>
      </c>
      <c r="E27" s="1128">
        <f>C27+D27</f>
        <v>154720</v>
      </c>
    </row>
    <row r="28" spans="1:5" ht="20.100000000000001" customHeight="1" x14ac:dyDescent="0.25">
      <c r="A28" s="1073" t="s">
        <v>556</v>
      </c>
      <c r="B28" s="24"/>
      <c r="C28" s="904"/>
      <c r="D28" s="628"/>
      <c r="E28" s="1084"/>
    </row>
    <row r="29" spans="1:5" ht="20.100000000000001" customHeight="1" x14ac:dyDescent="0.25">
      <c r="A29" s="1073" t="s">
        <v>558</v>
      </c>
      <c r="B29" s="22" t="s">
        <v>543</v>
      </c>
      <c r="C29" s="904"/>
      <c r="D29" s="628"/>
      <c r="E29" s="1084"/>
    </row>
    <row r="30" spans="1:5" ht="20.100000000000001" customHeight="1" x14ac:dyDescent="0.25">
      <c r="A30" s="1073" t="s">
        <v>559</v>
      </c>
      <c r="B30" s="17" t="s">
        <v>544</v>
      </c>
      <c r="C30" s="904">
        <v>162223</v>
      </c>
      <c r="D30" s="628">
        <v>47190</v>
      </c>
      <c r="E30" s="1079">
        <f>C30+D30</f>
        <v>209413</v>
      </c>
    </row>
    <row r="31" spans="1:5" ht="20.100000000000001" customHeight="1" x14ac:dyDescent="0.25">
      <c r="A31" s="1073" t="s">
        <v>560</v>
      </c>
      <c r="B31" s="28" t="s">
        <v>193</v>
      </c>
      <c r="C31" s="904"/>
      <c r="D31" s="628"/>
      <c r="E31" s="1079"/>
    </row>
    <row r="32" spans="1:5" ht="32.25" customHeight="1" x14ac:dyDescent="0.25">
      <c r="A32" s="1073" t="s">
        <v>561</v>
      </c>
      <c r="B32" s="784" t="s">
        <v>1204</v>
      </c>
      <c r="C32" s="904">
        <v>0</v>
      </c>
      <c r="D32" s="628">
        <v>1838</v>
      </c>
      <c r="E32" s="1079">
        <f>SUM(C32:D32)</f>
        <v>1838</v>
      </c>
    </row>
    <row r="33" spans="1:15" ht="32.25" customHeight="1" thickBot="1" x14ac:dyDescent="0.3">
      <c r="A33" s="1073" t="s">
        <v>562</v>
      </c>
      <c r="B33" s="1074" t="s">
        <v>1205</v>
      </c>
      <c r="C33" s="628">
        <v>2223</v>
      </c>
      <c r="D33" s="628"/>
      <c r="E33" s="1079">
        <f>SUM(C33:D33)</f>
        <v>2223</v>
      </c>
    </row>
    <row r="34" spans="1:15" s="15" customFormat="1" ht="20.100000000000001" customHeight="1" thickBot="1" x14ac:dyDescent="0.3">
      <c r="A34" s="1124" t="s">
        <v>563</v>
      </c>
      <c r="B34" s="1129" t="s">
        <v>545</v>
      </c>
      <c r="C34" s="1127">
        <f>C30+C32+C33</f>
        <v>164446</v>
      </c>
      <c r="D34" s="1127">
        <f t="shared" ref="D34:E34" si="2">D30+D32+D33</f>
        <v>49028</v>
      </c>
      <c r="E34" s="1128">
        <f t="shared" si="2"/>
        <v>213474</v>
      </c>
      <c r="O34" s="1075"/>
    </row>
    <row r="35" spans="1:15" s="15" customFormat="1" ht="20.100000000000001" customHeight="1" thickBot="1" x14ac:dyDescent="0.3">
      <c r="A35" s="1124" t="s">
        <v>564</v>
      </c>
      <c r="B35" s="1125" t="s">
        <v>313</v>
      </c>
      <c r="C35" s="1126">
        <f>C27+C34</f>
        <v>191868</v>
      </c>
      <c r="D35" s="1127">
        <f>D27+D34</f>
        <v>176326</v>
      </c>
      <c r="E35" s="1128">
        <f>E27+E34</f>
        <v>368194</v>
      </c>
      <c r="O35" s="1075"/>
    </row>
    <row r="36" spans="1:15" s="15" customFormat="1" ht="20.100000000000001" customHeight="1" x14ac:dyDescent="0.25">
      <c r="A36" s="16"/>
      <c r="B36" s="29"/>
      <c r="C36" s="27"/>
      <c r="D36" s="362"/>
    </row>
    <row r="37" spans="1:15" ht="19.5" customHeight="1" x14ac:dyDescent="0.25">
      <c r="B37" s="30"/>
      <c r="C37" s="25"/>
    </row>
    <row r="38" spans="1:15" ht="15" customHeight="1" x14ac:dyDescent="0.25">
      <c r="B38" s="17"/>
      <c r="C38" s="25"/>
      <c r="H38" s="511"/>
    </row>
    <row r="39" spans="1:15" x14ac:dyDescent="0.25">
      <c r="B39" s="17"/>
      <c r="C39" s="25"/>
    </row>
    <row r="40" spans="1:15" x14ac:dyDescent="0.25">
      <c r="B40" s="17"/>
      <c r="C40" s="25"/>
    </row>
    <row r="41" spans="1:15" x14ac:dyDescent="0.25">
      <c r="B41" s="17"/>
      <c r="C41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40.4257812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9" hidden="1" customWidth="1"/>
    <col min="11" max="11" width="7.140625" style="329" hidden="1" customWidth="1"/>
    <col min="12" max="12" width="7.85546875" style="329" hidden="1" customWidth="1"/>
    <col min="13" max="16384" width="9.140625" style="10"/>
  </cols>
  <sheetData>
    <row r="1" spans="1:13" ht="12.75" x14ac:dyDescent="0.2">
      <c r="C1" s="1165" t="s">
        <v>1372</v>
      </c>
      <c r="D1" s="1213"/>
      <c r="E1" s="1213"/>
      <c r="F1" s="1213"/>
      <c r="G1" s="1213"/>
      <c r="H1" s="1213"/>
      <c r="I1" s="1213"/>
      <c r="J1" s="1213"/>
      <c r="K1" s="1213"/>
      <c r="L1" s="1213"/>
    </row>
    <row r="2" spans="1:13" x14ac:dyDescent="0.2">
      <c r="I2" s="159"/>
    </row>
    <row r="3" spans="1:13" s="122" customFormat="1" ht="12.75" x14ac:dyDescent="0.2">
      <c r="A3" s="160"/>
      <c r="B3" s="1168" t="s">
        <v>78</v>
      </c>
      <c r="C3" s="1168"/>
      <c r="D3" s="1168"/>
      <c r="E3" s="1168"/>
      <c r="F3" s="1168"/>
      <c r="G3" s="1168"/>
      <c r="H3" s="1168"/>
      <c r="I3" s="1168"/>
      <c r="J3" s="1213"/>
      <c r="K3" s="1213"/>
      <c r="L3" s="1213"/>
    </row>
    <row r="4" spans="1:13" s="122" customFormat="1" x14ac:dyDescent="0.2">
      <c r="A4" s="160"/>
      <c r="B4" s="1267" t="s">
        <v>1083</v>
      </c>
      <c r="C4" s="1267"/>
      <c r="D4" s="1267"/>
      <c r="E4" s="1267"/>
      <c r="F4" s="1267"/>
      <c r="G4" s="1267"/>
      <c r="H4" s="1267"/>
      <c r="I4" s="1267"/>
    </row>
    <row r="5" spans="1:13" s="122" customFormat="1" ht="12.75" x14ac:dyDescent="0.2">
      <c r="A5" s="1169" t="s">
        <v>310</v>
      </c>
      <c r="B5" s="1215"/>
      <c r="C5" s="1215"/>
      <c r="D5" s="1215"/>
      <c r="E5" s="1215"/>
      <c r="F5" s="1215"/>
      <c r="G5" s="1215"/>
      <c r="H5" s="1215"/>
      <c r="I5" s="1215"/>
      <c r="J5" s="1215"/>
      <c r="K5" s="1215"/>
      <c r="L5" s="1215"/>
    </row>
    <row r="6" spans="1:13" s="122" customFormat="1" ht="12.75" customHeight="1" x14ac:dyDescent="0.2">
      <c r="A6" s="1173" t="s">
        <v>56</v>
      </c>
      <c r="B6" s="1174" t="s">
        <v>57</v>
      </c>
      <c r="C6" s="1189" t="s">
        <v>58</v>
      </c>
      <c r="D6" s="1189"/>
      <c r="E6" s="1190"/>
      <c r="F6" s="1269" t="s">
        <v>59</v>
      </c>
      <c r="G6" s="1171" t="s">
        <v>60</v>
      </c>
      <c r="H6" s="1172"/>
      <c r="I6" s="1268"/>
      <c r="M6" s="608"/>
    </row>
    <row r="7" spans="1:13" s="122" customFormat="1" ht="12.75" customHeight="1" x14ac:dyDescent="0.2">
      <c r="A7" s="1173"/>
      <c r="B7" s="1174"/>
      <c r="C7" s="1166" t="s">
        <v>1078</v>
      </c>
      <c r="D7" s="1166"/>
      <c r="E7" s="1167"/>
      <c r="F7" s="1269"/>
      <c r="G7" s="1166" t="s">
        <v>1078</v>
      </c>
      <c r="H7" s="1166"/>
      <c r="I7" s="1166"/>
      <c r="M7" s="608"/>
    </row>
    <row r="8" spans="1:13" s="123" customFormat="1" ht="36.6" customHeight="1" x14ac:dyDescent="0.2">
      <c r="A8" s="1173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9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0"/>
      <c r="K9" s="10"/>
      <c r="L9" s="10"/>
      <c r="M9" s="190"/>
    </row>
    <row r="10" spans="1:13" x14ac:dyDescent="0.2">
      <c r="A10" s="164">
        <f t="shared" ref="A10:A55" si="0">A9+1</f>
        <v>2</v>
      </c>
      <c r="B10" s="167" t="s">
        <v>35</v>
      </c>
      <c r="C10" s="297"/>
      <c r="D10" s="297"/>
      <c r="E10" s="285">
        <f>SUM(C10:D10)</f>
        <v>0</v>
      </c>
      <c r="F10" s="501" t="s">
        <v>222</v>
      </c>
      <c r="G10" s="285">
        <f>'műk. kiad. szakf Önkorm. '!D69</f>
        <v>54125</v>
      </c>
      <c r="H10" s="285">
        <f>'műk. kiad. szakf Önkorm. '!E69</f>
        <v>50148</v>
      </c>
      <c r="I10" s="469">
        <f>SUM(G10:H10)</f>
        <v>104273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198</v>
      </c>
      <c r="C11" s="297">
        <f>'tám, végl. pe.átv  '!C11+'tám, végl. pe.átv  '!C17+'tám, végl. pe.átv  '!C18</f>
        <v>748439</v>
      </c>
      <c r="D11" s="297">
        <f>'tám, végl. pe.átv  '!D11+'tám, végl. pe.átv  '!D17+'tám, végl. pe.átv  '!D18</f>
        <v>104013</v>
      </c>
      <c r="E11" s="297">
        <f>'tám, végl. pe.átv  '!E11+'tám, végl. pe.átv  '!E17+'tám, végl. pe.átv  '!E18</f>
        <v>852452</v>
      </c>
      <c r="F11" s="501" t="s">
        <v>223</v>
      </c>
      <c r="G11" s="285">
        <f>'műk. kiad. szakf Önkorm. '!F69</f>
        <v>16588</v>
      </c>
      <c r="H11" s="285">
        <f>'műk. kiad. szakf Önkorm. '!G69</f>
        <v>17255</v>
      </c>
      <c r="I11" s="469">
        <f>SUM(G11:H11)</f>
        <v>33843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195</v>
      </c>
      <c r="C12" s="297"/>
      <c r="D12" s="297">
        <v>0</v>
      </c>
      <c r="E12" s="297">
        <f>C12+D12</f>
        <v>0</v>
      </c>
      <c r="F12" s="501" t="s">
        <v>224</v>
      </c>
      <c r="G12" s="285">
        <f>'műk. kiad. szakf Önkorm. '!H69</f>
        <v>450250</v>
      </c>
      <c r="H12" s="285">
        <f>'műk. kiad. szakf Önkorm. '!I69</f>
        <v>279934</v>
      </c>
      <c r="I12" s="469">
        <f>SUM(G12:H12)</f>
        <v>730184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40" t="s">
        <v>199</v>
      </c>
      <c r="C13" s="297">
        <f>'tám, végl. pe.átv  '!C40</f>
        <v>17237</v>
      </c>
      <c r="D13" s="297">
        <f>'tám, végl. pe.átv  '!D40</f>
        <v>7728</v>
      </c>
      <c r="E13" s="297">
        <f>'tám, végl. pe.átv  '!E40</f>
        <v>24965</v>
      </c>
      <c r="F13" s="501"/>
      <c r="G13" s="297"/>
      <c r="H13" s="297"/>
      <c r="I13" s="469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1253</v>
      </c>
      <c r="C14" s="297"/>
      <c r="D14" s="297"/>
      <c r="E14" s="285"/>
      <c r="F14" s="501" t="s">
        <v>225</v>
      </c>
      <c r="G14" s="292">
        <f>'műk. kiad. szakf Önkorm. '!P69</f>
        <v>2689</v>
      </c>
      <c r="H14" s="292">
        <f>'ellátottak önk.'!F32</f>
        <v>10950</v>
      </c>
      <c r="I14" s="469">
        <f>SUM(G14:H14)</f>
        <v>13639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1251</v>
      </c>
      <c r="C15" s="297">
        <f>'felh. bev.  '!D24</f>
        <v>8750</v>
      </c>
      <c r="D15" s="297"/>
      <c r="E15" s="285">
        <f t="shared" ref="E15:E16" si="2">SUM(C15:D15)</f>
        <v>8750</v>
      </c>
      <c r="F15" s="501"/>
      <c r="G15" s="292"/>
      <c r="H15" s="292"/>
      <c r="I15" s="469"/>
      <c r="J15" s="10"/>
      <c r="K15" s="10"/>
      <c r="L15" s="10"/>
      <c r="M15" s="190"/>
    </row>
    <row r="16" spans="1:13" x14ac:dyDescent="0.2">
      <c r="A16" s="164">
        <f t="shared" si="1"/>
        <v>8</v>
      </c>
      <c r="B16" s="1133" t="s">
        <v>1252</v>
      </c>
      <c r="C16" s="297"/>
      <c r="D16" s="297">
        <v>93253</v>
      </c>
      <c r="E16" s="285">
        <f t="shared" si="2"/>
        <v>93253</v>
      </c>
      <c r="F16" s="501" t="s">
        <v>226</v>
      </c>
      <c r="G16" s="292"/>
      <c r="H16" s="292"/>
      <c r="I16" s="469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200</v>
      </c>
      <c r="C17" s="297">
        <f>'közhatalmi bevételek'!D32</f>
        <v>711070</v>
      </c>
      <c r="D17" s="297">
        <f>'közhatalmi bevételek'!E32</f>
        <v>690085</v>
      </c>
      <c r="E17" s="297">
        <f>'közhatalmi bevételek'!F32</f>
        <v>1401155</v>
      </c>
      <c r="F17" s="501" t="s">
        <v>227</v>
      </c>
      <c r="G17" s="292">
        <f>mc.pe.átad!D25</f>
        <v>52956</v>
      </c>
      <c r="H17" s="292">
        <f>mc.pe.átad!E25</f>
        <v>65876</v>
      </c>
      <c r="I17" s="292">
        <f>mc.pe.átad!F25</f>
        <v>118832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7"/>
      <c r="D18" s="357"/>
      <c r="E18" s="357"/>
      <c r="F18" s="501" t="s">
        <v>228</v>
      </c>
      <c r="G18" s="292">
        <f>mc.pe.átad!D69</f>
        <v>161421</v>
      </c>
      <c r="H18" s="292">
        <f>mc.pe.átad!E69</f>
        <v>195362</v>
      </c>
      <c r="I18" s="292">
        <f>mc.pe.átad!F69</f>
        <v>356783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7"/>
      <c r="D19" s="357"/>
      <c r="E19" s="357"/>
      <c r="F19" s="501" t="s">
        <v>275</v>
      </c>
      <c r="G19" s="292">
        <f>'műk. kiad. szakf Önkorm. '!N69</f>
        <v>451</v>
      </c>
      <c r="H19" s="292">
        <f>'műk. kiad. szakf Önkorm. '!O69</f>
        <v>0</v>
      </c>
      <c r="I19" s="292">
        <f>G19+H19</f>
        <v>451</v>
      </c>
      <c r="J19" s="10"/>
      <c r="K19" s="10"/>
      <c r="L19" s="10"/>
      <c r="M19" s="190"/>
    </row>
    <row r="20" spans="1:14" x14ac:dyDescent="0.2">
      <c r="A20" s="164">
        <f>A19+1</f>
        <v>12</v>
      </c>
      <c r="B20" s="116" t="s">
        <v>201</v>
      </c>
      <c r="C20" s="357">
        <v>10512</v>
      </c>
      <c r="D20" s="357">
        <v>103092</v>
      </c>
      <c r="E20" s="357">
        <f>SUM(C20:D20)</f>
        <v>113604</v>
      </c>
      <c r="F20" s="501" t="s">
        <v>230</v>
      </c>
      <c r="G20" s="292">
        <f>tartalék!C26</f>
        <v>0</v>
      </c>
      <c r="H20" s="292">
        <f>tartalék!D26</f>
        <v>1855</v>
      </c>
      <c r="I20" s="905">
        <f>SUM(G20:H20)</f>
        <v>1855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7"/>
      <c r="D21" s="357"/>
      <c r="E21" s="357"/>
      <c r="F21" s="501" t="s">
        <v>276</v>
      </c>
      <c r="G21" s="292">
        <f>tartalék!C34</f>
        <v>164446</v>
      </c>
      <c r="H21" s="292">
        <f>tartalék!D34</f>
        <v>49028</v>
      </c>
      <c r="I21" s="292">
        <f>tartalék!E34</f>
        <v>213474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7"/>
      <c r="D22" s="357"/>
      <c r="E22" s="357"/>
      <c r="F22" s="607"/>
      <c r="G22" s="292"/>
      <c r="H22" s="292"/>
      <c r="I22" s="471"/>
      <c r="M22" s="610"/>
    </row>
    <row r="23" spans="1:14" s="124" customFormat="1" x14ac:dyDescent="0.2">
      <c r="A23" s="164">
        <f t="shared" si="1"/>
        <v>15</v>
      </c>
      <c r="B23" s="157" t="s">
        <v>202</v>
      </c>
      <c r="C23" s="357"/>
      <c r="D23" s="357"/>
      <c r="E23" s="357"/>
      <c r="F23" s="607"/>
      <c r="G23" s="292"/>
      <c r="H23" s="292"/>
      <c r="I23" s="471"/>
      <c r="M23" s="610"/>
    </row>
    <row r="24" spans="1:14" x14ac:dyDescent="0.2">
      <c r="A24" s="164">
        <f t="shared" si="1"/>
        <v>16</v>
      </c>
      <c r="B24" s="180" t="s">
        <v>205</v>
      </c>
      <c r="C24" s="285">
        <f>'felh. bev.  '!D12</f>
        <v>1070</v>
      </c>
      <c r="D24" s="285">
        <f>'felh. bev.  '!E12</f>
        <v>212438</v>
      </c>
      <c r="E24" s="357">
        <f>SUM(C24:D24)</f>
        <v>213508</v>
      </c>
      <c r="F24" s="866" t="s">
        <v>66</v>
      </c>
      <c r="G24" s="358">
        <f t="shared" ref="G24:L24" si="3">SUM(G10:G22)</f>
        <v>902926</v>
      </c>
      <c r="H24" s="358">
        <f t="shared" si="3"/>
        <v>670408</v>
      </c>
      <c r="I24" s="472">
        <f t="shared" si="3"/>
        <v>1573334</v>
      </c>
      <c r="J24" s="125">
        <f t="shared" si="3"/>
        <v>0</v>
      </c>
      <c r="K24" s="125">
        <f t="shared" si="3"/>
        <v>0</v>
      </c>
      <c r="L24" s="444">
        <f t="shared" si="3"/>
        <v>0</v>
      </c>
      <c r="M24" s="190"/>
    </row>
    <row r="25" spans="1:14" x14ac:dyDescent="0.2">
      <c r="A25" s="164">
        <f t="shared" si="1"/>
        <v>17</v>
      </c>
      <c r="B25" s="180" t="s">
        <v>206</v>
      </c>
      <c r="C25" s="357">
        <f>'felh. bev.  '!D13+'felh. bev.  '!D14</f>
        <v>0</v>
      </c>
      <c r="D25" s="357">
        <f>'felh. bev.  '!E13+'felh. bev.  '!E14</f>
        <v>4136</v>
      </c>
      <c r="E25" s="357">
        <f>SUM(C25:D25)</f>
        <v>4136</v>
      </c>
      <c r="F25" s="607"/>
      <c r="G25" s="292"/>
      <c r="H25" s="292"/>
      <c r="I25" s="471"/>
      <c r="J25" s="10"/>
      <c r="K25" s="10"/>
      <c r="L25" s="10"/>
      <c r="M25" s="190"/>
    </row>
    <row r="26" spans="1:14" x14ac:dyDescent="0.2">
      <c r="A26" s="164">
        <f t="shared" si="1"/>
        <v>18</v>
      </c>
      <c r="B26" s="157" t="s">
        <v>207</v>
      </c>
      <c r="C26" s="285">
        <f>'felh. bev.  '!D20</f>
        <v>0</v>
      </c>
      <c r="D26" s="285">
        <f>'felh. bev.  '!E20</f>
        <v>60</v>
      </c>
      <c r="E26" s="285">
        <f>'felh. bev.  '!F20</f>
        <v>60</v>
      </c>
      <c r="F26" s="867" t="s">
        <v>34</v>
      </c>
      <c r="G26" s="360"/>
      <c r="H26" s="360"/>
      <c r="I26" s="471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208</v>
      </c>
      <c r="C27" s="285"/>
      <c r="D27" s="285"/>
      <c r="E27" s="285"/>
      <c r="F27" s="501" t="s">
        <v>277</v>
      </c>
      <c r="G27" s="292">
        <f>'felhalm. kiad.  '!G20+'felhalm. kiad.  '!G62+'felhalm. kiad.  '!G74+'felhalm. kiad.  '!G88</f>
        <v>1463217</v>
      </c>
      <c r="H27" s="292">
        <f>'felhalm. kiad.  '!H20+'felhalm. kiad.  '!H62+'felhalm. kiad.  '!H74+'felhalm. kiad.  '!H79+'felhalm. kiad.  '!H88+'felhalm. kiad.  '!H158</f>
        <v>142291</v>
      </c>
      <c r="I27" s="471">
        <f t="shared" ref="I27:I32" si="4">SUM(G27:H27)</f>
        <v>1605508</v>
      </c>
      <c r="J27" s="10"/>
      <c r="K27" s="10"/>
      <c r="L27" s="10"/>
      <c r="M27" s="607"/>
      <c r="N27" s="863"/>
    </row>
    <row r="28" spans="1:14" x14ac:dyDescent="0.2">
      <c r="A28" s="164">
        <f t="shared" si="0"/>
        <v>20</v>
      </c>
      <c r="B28" s="167"/>
      <c r="C28" s="285"/>
      <c r="D28" s="285"/>
      <c r="E28" s="285"/>
      <c r="F28" s="501" t="s">
        <v>234</v>
      </c>
      <c r="G28" s="292">
        <f>'felhalm. kiad.  '!G27</f>
        <v>10950</v>
      </c>
      <c r="H28" s="292">
        <f>'felhalm. kiad.  '!H27</f>
        <v>0</v>
      </c>
      <c r="I28" s="471">
        <f t="shared" si="4"/>
        <v>10950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209</v>
      </c>
      <c r="C29" s="285">
        <f>'tám, végl. pe.átv  '!C52</f>
        <v>1</v>
      </c>
      <c r="D29" s="285">
        <f>'tám, végl. pe.átv  '!D52</f>
        <v>116619</v>
      </c>
      <c r="E29" s="285">
        <f>'tám, végl. pe.átv  '!E52</f>
        <v>116620</v>
      </c>
      <c r="F29" s="501" t="s">
        <v>235</v>
      </c>
      <c r="G29" s="292"/>
      <c r="H29" s="292"/>
      <c r="I29" s="471">
        <f t="shared" si="4"/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274</v>
      </c>
      <c r="C30" s="285">
        <f>'felh. bev.  '!D32+'felh. bev.  '!D36</f>
        <v>0</v>
      </c>
      <c r="D30" s="285">
        <f>'felh. bev.  '!E32+'felh. bev.  '!E36</f>
        <v>6121</v>
      </c>
      <c r="E30" s="285">
        <f>'felh. bev.  '!F32+'felh. bev.  '!F36</f>
        <v>6121</v>
      </c>
      <c r="F30" s="501" t="s">
        <v>236</v>
      </c>
      <c r="G30" s="292">
        <f>'felhalm. kiad.  '!G96</f>
        <v>604811</v>
      </c>
      <c r="H30" s="292">
        <f>'felhalm. kiad.  '!H96</f>
        <v>3238</v>
      </c>
      <c r="I30" s="471">
        <f t="shared" si="4"/>
        <v>608049</v>
      </c>
      <c r="M30" s="610"/>
    </row>
    <row r="31" spans="1:14" s="124" customFormat="1" x14ac:dyDescent="0.2">
      <c r="A31" s="164">
        <f t="shared" si="0"/>
        <v>23</v>
      </c>
      <c r="B31" s="157"/>
      <c r="C31" s="285"/>
      <c r="D31" s="285"/>
      <c r="E31" s="285"/>
      <c r="F31" s="501" t="s">
        <v>1312</v>
      </c>
      <c r="G31" s="292">
        <f>'felhalm. kiad.  '!G115</f>
        <v>0</v>
      </c>
      <c r="H31" s="292">
        <f>'felhalm. kiad.  '!H115</f>
        <v>6000</v>
      </c>
      <c r="I31" s="471">
        <f t="shared" si="4"/>
        <v>6000</v>
      </c>
      <c r="M31" s="610"/>
    </row>
    <row r="32" spans="1:14" x14ac:dyDescent="0.2">
      <c r="A32" s="164">
        <f t="shared" si="0"/>
        <v>24</v>
      </c>
      <c r="C32" s="285"/>
      <c r="D32" s="285"/>
      <c r="E32" s="285"/>
      <c r="F32" s="501" t="s">
        <v>1310</v>
      </c>
      <c r="G32" s="292">
        <f>'felhalm. kiad.  '!G108</f>
        <v>48940</v>
      </c>
      <c r="H32" s="292">
        <f>'felhalm. kiad.  '!H108</f>
        <v>32520</v>
      </c>
      <c r="I32" s="471">
        <f t="shared" si="4"/>
        <v>81460</v>
      </c>
      <c r="J32" s="10"/>
      <c r="K32" s="10"/>
      <c r="L32" s="10"/>
      <c r="M32" s="190"/>
    </row>
    <row r="33" spans="1:13" s="11" customFormat="1" x14ac:dyDescent="0.2">
      <c r="A33" s="164">
        <f t="shared" si="0"/>
        <v>25</v>
      </c>
      <c r="B33" s="174" t="s">
        <v>52</v>
      </c>
      <c r="C33" s="906">
        <f>C12+C20+C11+C17+C13+C29</f>
        <v>1487259</v>
      </c>
      <c r="D33" s="906">
        <f>D12+D20+D11+D17+D13+D29</f>
        <v>1021537</v>
      </c>
      <c r="E33" s="906">
        <f>E12+E20+E11+E17+E13+E29</f>
        <v>2508796</v>
      </c>
      <c r="F33" s="501" t="s">
        <v>1311</v>
      </c>
      <c r="G33" s="290">
        <f>tartalék!C20</f>
        <v>27422</v>
      </c>
      <c r="H33" s="290">
        <f>tartalék!D20</f>
        <v>125443</v>
      </c>
      <c r="I33" s="290">
        <f>tartalék!E20</f>
        <v>152865</v>
      </c>
      <c r="M33" s="513"/>
    </row>
    <row r="34" spans="1:13" x14ac:dyDescent="0.2">
      <c r="A34" s="164">
        <f t="shared" si="0"/>
        <v>26</v>
      </c>
      <c r="B34" s="175" t="s">
        <v>67</v>
      </c>
      <c r="C34" s="358">
        <f>C15+C16+C24+C25+C26+C27+C30</f>
        <v>9820</v>
      </c>
      <c r="D34" s="358">
        <f>D15+D16+D24+D25+D26+D27+D30</f>
        <v>316008</v>
      </c>
      <c r="E34" s="358">
        <f>E15+E16+E24+E25+E26+E27+E30</f>
        <v>325828</v>
      </c>
      <c r="F34" s="840" t="s">
        <v>68</v>
      </c>
      <c r="G34" s="358">
        <f>SUM(G27:G33)</f>
        <v>2155340</v>
      </c>
      <c r="H34" s="358">
        <f>SUM(H27:H33)</f>
        <v>309492</v>
      </c>
      <c r="I34" s="472">
        <f>SUM(I27:I33)</f>
        <v>2464832</v>
      </c>
      <c r="J34" s="10"/>
      <c r="K34" s="10"/>
      <c r="L34" s="10"/>
      <c r="M34" s="190"/>
    </row>
    <row r="35" spans="1:13" x14ac:dyDescent="0.2">
      <c r="A35" s="164">
        <f t="shared" si="0"/>
        <v>27</v>
      </c>
      <c r="B35" s="178" t="s">
        <v>51</v>
      </c>
      <c r="C35" s="360">
        <f>SUM(C33:C34)</f>
        <v>1497079</v>
      </c>
      <c r="D35" s="360">
        <f>SUM(D33:D34)</f>
        <v>1337545</v>
      </c>
      <c r="E35" s="360">
        <f>SUM(C35:D35)</f>
        <v>2834624</v>
      </c>
      <c r="F35" s="869" t="s">
        <v>69</v>
      </c>
      <c r="G35" s="360">
        <f t="shared" ref="G35:L35" si="5">G24+G34</f>
        <v>3058266</v>
      </c>
      <c r="H35" s="360">
        <f t="shared" si="5"/>
        <v>979900</v>
      </c>
      <c r="I35" s="446">
        <f t="shared" si="5"/>
        <v>4038166</v>
      </c>
      <c r="J35" s="173">
        <f t="shared" si="5"/>
        <v>0</v>
      </c>
      <c r="K35" s="173">
        <f t="shared" si="5"/>
        <v>0</v>
      </c>
      <c r="L35" s="448">
        <f t="shared" si="5"/>
        <v>0</v>
      </c>
      <c r="M35" s="190"/>
    </row>
    <row r="36" spans="1:13" x14ac:dyDescent="0.2">
      <c r="A36" s="164">
        <f t="shared" si="0"/>
        <v>28</v>
      </c>
      <c r="B36" s="180"/>
      <c r="C36" s="292"/>
      <c r="D36" s="292"/>
      <c r="E36" s="292"/>
      <c r="F36" s="607"/>
      <c r="G36" s="292"/>
      <c r="H36" s="292"/>
      <c r="I36" s="471"/>
      <c r="J36" s="10"/>
      <c r="K36" s="10"/>
      <c r="L36" s="10"/>
      <c r="M36" s="190"/>
    </row>
    <row r="37" spans="1:13" x14ac:dyDescent="0.2">
      <c r="A37" s="164">
        <f t="shared" si="0"/>
        <v>29</v>
      </c>
      <c r="B37" s="178" t="s">
        <v>23</v>
      </c>
      <c r="C37" s="360">
        <f>C35-G35</f>
        <v>-1561187</v>
      </c>
      <c r="D37" s="360">
        <f t="shared" ref="D37:E37" si="6">D35-H35</f>
        <v>357645</v>
      </c>
      <c r="E37" s="360">
        <f t="shared" si="6"/>
        <v>-1203542</v>
      </c>
      <c r="F37" s="866"/>
      <c r="G37" s="358"/>
      <c r="H37" s="358"/>
      <c r="I37" s="472"/>
      <c r="J37" s="10"/>
      <c r="K37" s="10"/>
      <c r="L37" s="10"/>
      <c r="M37" s="190"/>
    </row>
    <row r="38" spans="1:13" s="11" customFormat="1" x14ac:dyDescent="0.2">
      <c r="A38" s="164">
        <f t="shared" si="0"/>
        <v>30</v>
      </c>
      <c r="B38" s="180"/>
      <c r="C38" s="292"/>
      <c r="D38" s="292"/>
      <c r="E38" s="471"/>
      <c r="F38" s="607"/>
      <c r="G38" s="292"/>
      <c r="H38" s="292"/>
      <c r="I38" s="471"/>
      <c r="M38" s="513"/>
    </row>
    <row r="39" spans="1:13" s="11" customFormat="1" x14ac:dyDescent="0.2">
      <c r="A39" s="164">
        <f t="shared" si="0"/>
        <v>31</v>
      </c>
      <c r="B39" s="126" t="s">
        <v>53</v>
      </c>
      <c r="C39" s="633"/>
      <c r="D39" s="633"/>
      <c r="E39" s="633"/>
      <c r="F39" s="867" t="s">
        <v>33</v>
      </c>
      <c r="G39" s="360"/>
      <c r="H39" s="360"/>
      <c r="I39" s="446"/>
      <c r="M39" s="513"/>
    </row>
    <row r="40" spans="1:13" s="11" customFormat="1" x14ac:dyDescent="0.2">
      <c r="A40" s="164">
        <f t="shared" si="0"/>
        <v>32</v>
      </c>
      <c r="B40" s="136" t="s">
        <v>708</v>
      </c>
      <c r="C40" s="633"/>
      <c r="D40" s="633"/>
      <c r="E40" s="633"/>
      <c r="F40" s="870" t="s">
        <v>4</v>
      </c>
      <c r="G40" s="189"/>
      <c r="I40" s="474"/>
      <c r="M40" s="513"/>
    </row>
    <row r="41" spans="1:13" s="11" customFormat="1" ht="22.5" customHeight="1" x14ac:dyDescent="0.2">
      <c r="A41" s="331">
        <f t="shared" si="0"/>
        <v>33</v>
      </c>
      <c r="B41" s="1157" t="s">
        <v>1033</v>
      </c>
      <c r="C41" s="811">
        <v>1243160</v>
      </c>
      <c r="D41" s="1158"/>
      <c r="E41" s="1159">
        <f>SUM(C41:D41)</f>
        <v>1243160</v>
      </c>
      <c r="F41" s="907" t="s">
        <v>3</v>
      </c>
      <c r="G41" s="360"/>
      <c r="H41" s="360"/>
      <c r="I41" s="446"/>
      <c r="M41" s="513"/>
    </row>
    <row r="42" spans="1:13" x14ac:dyDescent="0.2">
      <c r="A42" s="164">
        <f t="shared" si="0"/>
        <v>34</v>
      </c>
      <c r="B42" s="118" t="s">
        <v>710</v>
      </c>
      <c r="C42" s="871"/>
      <c r="D42" s="872"/>
      <c r="E42" s="872">
        <f>SUM(C42:D42)</f>
        <v>0</v>
      </c>
      <c r="F42" s="501" t="s">
        <v>5</v>
      </c>
      <c r="G42" s="360"/>
      <c r="H42" s="360"/>
      <c r="I42" s="446"/>
      <c r="J42" s="10"/>
      <c r="K42" s="10"/>
      <c r="L42" s="10"/>
      <c r="M42" s="190"/>
    </row>
    <row r="43" spans="1:13" x14ac:dyDescent="0.2">
      <c r="A43" s="164">
        <f t="shared" si="0"/>
        <v>35</v>
      </c>
      <c r="B43" s="118" t="s">
        <v>214</v>
      </c>
      <c r="C43" s="285"/>
      <c r="D43" s="285"/>
      <c r="E43" s="285"/>
      <c r="F43" s="501" t="s">
        <v>6</v>
      </c>
      <c r="G43" s="189"/>
      <c r="H43" s="189"/>
      <c r="I43" s="446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7" t="s">
        <v>215</v>
      </c>
      <c r="C44" s="285">
        <v>1193985</v>
      </c>
      <c r="D44" s="285">
        <v>158595</v>
      </c>
      <c r="E44" s="285">
        <f>C44+D44</f>
        <v>1352580</v>
      </c>
      <c r="F44" s="501" t="s">
        <v>7</v>
      </c>
      <c r="G44" s="189"/>
      <c r="H44" s="189"/>
      <c r="I44" s="446"/>
      <c r="J44" s="10"/>
      <c r="K44" s="10"/>
      <c r="L44" s="10"/>
      <c r="M44" s="190"/>
    </row>
    <row r="45" spans="1:13" x14ac:dyDescent="0.2">
      <c r="A45" s="164">
        <f t="shared" si="0"/>
        <v>37</v>
      </c>
      <c r="B45" s="537" t="s">
        <v>991</v>
      </c>
      <c r="C45" s="285"/>
      <c r="D45" s="285"/>
      <c r="E45" s="285"/>
      <c r="F45" s="501"/>
      <c r="G45" s="189"/>
      <c r="H45" s="189"/>
      <c r="I45" s="446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711</v>
      </c>
      <c r="C46" s="285">
        <v>32811</v>
      </c>
      <c r="D46" s="285">
        <v>4260</v>
      </c>
      <c r="E46" s="285">
        <f>C46+D46</f>
        <v>37071</v>
      </c>
      <c r="F46" s="501" t="s">
        <v>8</v>
      </c>
      <c r="G46" s="360"/>
      <c r="H46" s="360"/>
      <c r="I46" s="471"/>
      <c r="J46" s="10"/>
      <c r="K46" s="10"/>
      <c r="L46" s="10"/>
      <c r="M46" s="190"/>
    </row>
    <row r="47" spans="1:13" x14ac:dyDescent="0.2">
      <c r="A47" s="164">
        <f t="shared" si="0"/>
        <v>39</v>
      </c>
      <c r="B47" s="119" t="s">
        <v>712</v>
      </c>
      <c r="C47" s="633"/>
      <c r="D47" s="633"/>
      <c r="E47" s="633"/>
      <c r="F47" s="501" t="s">
        <v>278</v>
      </c>
      <c r="G47" s="292">
        <v>30635</v>
      </c>
      <c r="H47" s="292">
        <f>3062+689</f>
        <v>3751</v>
      </c>
      <c r="I47" s="471">
        <f>SUM(G47:H47)</f>
        <v>34386</v>
      </c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713</v>
      </c>
      <c r="C48" s="285"/>
      <c r="D48" s="285"/>
      <c r="E48" s="285"/>
      <c r="F48" s="501" t="s">
        <v>244</v>
      </c>
      <c r="G48" s="292"/>
      <c r="H48" s="292"/>
      <c r="I48" s="471"/>
      <c r="J48" s="10"/>
      <c r="K48" s="10"/>
      <c r="L48" s="10"/>
      <c r="M48" s="190"/>
    </row>
    <row r="49" spans="1:13" x14ac:dyDescent="0.2">
      <c r="A49" s="164">
        <f t="shared" si="0"/>
        <v>41</v>
      </c>
      <c r="B49" s="118" t="s">
        <v>714</v>
      </c>
      <c r="C49" s="285"/>
      <c r="D49" s="285"/>
      <c r="E49" s="285"/>
      <c r="F49" s="864" t="s">
        <v>245</v>
      </c>
      <c r="G49" s="292">
        <f>'pü.mérleg Hivatal'!D48+'püm. GAMESZ. '!C48+'püm-TASZII.'!C48+püm.Brunszvik!C48+'püm Festetics'!C48</f>
        <v>864407</v>
      </c>
      <c r="H49" s="292">
        <f>'pü.mérleg Hivatal'!E48+'püm. GAMESZ. '!D48+'püm-TASZII.'!D48+püm.Brunszvik!D48+'püm Festetics'!D48</f>
        <v>499474</v>
      </c>
      <c r="I49" s="471">
        <f>SUM(G49:H49)</f>
        <v>1363881</v>
      </c>
      <c r="J49" s="10"/>
      <c r="K49" s="10"/>
      <c r="L49" s="10"/>
      <c r="M49" s="190"/>
    </row>
    <row r="50" spans="1:13" x14ac:dyDescent="0.2">
      <c r="A50" s="164">
        <f t="shared" si="0"/>
        <v>42</v>
      </c>
      <c r="B50" s="118" t="s">
        <v>0</v>
      </c>
      <c r="C50" s="285"/>
      <c r="D50" s="285"/>
      <c r="E50" s="285"/>
      <c r="F50" s="864" t="s">
        <v>246</v>
      </c>
      <c r="G50" s="292">
        <f>'pü.mérleg Hivatal'!D49+'püm. GAMESZ. '!C49+'püm-TASZII.'!C49+püm.Brunszvik!C49+'püm Festetics'!C49</f>
        <v>13727</v>
      </c>
      <c r="H50" s="292">
        <f>'pü.mérleg Hivatal'!E49+'püm. GAMESZ. '!D49+püm.Brunszvik!D49+'püm Festetics'!D49+'püm-TASZII.'!D49</f>
        <v>17275</v>
      </c>
      <c r="I50" s="292">
        <f>'pü.mérleg Hivatal'!F49+'püm. GAMESZ. '!E49+'püm-TASZII.'!E49+püm.Brunszvik!E49+'püm Festetics'!E49</f>
        <v>31002</v>
      </c>
      <c r="J50" s="10"/>
      <c r="K50" s="10"/>
      <c r="L50" s="10"/>
      <c r="M50" s="190"/>
    </row>
    <row r="51" spans="1:13" x14ac:dyDescent="0.2">
      <c r="A51" s="164">
        <f t="shared" si="0"/>
        <v>43</v>
      </c>
      <c r="B51" s="118" t="s">
        <v>1</v>
      </c>
      <c r="C51" s="285"/>
      <c r="D51" s="285"/>
      <c r="E51" s="285">
        <f>SUM(C51:D51)</f>
        <v>0</v>
      </c>
      <c r="F51" s="501" t="s">
        <v>13</v>
      </c>
      <c r="G51" s="1085"/>
      <c r="H51" s="1085"/>
      <c r="I51" s="1086"/>
      <c r="J51" s="10"/>
      <c r="K51" s="10"/>
      <c r="L51" s="10"/>
      <c r="M51" s="190"/>
    </row>
    <row r="52" spans="1:13" x14ac:dyDescent="0.2">
      <c r="A52" s="164">
        <f t="shared" si="0"/>
        <v>44</v>
      </c>
      <c r="B52" s="118"/>
      <c r="C52" s="285"/>
      <c r="D52" s="285"/>
      <c r="E52" s="285"/>
      <c r="F52" s="501" t="s">
        <v>14</v>
      </c>
      <c r="G52" s="292"/>
      <c r="H52" s="292"/>
      <c r="I52" s="471"/>
      <c r="J52" s="10"/>
      <c r="K52" s="10"/>
      <c r="L52" s="10"/>
      <c r="M52" s="190"/>
    </row>
    <row r="53" spans="1:13" x14ac:dyDescent="0.2">
      <c r="A53" s="164">
        <f t="shared" si="0"/>
        <v>45</v>
      </c>
      <c r="B53" s="118"/>
      <c r="C53" s="285"/>
      <c r="D53" s="285"/>
      <c r="E53" s="285"/>
      <c r="F53" s="501" t="s">
        <v>15</v>
      </c>
      <c r="G53" s="292"/>
      <c r="H53" s="292"/>
      <c r="I53" s="471"/>
      <c r="J53" s="10"/>
      <c r="K53" s="10"/>
      <c r="L53" s="10"/>
      <c r="M53" s="190"/>
    </row>
    <row r="54" spans="1:13" ht="12" thickBot="1" x14ac:dyDescent="0.25">
      <c r="A54" s="164">
        <f t="shared" si="0"/>
        <v>46</v>
      </c>
      <c r="B54" s="178" t="s">
        <v>462</v>
      </c>
      <c r="C54" s="633">
        <f>SUM(C40:C52)</f>
        <v>2469956</v>
      </c>
      <c r="D54" s="633">
        <f>SUM(D40:D52)</f>
        <v>162855</v>
      </c>
      <c r="E54" s="633">
        <f>SUM(E40:E52)</f>
        <v>2632811</v>
      </c>
      <c r="F54" s="867" t="s">
        <v>455</v>
      </c>
      <c r="G54" s="360">
        <f t="shared" ref="G54:L54" si="7">SUM(G40:G53)</f>
        <v>908769</v>
      </c>
      <c r="H54" s="360">
        <f t="shared" si="7"/>
        <v>520500</v>
      </c>
      <c r="I54" s="446">
        <f t="shared" si="7"/>
        <v>1429269</v>
      </c>
      <c r="J54" s="173">
        <f t="shared" si="7"/>
        <v>0</v>
      </c>
      <c r="K54" s="173">
        <f t="shared" si="7"/>
        <v>0</v>
      </c>
      <c r="L54" s="448">
        <f t="shared" si="7"/>
        <v>0</v>
      </c>
      <c r="M54" s="190"/>
    </row>
    <row r="55" spans="1:13" ht="12" thickBot="1" x14ac:dyDescent="0.25">
      <c r="A55" s="932">
        <f t="shared" si="0"/>
        <v>47</v>
      </c>
      <c r="B55" s="1136" t="s">
        <v>457</v>
      </c>
      <c r="C55" s="1092">
        <f>C35+C54</f>
        <v>3967035</v>
      </c>
      <c r="D55" s="908">
        <f>D35+D54</f>
        <v>1500400</v>
      </c>
      <c r="E55" s="909">
        <f>E35+E54</f>
        <v>5467435</v>
      </c>
      <c r="F55" s="910" t="s">
        <v>456</v>
      </c>
      <c r="G55" s="1135">
        <f t="shared" ref="G55:L55" si="8">G35+G54</f>
        <v>3967035</v>
      </c>
      <c r="H55" s="1135">
        <f t="shared" si="8"/>
        <v>1500400</v>
      </c>
      <c r="I55" s="911">
        <f t="shared" si="8"/>
        <v>5467435</v>
      </c>
      <c r="J55" s="455">
        <f t="shared" si="8"/>
        <v>0</v>
      </c>
      <c r="K55" s="506">
        <f t="shared" si="8"/>
        <v>0</v>
      </c>
      <c r="L55" s="563">
        <f t="shared" si="8"/>
        <v>0</v>
      </c>
      <c r="M55" s="291"/>
    </row>
    <row r="56" spans="1:13" x14ac:dyDescent="0.2">
      <c r="B56" s="183"/>
      <c r="C56" s="182"/>
      <c r="D56" s="182"/>
      <c r="E56" s="182"/>
      <c r="F56" s="173"/>
      <c r="G56" s="182"/>
      <c r="H56" s="182"/>
      <c r="I56" s="182"/>
      <c r="J56" s="10"/>
      <c r="K56" s="10"/>
      <c r="L56" s="10"/>
    </row>
    <row r="62" spans="1:13" x14ac:dyDescent="0.2">
      <c r="H62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65" t="s">
        <v>1373</v>
      </c>
      <c r="E1" s="1213"/>
      <c r="F1" s="1213"/>
      <c r="G1" s="1213"/>
      <c r="H1" s="1213"/>
      <c r="I1" s="1213"/>
      <c r="J1" s="1213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68" t="s">
        <v>78</v>
      </c>
      <c r="D4" s="1168"/>
      <c r="E4" s="1168"/>
      <c r="F4" s="1168"/>
      <c r="G4" s="1168"/>
      <c r="H4" s="1168"/>
      <c r="I4" s="1168"/>
      <c r="J4" s="1168"/>
    </row>
    <row r="5" spans="2:11" s="122" customFormat="1" x14ac:dyDescent="0.2">
      <c r="B5" s="160"/>
      <c r="C5" s="1270" t="s">
        <v>188</v>
      </c>
      <c r="D5" s="1270"/>
      <c r="E5" s="1270"/>
      <c r="F5" s="1270"/>
      <c r="G5" s="1270"/>
      <c r="H5" s="1270"/>
      <c r="I5" s="1270"/>
      <c r="J5" s="1270"/>
    </row>
    <row r="6" spans="2:11" s="122" customFormat="1" x14ac:dyDescent="0.2">
      <c r="B6" s="160"/>
      <c r="C6" s="1168" t="s">
        <v>1084</v>
      </c>
      <c r="D6" s="1168"/>
      <c r="E6" s="1168"/>
      <c r="F6" s="1168"/>
      <c r="G6" s="1168"/>
      <c r="H6" s="1168"/>
      <c r="I6" s="1168"/>
      <c r="J6" s="1168"/>
    </row>
    <row r="7" spans="2:11" s="122" customFormat="1" ht="12.75" x14ac:dyDescent="0.2">
      <c r="B7" s="1169" t="s">
        <v>310</v>
      </c>
      <c r="C7" s="1215"/>
      <c r="D7" s="1215"/>
      <c r="E7" s="1215"/>
      <c r="F7" s="1215"/>
      <c r="G7" s="1215"/>
      <c r="H7" s="1215"/>
      <c r="I7" s="1215"/>
      <c r="J7" s="1215"/>
    </row>
    <row r="8" spans="2:11" s="122" customFormat="1" ht="12.75" customHeight="1" x14ac:dyDescent="0.2">
      <c r="B8" s="1173" t="s">
        <v>56</v>
      </c>
      <c r="C8" s="1174" t="s">
        <v>57</v>
      </c>
      <c r="D8" s="1189" t="s">
        <v>58</v>
      </c>
      <c r="E8" s="1189"/>
      <c r="F8" s="1190"/>
      <c r="G8" s="1269" t="s">
        <v>59</v>
      </c>
      <c r="H8" s="1171" t="s">
        <v>60</v>
      </c>
      <c r="I8" s="1172"/>
      <c r="J8" s="1172"/>
      <c r="K8" s="608"/>
    </row>
    <row r="9" spans="2:11" s="122" customFormat="1" ht="12.75" customHeight="1" x14ac:dyDescent="0.2">
      <c r="B9" s="1173"/>
      <c r="C9" s="1174"/>
      <c r="D9" s="1166" t="s">
        <v>1078</v>
      </c>
      <c r="E9" s="1166"/>
      <c r="F9" s="1167"/>
      <c r="G9" s="1271"/>
      <c r="H9" s="1166" t="s">
        <v>1078</v>
      </c>
      <c r="I9" s="1166"/>
      <c r="J9" s="1166"/>
      <c r="K9" s="608"/>
    </row>
    <row r="10" spans="2:11" s="123" customFormat="1" ht="36.6" customHeight="1" x14ac:dyDescent="0.2">
      <c r="B10" s="1173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9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50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222</v>
      </c>
      <c r="H12" s="119">
        <v>95916</v>
      </c>
      <c r="I12" s="119">
        <v>93140</v>
      </c>
      <c r="J12" s="443">
        <f>SUM(H12:I12)</f>
        <v>189056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8" t="s">
        <v>223</v>
      </c>
      <c r="H13" s="119">
        <v>24172</v>
      </c>
      <c r="I13" s="119">
        <v>18121</v>
      </c>
      <c r="J13" s="443">
        <f>SUM(H13:I13)</f>
        <v>42293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'!C60</f>
        <v>1387</v>
      </c>
      <c r="E14" s="118">
        <f>'tám, végl. pe.átv  '!D60</f>
        <v>77</v>
      </c>
      <c r="F14" s="118">
        <f>'tám, végl. pe.átv  '!E60</f>
        <v>1464</v>
      </c>
      <c r="G14" s="139" t="s">
        <v>224</v>
      </c>
      <c r="H14" s="119">
        <v>7510</v>
      </c>
      <c r="I14" s="119">
        <v>56971</v>
      </c>
      <c r="J14" s="443">
        <f>SUM(H14:I14)</f>
        <v>64481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3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153</v>
      </c>
      <c r="I16" s="169">
        <f>'ellátottak hivatal'!F17</f>
        <v>0</v>
      </c>
      <c r="J16" s="443">
        <f>SUM(H16:I16)</f>
        <v>153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3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460</v>
      </c>
      <c r="H18" s="169">
        <f>mc.pe.átad!D76</f>
        <v>30</v>
      </c>
      <c r="I18" s="169">
        <f>mc.pe.átad!E76</f>
        <v>0</v>
      </c>
      <c r="J18" s="169">
        <f>mc.pe.átad!F76</f>
        <v>30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459</v>
      </c>
      <c r="H19" s="169"/>
      <c r="I19" s="169"/>
      <c r="J19" s="445"/>
      <c r="K19" s="190"/>
    </row>
    <row r="20" spans="2:11" x14ac:dyDescent="0.2">
      <c r="B20" s="164">
        <f t="shared" si="0"/>
        <v>10</v>
      </c>
      <c r="C20" s="116" t="s">
        <v>201</v>
      </c>
      <c r="D20" s="357">
        <v>117</v>
      </c>
      <c r="E20" s="357">
        <v>515</v>
      </c>
      <c r="F20" s="357">
        <f>SUM(D20:E20)</f>
        <v>632</v>
      </c>
      <c r="G20" s="139" t="s">
        <v>229</v>
      </c>
      <c r="H20" s="169"/>
      <c r="I20" s="169">
        <v>0</v>
      </c>
      <c r="J20" s="445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452</v>
      </c>
      <c r="H21" s="169"/>
      <c r="I21" s="169"/>
      <c r="J21" s="445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453</v>
      </c>
      <c r="H22" s="169"/>
      <c r="I22" s="169"/>
      <c r="J22" s="445"/>
      <c r="K22" s="610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5"/>
      <c r="K23" s="610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127781</v>
      </c>
      <c r="I24" s="125">
        <f>SUM(I12:I22)</f>
        <v>168232</v>
      </c>
      <c r="J24" s="444">
        <f>SUM(J12:J22)</f>
        <v>296013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5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5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233</v>
      </c>
      <c r="H27" s="169">
        <f>'felhalm. kiad.  '!G126</f>
        <v>3125</v>
      </c>
      <c r="I27" s="169">
        <f>'felhalm. kiad.  '!H126</f>
        <v>3185</v>
      </c>
      <c r="J27" s="445">
        <f>SUM(H27:I27)</f>
        <v>6310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5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5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461</v>
      </c>
      <c r="H30" s="169"/>
      <c r="I30" s="169"/>
      <c r="J30" s="445"/>
      <c r="K30" s="610"/>
    </row>
    <row r="31" spans="2:11" x14ac:dyDescent="0.2">
      <c r="B31" s="164">
        <f t="shared" si="0"/>
        <v>21</v>
      </c>
      <c r="D31" s="119"/>
      <c r="E31" s="119"/>
      <c r="F31" s="119"/>
      <c r="G31" s="139" t="s">
        <v>458</v>
      </c>
      <c r="H31" s="169"/>
      <c r="I31" s="169"/>
      <c r="J31" s="445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7">
        <f>D13+D14+D16+D18+D20+D23+D24+D25+D26+D27+D29+D30</f>
        <v>1504</v>
      </c>
      <c r="E32" s="357">
        <f>E13+E14+E16+E18+E20+E23+E24+E25+E26+E27+E29+E30</f>
        <v>592</v>
      </c>
      <c r="F32" s="357">
        <f>F13+F14+F16+F18+F20+F23+F24+F25+F26+F27+F29+F30</f>
        <v>2096</v>
      </c>
      <c r="G32" s="139" t="s">
        <v>454</v>
      </c>
      <c r="H32" s="158"/>
      <c r="I32" s="158"/>
      <c r="J32" s="445"/>
      <c r="K32" s="513"/>
    </row>
    <row r="33" spans="2:11" x14ac:dyDescent="0.2">
      <c r="B33" s="164">
        <f t="shared" si="0"/>
        <v>23</v>
      </c>
      <c r="C33" s="175" t="s">
        <v>67</v>
      </c>
      <c r="D33" s="359"/>
      <c r="E33" s="359"/>
      <c r="F33" s="359"/>
      <c r="G33" s="176" t="s">
        <v>68</v>
      </c>
      <c r="H33" s="177">
        <f>SUM(H27:H32)</f>
        <v>3125</v>
      </c>
      <c r="I33" s="177">
        <f>SUM(I27:I32)</f>
        <v>3185</v>
      </c>
      <c r="J33" s="447">
        <f>SUM(J27:J31)</f>
        <v>6310</v>
      </c>
      <c r="K33" s="190"/>
    </row>
    <row r="34" spans="2:11" x14ac:dyDescent="0.2">
      <c r="B34" s="164">
        <f t="shared" si="0"/>
        <v>24</v>
      </c>
      <c r="C34" s="178" t="s">
        <v>51</v>
      </c>
      <c r="D34" s="360">
        <f>SUM(D32:D33)</f>
        <v>1504</v>
      </c>
      <c r="E34" s="360">
        <f>SUM(E32:E33)</f>
        <v>592</v>
      </c>
      <c r="F34" s="360">
        <f>SUM(F32:F33)</f>
        <v>2096</v>
      </c>
      <c r="G34" s="179" t="s">
        <v>69</v>
      </c>
      <c r="H34" s="173">
        <f>H24+H33</f>
        <v>130906</v>
      </c>
      <c r="I34" s="173">
        <f>I24+I33</f>
        <v>171417</v>
      </c>
      <c r="J34" s="448">
        <f>J24+J33</f>
        <v>302323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5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4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5"/>
      <c r="K37" s="513"/>
    </row>
    <row r="38" spans="2:11" s="11" customFormat="1" x14ac:dyDescent="0.2">
      <c r="B38" s="782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8"/>
      <c r="K38" s="513"/>
    </row>
    <row r="39" spans="2:11" s="11" customFormat="1" x14ac:dyDescent="0.2">
      <c r="B39" s="164">
        <f t="shared" si="0"/>
        <v>29</v>
      </c>
      <c r="C39" s="136" t="s">
        <v>708</v>
      </c>
      <c r="D39" s="126"/>
      <c r="E39" s="126"/>
      <c r="F39" s="126"/>
      <c r="G39" s="181" t="s">
        <v>4</v>
      </c>
      <c r="H39" s="182"/>
      <c r="I39" s="183"/>
      <c r="J39" s="449"/>
      <c r="K39" s="513"/>
    </row>
    <row r="40" spans="2:11" s="11" customFormat="1" x14ac:dyDescent="0.2">
      <c r="B40" s="164">
        <f t="shared" si="0"/>
        <v>30</v>
      </c>
      <c r="C40" s="157" t="s">
        <v>993</v>
      </c>
      <c r="D40" s="126"/>
      <c r="E40" s="126"/>
      <c r="F40" s="126"/>
      <c r="G40" s="539" t="s">
        <v>3</v>
      </c>
      <c r="H40" s="173"/>
      <c r="I40" s="173"/>
      <c r="J40" s="448"/>
      <c r="K40" s="513"/>
    </row>
    <row r="41" spans="2:11" x14ac:dyDescent="0.2">
      <c r="B41" s="164">
        <f t="shared" si="0"/>
        <v>31</v>
      </c>
      <c r="C41" s="118" t="s">
        <v>710</v>
      </c>
      <c r="D41" s="185"/>
      <c r="E41" s="185"/>
      <c r="F41" s="185"/>
      <c r="G41" s="139" t="s">
        <v>5</v>
      </c>
      <c r="H41" s="173"/>
      <c r="I41" s="173"/>
      <c r="J41" s="448"/>
      <c r="K41" s="190"/>
    </row>
    <row r="42" spans="2:11" x14ac:dyDescent="0.2">
      <c r="B42" s="164">
        <f t="shared" si="0"/>
        <v>32</v>
      </c>
      <c r="C42" s="118" t="s">
        <v>214</v>
      </c>
      <c r="D42" s="119"/>
      <c r="E42" s="119"/>
      <c r="F42" s="119"/>
      <c r="G42" s="139" t="s">
        <v>6</v>
      </c>
      <c r="H42" s="182"/>
      <c r="I42" s="182"/>
      <c r="J42" s="448"/>
      <c r="K42" s="190"/>
    </row>
    <row r="43" spans="2:11" x14ac:dyDescent="0.2">
      <c r="B43" s="164">
        <f t="shared" si="0"/>
        <v>33</v>
      </c>
      <c r="C43" s="537" t="s">
        <v>215</v>
      </c>
      <c r="D43" s="119">
        <v>712</v>
      </c>
      <c r="E43" s="119">
        <v>15744</v>
      </c>
      <c r="F43" s="119">
        <f>D43+E43</f>
        <v>16456</v>
      </c>
      <c r="G43" s="139" t="s">
        <v>7</v>
      </c>
      <c r="H43" s="182"/>
      <c r="I43" s="182"/>
      <c r="J43" s="448"/>
      <c r="K43" s="190"/>
    </row>
    <row r="44" spans="2:11" x14ac:dyDescent="0.2">
      <c r="B44" s="164">
        <f t="shared" si="0"/>
        <v>34</v>
      </c>
      <c r="C44" s="537" t="s">
        <v>991</v>
      </c>
      <c r="D44" s="119"/>
      <c r="E44" s="119"/>
      <c r="F44" s="119"/>
      <c r="G44" s="139"/>
      <c r="H44" s="182"/>
      <c r="I44" s="182"/>
      <c r="J44" s="448"/>
      <c r="K44" s="190"/>
    </row>
    <row r="45" spans="2:11" x14ac:dyDescent="0.2">
      <c r="B45" s="164">
        <f t="shared" si="0"/>
        <v>35</v>
      </c>
      <c r="C45" s="119" t="s">
        <v>711</v>
      </c>
      <c r="D45" s="119"/>
      <c r="E45" s="119"/>
      <c r="F45" s="119"/>
      <c r="G45" s="139" t="s">
        <v>8</v>
      </c>
      <c r="H45" s="173"/>
      <c r="I45" s="173"/>
      <c r="J45" s="445"/>
      <c r="K45" s="190"/>
    </row>
    <row r="46" spans="2:11" x14ac:dyDescent="0.2">
      <c r="B46" s="164">
        <f t="shared" si="0"/>
        <v>36</v>
      </c>
      <c r="C46" s="119" t="s">
        <v>712</v>
      </c>
      <c r="D46" s="126"/>
      <c r="E46" s="126"/>
      <c r="F46" s="126"/>
      <c r="G46" s="139" t="s">
        <v>9</v>
      </c>
      <c r="H46" s="173"/>
      <c r="I46" s="173"/>
      <c r="J46" s="445"/>
      <c r="K46" s="190"/>
    </row>
    <row r="47" spans="2:11" x14ac:dyDescent="0.2">
      <c r="B47" s="164">
        <f t="shared" si="0"/>
        <v>37</v>
      </c>
      <c r="C47" s="118" t="s">
        <v>218</v>
      </c>
      <c r="D47" s="119"/>
      <c r="E47" s="119"/>
      <c r="F47" s="119"/>
      <c r="G47" s="139" t="s">
        <v>10</v>
      </c>
      <c r="H47" s="169"/>
      <c r="I47" s="169"/>
      <c r="J47" s="445"/>
      <c r="K47" s="190"/>
    </row>
    <row r="48" spans="2:11" x14ac:dyDescent="0.2">
      <c r="B48" s="164">
        <f t="shared" si="0"/>
        <v>38</v>
      </c>
      <c r="C48" s="537" t="s">
        <v>219</v>
      </c>
      <c r="D48" s="285">
        <f>H24-(D34+D43)</f>
        <v>125565</v>
      </c>
      <c r="E48" s="285">
        <f>I24-(E34+E43)</f>
        <v>151896</v>
      </c>
      <c r="F48" s="285">
        <f>J24-(F34+F43)</f>
        <v>277461</v>
      </c>
      <c r="G48" s="139" t="s">
        <v>11</v>
      </c>
      <c r="H48" s="169"/>
      <c r="I48" s="169"/>
      <c r="J48" s="445"/>
      <c r="K48" s="190"/>
    </row>
    <row r="49" spans="2:11" x14ac:dyDescent="0.2">
      <c r="B49" s="164">
        <f t="shared" si="0"/>
        <v>39</v>
      </c>
      <c r="C49" s="537" t="s">
        <v>220</v>
      </c>
      <c r="D49" s="119">
        <f>H33-D33</f>
        <v>3125</v>
      </c>
      <c r="E49" s="119">
        <f>I33-E33</f>
        <v>3185</v>
      </c>
      <c r="F49" s="119">
        <f>J33-F33</f>
        <v>6310</v>
      </c>
      <c r="G49" s="139" t="s">
        <v>12</v>
      </c>
      <c r="H49" s="169"/>
      <c r="I49" s="169"/>
      <c r="J49" s="445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5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5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5"/>
      <c r="K52" s="190"/>
    </row>
    <row r="53" spans="2:11" ht="12" thickBot="1" x14ac:dyDescent="0.25">
      <c r="B53" s="164">
        <f t="shared" si="0"/>
        <v>43</v>
      </c>
      <c r="C53" s="178" t="s">
        <v>462</v>
      </c>
      <c r="D53" s="126">
        <f>SUM(D39:D51)</f>
        <v>129402</v>
      </c>
      <c r="E53" s="126">
        <f>SUM(E39:E51)</f>
        <v>170825</v>
      </c>
      <c r="F53" s="126">
        <f>SUM(F39:F51)</f>
        <v>300227</v>
      </c>
      <c r="G53" s="140" t="s">
        <v>455</v>
      </c>
      <c r="H53" s="173">
        <f>SUM(H39:H52)</f>
        <v>0</v>
      </c>
      <c r="I53" s="173">
        <f>SUM(I39:I52)</f>
        <v>0</v>
      </c>
      <c r="J53" s="448">
        <f>SUM(J39:J52)</f>
        <v>0</v>
      </c>
      <c r="K53" s="190"/>
    </row>
    <row r="54" spans="2:11" ht="12" thickBot="1" x14ac:dyDescent="0.25">
      <c r="B54" s="932">
        <f t="shared" si="0"/>
        <v>44</v>
      </c>
      <c r="C54" s="1136" t="s">
        <v>457</v>
      </c>
      <c r="D54" s="305">
        <f>D34+D53</f>
        <v>130906</v>
      </c>
      <c r="E54" s="1093">
        <f>E34+E53</f>
        <v>171417</v>
      </c>
      <c r="F54" s="928">
        <f>F34+F53</f>
        <v>302323</v>
      </c>
      <c r="G54" s="507" t="s">
        <v>456</v>
      </c>
      <c r="H54" s="1094">
        <f>H34+H53</f>
        <v>130906</v>
      </c>
      <c r="I54" s="1094">
        <f>I34+I53</f>
        <v>171417</v>
      </c>
      <c r="J54" s="929">
        <f>J34+J53</f>
        <v>302323</v>
      </c>
      <c r="K54" s="291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1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7" hidden="1" customWidth="1"/>
    <col min="13" max="13" width="8.5703125" style="297" hidden="1" customWidth="1"/>
    <col min="14" max="14" width="7.5703125" style="297" hidden="1" customWidth="1"/>
    <col min="15" max="15" width="8.28515625" style="297" hidden="1" customWidth="1"/>
    <col min="16" max="16" width="5.7109375" style="297" hidden="1" customWidth="1"/>
    <col min="17" max="17" width="8" style="297" hidden="1" customWidth="1"/>
    <col min="18" max="18" width="6.140625" style="297" hidden="1" customWidth="1"/>
    <col min="19" max="19" width="4.42578125" style="570" customWidth="1"/>
    <col min="20" max="16384" width="9.140625" style="80"/>
  </cols>
  <sheetData>
    <row r="1" spans="1:19" ht="17.25" customHeight="1" x14ac:dyDescent="0.2">
      <c r="B1" s="1295" t="s">
        <v>300</v>
      </c>
      <c r="C1" s="1295"/>
      <c r="D1" s="1295"/>
      <c r="E1" s="1295"/>
      <c r="F1" s="1295"/>
      <c r="G1" s="1295"/>
      <c r="H1" s="1295"/>
      <c r="I1" s="1295"/>
      <c r="J1" s="1295"/>
      <c r="K1" s="1303"/>
      <c r="L1" s="1213"/>
      <c r="M1" s="1213"/>
      <c r="N1" s="1213"/>
      <c r="O1" s="1213"/>
      <c r="P1" s="1213"/>
      <c r="Q1" s="1213"/>
      <c r="R1" s="1213"/>
    </row>
    <row r="2" spans="1:19" ht="13.5" customHeight="1" x14ac:dyDescent="0.2">
      <c r="A2" s="1305" t="s">
        <v>87</v>
      </c>
      <c r="B2" s="1305"/>
      <c r="C2" s="1305"/>
      <c r="D2" s="1305"/>
      <c r="E2" s="1305"/>
      <c r="F2" s="1305"/>
      <c r="G2" s="1305"/>
      <c r="H2" s="1305"/>
      <c r="I2" s="1305"/>
      <c r="J2" s="1305"/>
      <c r="K2" s="1305"/>
      <c r="L2" s="80"/>
      <c r="M2" s="80"/>
      <c r="N2" s="80"/>
      <c r="O2" s="80"/>
      <c r="P2" s="80"/>
      <c r="Q2" s="80"/>
      <c r="R2" s="80"/>
      <c r="S2" s="558"/>
    </row>
    <row r="3" spans="1:19" s="82" customFormat="1" ht="12" customHeight="1" x14ac:dyDescent="0.2">
      <c r="A3" s="1168" t="s">
        <v>298</v>
      </c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213"/>
      <c r="M3" s="1213"/>
      <c r="N3" s="1213"/>
      <c r="O3" s="1213"/>
      <c r="P3" s="1213"/>
      <c r="Q3" s="1213"/>
      <c r="R3" s="1213"/>
      <c r="S3" s="571"/>
    </row>
    <row r="4" spans="1:19" s="82" customFormat="1" ht="23.25" customHeight="1" thickBot="1" x14ac:dyDescent="0.25">
      <c r="A4" s="212"/>
      <c r="B4" s="213"/>
      <c r="C4" s="214"/>
      <c r="D4" s="214"/>
      <c r="E4" s="214"/>
      <c r="F4" s="214"/>
      <c r="G4" s="1306" t="s">
        <v>310</v>
      </c>
      <c r="H4" s="1306"/>
      <c r="I4" s="1306"/>
      <c r="J4" s="1306"/>
      <c r="K4" s="1306"/>
      <c r="L4" s="340"/>
      <c r="M4" s="340"/>
      <c r="N4" s="340"/>
      <c r="O4" s="340"/>
      <c r="P4" s="340"/>
      <c r="Q4" s="340"/>
      <c r="R4" s="340"/>
      <c r="S4" s="571"/>
    </row>
    <row r="5" spans="1:19" s="117" customFormat="1" ht="17.25" customHeight="1" thickBot="1" x14ac:dyDescent="0.25">
      <c r="A5" s="1310" t="s">
        <v>483</v>
      </c>
      <c r="B5" s="1308" t="s">
        <v>547</v>
      </c>
      <c r="C5" s="1290" t="s">
        <v>57</v>
      </c>
      <c r="D5" s="1290"/>
      <c r="E5" s="1290" t="s">
        <v>58</v>
      </c>
      <c r="F5" s="1290"/>
      <c r="G5" s="1290" t="s">
        <v>59</v>
      </c>
      <c r="H5" s="1290"/>
      <c r="I5" s="1311" t="s">
        <v>60</v>
      </c>
      <c r="J5" s="1294"/>
      <c r="K5" s="215" t="s">
        <v>484</v>
      </c>
      <c r="L5" s="296"/>
      <c r="S5" s="558"/>
    </row>
    <row r="6" spans="1:19" s="117" customFormat="1" ht="17.25" customHeight="1" thickBot="1" x14ac:dyDescent="0.25">
      <c r="A6" s="1310"/>
      <c r="B6" s="1308"/>
      <c r="C6" s="1167" t="s">
        <v>297</v>
      </c>
      <c r="D6" s="1299"/>
      <c r="E6" s="1299"/>
      <c r="F6" s="1299"/>
      <c r="G6" s="1299"/>
      <c r="H6" s="1299"/>
      <c r="I6" s="1299"/>
      <c r="J6" s="1299"/>
      <c r="K6" s="1309"/>
      <c r="L6" s="296"/>
      <c r="S6" s="558"/>
    </row>
    <row r="7" spans="1:19" ht="40.15" customHeight="1" thickBot="1" x14ac:dyDescent="0.25">
      <c r="A7" s="1310"/>
      <c r="B7" s="1308"/>
      <c r="C7" s="1278" t="s">
        <v>466</v>
      </c>
      <c r="D7" s="1278"/>
      <c r="E7" s="1278" t="s">
        <v>467</v>
      </c>
      <c r="F7" s="1278"/>
      <c r="G7" s="1278" t="s">
        <v>22</v>
      </c>
      <c r="H7" s="1278"/>
      <c r="I7" s="1279" t="s">
        <v>260</v>
      </c>
      <c r="J7" s="1280"/>
      <c r="K7" s="1307" t="s">
        <v>548</v>
      </c>
      <c r="M7" s="80"/>
      <c r="N7" s="80"/>
      <c r="O7" s="80"/>
      <c r="P7" s="80"/>
      <c r="Q7" s="80"/>
      <c r="R7" s="80"/>
      <c r="S7" s="558"/>
    </row>
    <row r="8" spans="1:19" ht="50.25" customHeight="1" thickBot="1" x14ac:dyDescent="0.25">
      <c r="A8" s="1310"/>
      <c r="B8" s="1308"/>
      <c r="C8" s="1278"/>
      <c r="D8" s="1278"/>
      <c r="E8" s="1278"/>
      <c r="F8" s="1278"/>
      <c r="G8" s="1278"/>
      <c r="H8" s="1278"/>
      <c r="I8" s="1281"/>
      <c r="J8" s="1282"/>
      <c r="K8" s="1307"/>
      <c r="M8" s="80"/>
      <c r="N8" s="80"/>
      <c r="O8" s="80"/>
      <c r="P8" s="80"/>
      <c r="Q8" s="80"/>
      <c r="R8" s="80"/>
      <c r="S8" s="558"/>
    </row>
    <row r="9" spans="1:19" ht="33" customHeight="1" thickBot="1" x14ac:dyDescent="0.25">
      <c r="A9" s="1310"/>
      <c r="B9" s="1308"/>
      <c r="C9" s="216" t="s">
        <v>62</v>
      </c>
      <c r="D9" s="217" t="s">
        <v>63</v>
      </c>
      <c r="E9" s="216" t="s">
        <v>62</v>
      </c>
      <c r="F9" s="216" t="s">
        <v>63</v>
      </c>
      <c r="G9" s="216" t="s">
        <v>62</v>
      </c>
      <c r="H9" s="216" t="s">
        <v>63</v>
      </c>
      <c r="I9" s="216" t="s">
        <v>62</v>
      </c>
      <c r="J9" s="216" t="s">
        <v>63</v>
      </c>
      <c r="K9" s="1307"/>
      <c r="M9" s="80"/>
      <c r="N9" s="80"/>
      <c r="O9" s="80"/>
      <c r="P9" s="80"/>
      <c r="Q9" s="80"/>
      <c r="R9" s="80"/>
      <c r="S9" s="558"/>
    </row>
    <row r="10" spans="1:19" ht="17.25" customHeight="1" x14ac:dyDescent="0.2">
      <c r="A10" s="218" t="s">
        <v>493</v>
      </c>
      <c r="B10" s="219" t="s">
        <v>250</v>
      </c>
      <c r="C10" s="220">
        <v>1600</v>
      </c>
      <c r="E10" s="221"/>
      <c r="F10" s="222"/>
      <c r="G10" s="221"/>
      <c r="H10" s="521"/>
      <c r="I10" s="222"/>
      <c r="J10" s="222"/>
      <c r="K10" s="223">
        <f t="shared" ref="K10:K39" si="0">SUM(C10:J10)</f>
        <v>1600</v>
      </c>
      <c r="M10" s="80"/>
      <c r="N10" s="80"/>
      <c r="O10" s="80"/>
      <c r="P10" s="80"/>
      <c r="Q10" s="80"/>
      <c r="R10" s="80"/>
      <c r="S10" s="558"/>
    </row>
    <row r="11" spans="1:19" s="81" customFormat="1" ht="17.25" customHeight="1" x14ac:dyDescent="0.2">
      <c r="A11" s="218" t="s">
        <v>501</v>
      </c>
      <c r="B11" s="517" t="s">
        <v>251</v>
      </c>
      <c r="C11" s="518">
        <v>33533</v>
      </c>
      <c r="D11" s="519"/>
      <c r="E11" s="585">
        <f>'közhatalmi bevételek'!D26</f>
        <v>1500</v>
      </c>
      <c r="F11" s="224"/>
      <c r="G11" s="225"/>
      <c r="H11" s="522"/>
      <c r="I11" s="224"/>
      <c r="J11" s="224"/>
      <c r="K11" s="223">
        <f t="shared" si="0"/>
        <v>35033</v>
      </c>
      <c r="L11" s="285"/>
      <c r="S11" s="572"/>
    </row>
    <row r="12" spans="1:19" ht="17.25" customHeight="1" x14ac:dyDescent="0.2">
      <c r="A12" s="218" t="s">
        <v>502</v>
      </c>
      <c r="B12" s="167" t="s">
        <v>252</v>
      </c>
      <c r="C12" s="139"/>
      <c r="D12" s="119">
        <v>53</v>
      </c>
      <c r="E12" s="120"/>
      <c r="F12" s="119"/>
      <c r="G12" s="120"/>
      <c r="H12" s="451"/>
      <c r="I12" s="119"/>
      <c r="J12" s="119"/>
      <c r="K12" s="223">
        <f t="shared" si="0"/>
        <v>53</v>
      </c>
      <c r="M12" s="80"/>
      <c r="N12" s="80"/>
      <c r="O12" s="80"/>
      <c r="P12" s="80"/>
      <c r="Q12" s="80"/>
      <c r="R12" s="80"/>
      <c r="S12" s="558"/>
    </row>
    <row r="13" spans="1:19" ht="17.25" customHeight="1" x14ac:dyDescent="0.2">
      <c r="A13" s="218" t="s">
        <v>503</v>
      </c>
      <c r="B13" s="167" t="s">
        <v>253</v>
      </c>
      <c r="C13" s="139"/>
      <c r="D13" s="119">
        <v>391</v>
      </c>
      <c r="E13" s="120"/>
      <c r="F13" s="119"/>
      <c r="G13" s="120"/>
      <c r="H13" s="523"/>
      <c r="I13" s="226"/>
      <c r="J13" s="226"/>
      <c r="K13" s="223">
        <f t="shared" si="0"/>
        <v>391</v>
      </c>
      <c r="M13" s="80"/>
      <c r="N13" s="80"/>
      <c r="O13" s="80"/>
      <c r="P13" s="80"/>
      <c r="Q13" s="80"/>
      <c r="R13" s="80"/>
      <c r="S13" s="558"/>
    </row>
    <row r="14" spans="1:19" ht="17.25" customHeight="1" x14ac:dyDescent="0.2">
      <c r="A14" s="218" t="s">
        <v>504</v>
      </c>
      <c r="B14" s="167" t="s">
        <v>254</v>
      </c>
      <c r="C14" s="139"/>
      <c r="D14" s="119"/>
      <c r="E14" s="120"/>
      <c r="F14" s="119"/>
      <c r="G14" s="120"/>
      <c r="H14" s="523"/>
      <c r="I14" s="226"/>
      <c r="J14" s="226"/>
      <c r="K14" s="223">
        <f t="shared" si="0"/>
        <v>0</v>
      </c>
      <c r="M14" s="80"/>
      <c r="N14" s="80"/>
      <c r="O14" s="80"/>
      <c r="P14" s="80"/>
      <c r="Q14" s="80"/>
      <c r="R14" s="80"/>
      <c r="S14" s="558"/>
    </row>
    <row r="15" spans="1:19" ht="17.25" customHeight="1" x14ac:dyDescent="0.2">
      <c r="A15" s="218" t="s">
        <v>505</v>
      </c>
      <c r="B15" s="167" t="s">
        <v>255</v>
      </c>
      <c r="C15" s="139"/>
      <c r="D15" s="119">
        <v>20031</v>
      </c>
      <c r="E15" s="120"/>
      <c r="F15" s="119"/>
      <c r="G15" s="120"/>
      <c r="H15" s="523"/>
      <c r="I15" s="226"/>
      <c r="J15" s="226"/>
      <c r="K15" s="223">
        <f t="shared" si="0"/>
        <v>20031</v>
      </c>
      <c r="M15" s="80"/>
      <c r="N15" s="80"/>
      <c r="O15" s="80"/>
      <c r="P15" s="80"/>
      <c r="Q15" s="80"/>
      <c r="R15" s="80"/>
      <c r="S15" s="558"/>
    </row>
    <row r="16" spans="1:19" ht="17.25" customHeight="1" x14ac:dyDescent="0.2">
      <c r="A16" s="218" t="s">
        <v>506</v>
      </c>
      <c r="B16" s="167" t="s">
        <v>256</v>
      </c>
      <c r="C16" s="139">
        <v>3600</v>
      </c>
      <c r="D16" s="119">
        <v>8084</v>
      </c>
      <c r="E16" s="120"/>
      <c r="F16" s="119"/>
      <c r="G16" s="120"/>
      <c r="H16" s="523"/>
      <c r="I16" s="226"/>
      <c r="J16" s="226"/>
      <c r="K16" s="223">
        <f t="shared" si="0"/>
        <v>11684</v>
      </c>
      <c r="M16" s="80"/>
      <c r="N16" s="80"/>
      <c r="O16" s="80"/>
      <c r="P16" s="80"/>
      <c r="Q16" s="80"/>
      <c r="R16" s="80"/>
      <c r="S16" s="558"/>
    </row>
    <row r="17" spans="1:19" ht="17.25" customHeight="1" x14ac:dyDescent="0.2">
      <c r="A17" s="218" t="s">
        <v>507</v>
      </c>
      <c r="B17" s="167" t="s">
        <v>257</v>
      </c>
      <c r="C17" s="139"/>
      <c r="D17" s="119">
        <v>10160</v>
      </c>
      <c r="E17" s="120"/>
      <c r="F17" s="119"/>
      <c r="G17" s="120"/>
      <c r="H17" s="523"/>
      <c r="I17" s="226"/>
      <c r="J17" s="226"/>
      <c r="K17" s="223">
        <f t="shared" si="0"/>
        <v>10160</v>
      </c>
      <c r="M17" s="80"/>
      <c r="N17" s="80"/>
      <c r="O17" s="80"/>
      <c r="P17" s="80"/>
      <c r="Q17" s="80"/>
      <c r="R17" s="80"/>
      <c r="S17" s="558"/>
    </row>
    <row r="18" spans="1:19" ht="17.25" customHeight="1" x14ac:dyDescent="0.2">
      <c r="A18" s="218" t="s">
        <v>508</v>
      </c>
      <c r="B18" s="167" t="s">
        <v>258</v>
      </c>
      <c r="C18" s="139">
        <v>183</v>
      </c>
      <c r="D18" s="119"/>
      <c r="E18" s="120"/>
      <c r="F18" s="119"/>
      <c r="G18" s="120"/>
      <c r="H18" s="523"/>
      <c r="I18" s="226"/>
      <c r="J18" s="226"/>
      <c r="K18" s="223">
        <f t="shared" si="0"/>
        <v>183</v>
      </c>
      <c r="M18" s="80"/>
      <c r="N18" s="80"/>
      <c r="O18" s="80"/>
      <c r="P18" s="80"/>
      <c r="Q18" s="80"/>
      <c r="R18" s="80"/>
      <c r="S18" s="558"/>
    </row>
    <row r="19" spans="1:19" ht="17.25" customHeight="1" x14ac:dyDescent="0.2">
      <c r="A19" s="218" t="s">
        <v>549</v>
      </c>
      <c r="B19" s="170" t="s">
        <v>259</v>
      </c>
      <c r="C19" s="139">
        <v>1288</v>
      </c>
      <c r="D19" s="119">
        <v>2062</v>
      </c>
      <c r="E19" s="120"/>
      <c r="F19" s="119"/>
      <c r="G19" s="120">
        <f>'tám, végl. pe.átv  '!C39</f>
        <v>0</v>
      </c>
      <c r="H19" s="451"/>
      <c r="J19" s="118">
        <v>0</v>
      </c>
      <c r="K19" s="223">
        <f>SUM(C19:J19)</f>
        <v>3350</v>
      </c>
      <c r="M19" s="80"/>
      <c r="N19" s="80"/>
      <c r="O19" s="80"/>
      <c r="P19" s="80"/>
      <c r="Q19" s="80"/>
      <c r="R19" s="80"/>
      <c r="S19" s="558"/>
    </row>
    <row r="20" spans="1:19" ht="17.25" customHeight="1" x14ac:dyDescent="0.2">
      <c r="A20" s="218" t="s">
        <v>550</v>
      </c>
      <c r="B20" s="167" t="s">
        <v>281</v>
      </c>
      <c r="C20" s="139">
        <v>25</v>
      </c>
      <c r="D20" s="119"/>
      <c r="E20" s="120"/>
      <c r="F20" s="119"/>
      <c r="G20" s="499">
        <v>447</v>
      </c>
      <c r="H20" s="524"/>
      <c r="I20" s="298"/>
      <c r="J20" s="298"/>
      <c r="K20" s="223">
        <f t="shared" si="0"/>
        <v>472</v>
      </c>
      <c r="M20" s="80"/>
      <c r="N20" s="80"/>
      <c r="O20" s="80"/>
      <c r="P20" s="80"/>
      <c r="Q20" s="80"/>
      <c r="R20" s="80"/>
      <c r="S20" s="558"/>
    </row>
    <row r="21" spans="1:19" s="82" customFormat="1" ht="17.25" customHeight="1" x14ac:dyDescent="0.2">
      <c r="A21" s="218" t="s">
        <v>551</v>
      </c>
      <c r="B21" s="167" t="s">
        <v>282</v>
      </c>
      <c r="C21" s="139"/>
      <c r="D21" s="119"/>
      <c r="E21" s="120"/>
      <c r="F21" s="119"/>
      <c r="G21" s="499">
        <f>'tám, végl. pe.átv  '!C11</f>
        <v>743360</v>
      </c>
      <c r="H21" s="470">
        <f>'tám, végl. pe.átv  '!D11</f>
        <v>103025</v>
      </c>
      <c r="I21" s="285"/>
      <c r="J21" s="285"/>
      <c r="K21" s="223">
        <f t="shared" si="0"/>
        <v>846385</v>
      </c>
      <c r="L21" s="298"/>
      <c r="S21" s="573"/>
    </row>
    <row r="22" spans="1:19" ht="17.25" customHeight="1" x14ac:dyDescent="0.2">
      <c r="A22" s="218" t="s">
        <v>552</v>
      </c>
      <c r="B22" s="167" t="s">
        <v>283</v>
      </c>
      <c r="C22" s="139"/>
      <c r="D22" s="119"/>
      <c r="E22" s="120"/>
      <c r="F22" s="119"/>
      <c r="G22" s="499">
        <f>'tám, végl. pe.átv  '!C17</f>
        <v>4785</v>
      </c>
      <c r="H22" s="524"/>
      <c r="I22" s="298"/>
      <c r="J22" s="298"/>
      <c r="K22" s="223">
        <f t="shared" si="0"/>
        <v>4785</v>
      </c>
      <c r="M22" s="80"/>
      <c r="N22" s="80"/>
      <c r="O22" s="80"/>
      <c r="P22" s="80"/>
      <c r="Q22" s="80"/>
      <c r="R22" s="80"/>
      <c r="S22" s="558"/>
    </row>
    <row r="23" spans="1:19" ht="17.25" customHeight="1" x14ac:dyDescent="0.2">
      <c r="A23" s="218" t="s">
        <v>553</v>
      </c>
      <c r="B23" s="167" t="s">
        <v>295</v>
      </c>
      <c r="C23" s="139"/>
      <c r="D23" s="119"/>
      <c r="E23" s="120"/>
      <c r="F23" s="119"/>
      <c r="G23" s="499"/>
      <c r="H23" s="470">
        <f>'tám, végl. pe.átv  '!D18</f>
        <v>988</v>
      </c>
      <c r="I23" s="298"/>
      <c r="J23" s="298"/>
      <c r="K23" s="223">
        <f t="shared" si="0"/>
        <v>988</v>
      </c>
      <c r="M23" s="80"/>
      <c r="N23" s="80"/>
      <c r="O23" s="80"/>
      <c r="P23" s="80"/>
      <c r="Q23" s="80"/>
      <c r="R23" s="80"/>
      <c r="S23" s="558"/>
    </row>
    <row r="24" spans="1:19" ht="17.25" customHeight="1" x14ac:dyDescent="0.2">
      <c r="A24" s="218" t="s">
        <v>554</v>
      </c>
      <c r="B24" s="167" t="s">
        <v>296</v>
      </c>
      <c r="C24" s="139"/>
      <c r="D24" s="119"/>
      <c r="E24" s="120"/>
      <c r="F24" s="119"/>
      <c r="G24" s="499">
        <v>1300</v>
      </c>
      <c r="H24" s="524"/>
      <c r="I24" s="298"/>
      <c r="J24" s="298"/>
      <c r="K24" s="223">
        <f t="shared" si="0"/>
        <v>1300</v>
      </c>
      <c r="M24" s="80"/>
      <c r="N24" s="80"/>
      <c r="O24" s="80"/>
      <c r="P24" s="80"/>
      <c r="Q24" s="80"/>
      <c r="R24" s="80"/>
      <c r="S24" s="558"/>
    </row>
    <row r="25" spans="1:19" ht="17.25" customHeight="1" x14ac:dyDescent="0.2">
      <c r="A25" s="218" t="s">
        <v>555</v>
      </c>
      <c r="B25" s="167" t="s">
        <v>284</v>
      </c>
      <c r="C25" s="139"/>
      <c r="D25" s="119"/>
      <c r="E25" s="120"/>
      <c r="F25" s="119"/>
      <c r="G25" s="499">
        <v>14203</v>
      </c>
      <c r="H25" s="470"/>
      <c r="I25" s="285"/>
      <c r="J25" s="285"/>
      <c r="K25" s="223">
        <f t="shared" si="0"/>
        <v>14203</v>
      </c>
      <c r="M25" s="80"/>
      <c r="N25" s="80"/>
      <c r="O25" s="80"/>
      <c r="P25" s="80"/>
      <c r="Q25" s="80"/>
      <c r="R25" s="80"/>
      <c r="S25" s="558"/>
    </row>
    <row r="26" spans="1:19" ht="17.25" customHeight="1" x14ac:dyDescent="0.2">
      <c r="A26" s="218" t="s">
        <v>556</v>
      </c>
      <c r="B26" s="167" t="s">
        <v>261</v>
      </c>
      <c r="C26" s="139"/>
      <c r="E26" s="120">
        <f>'közhatalmi bevételek'!D13</f>
        <v>689915</v>
      </c>
      <c r="F26" s="119">
        <f>'közhatalmi bevételek'!E13</f>
        <v>690085</v>
      </c>
      <c r="G26" s="120"/>
      <c r="H26" s="523"/>
      <c r="I26" s="226"/>
      <c r="J26" s="226"/>
      <c r="K26" s="223">
        <f t="shared" si="0"/>
        <v>1380000</v>
      </c>
      <c r="M26" s="80"/>
      <c r="N26" s="80"/>
      <c r="O26" s="80"/>
      <c r="P26" s="80"/>
      <c r="Q26" s="80"/>
      <c r="R26" s="80"/>
      <c r="S26" s="558"/>
    </row>
    <row r="27" spans="1:19" ht="17.25" customHeight="1" x14ac:dyDescent="0.2">
      <c r="A27" s="218" t="s">
        <v>558</v>
      </c>
      <c r="B27" s="170" t="s">
        <v>557</v>
      </c>
      <c r="C27" s="139"/>
      <c r="E27" s="120"/>
      <c r="F27" s="119"/>
      <c r="G27" s="120"/>
      <c r="H27" s="523"/>
      <c r="I27" s="226"/>
      <c r="J27" s="226"/>
      <c r="K27" s="223">
        <f t="shared" si="0"/>
        <v>0</v>
      </c>
      <c r="M27" s="80"/>
      <c r="N27" s="80"/>
      <c r="O27" s="80"/>
      <c r="P27" s="80"/>
      <c r="Q27" s="80"/>
      <c r="R27" s="80"/>
      <c r="S27" s="558"/>
    </row>
    <row r="28" spans="1:19" ht="17.25" customHeight="1" x14ac:dyDescent="0.2">
      <c r="A28" s="218" t="s">
        <v>559</v>
      </c>
      <c r="B28" s="167" t="s">
        <v>285</v>
      </c>
      <c r="C28" s="139"/>
      <c r="E28" s="120">
        <f>'közhatalmi bevételek'!D20</f>
        <v>17000</v>
      </c>
      <c r="F28" s="119"/>
      <c r="G28" s="120"/>
      <c r="H28" s="523"/>
      <c r="I28" s="226"/>
      <c r="J28" s="226"/>
      <c r="K28" s="223">
        <f t="shared" si="0"/>
        <v>17000</v>
      </c>
      <c r="M28" s="80"/>
      <c r="N28" s="80"/>
      <c r="O28" s="80"/>
      <c r="P28" s="80"/>
      <c r="Q28" s="80"/>
      <c r="R28" s="80"/>
      <c r="S28" s="558"/>
    </row>
    <row r="29" spans="1:19" s="82" customFormat="1" ht="17.25" customHeight="1" x14ac:dyDescent="0.2">
      <c r="A29" s="218" t="s">
        <v>560</v>
      </c>
      <c r="B29" s="167" t="s">
        <v>262</v>
      </c>
      <c r="C29" s="139"/>
      <c r="D29" s="121"/>
      <c r="E29" s="499">
        <f>'közhatalmi bevételek'!D15</f>
        <v>1750</v>
      </c>
      <c r="F29" s="119">
        <f>'közhatalmi bevételek'!E15</f>
        <v>0</v>
      </c>
      <c r="G29" s="139"/>
      <c r="H29" s="523"/>
      <c r="I29" s="226"/>
      <c r="J29" s="226"/>
      <c r="K29" s="223">
        <f t="shared" si="0"/>
        <v>1750</v>
      </c>
      <c r="L29" s="298"/>
      <c r="S29" s="573"/>
    </row>
    <row r="30" spans="1:19" ht="17.25" customHeight="1" x14ac:dyDescent="0.2">
      <c r="A30" s="218" t="s">
        <v>561</v>
      </c>
      <c r="B30" s="167" t="s">
        <v>263</v>
      </c>
      <c r="C30" s="139"/>
      <c r="D30" s="119"/>
      <c r="E30" s="499">
        <f>'közhatalmi bevételek'!D25</f>
        <v>820</v>
      </c>
      <c r="F30" s="119"/>
      <c r="G30" s="120"/>
      <c r="H30" s="523"/>
      <c r="I30" s="226"/>
      <c r="J30" s="226"/>
      <c r="K30" s="223">
        <f t="shared" si="0"/>
        <v>820</v>
      </c>
      <c r="M30" s="80"/>
      <c r="N30" s="80"/>
      <c r="O30" s="80"/>
      <c r="P30" s="80"/>
      <c r="Q30" s="80"/>
      <c r="R30" s="80"/>
      <c r="S30" s="558"/>
    </row>
    <row r="31" spans="1:19" ht="17.25" customHeight="1" x14ac:dyDescent="0.2">
      <c r="A31" s="218" t="s">
        <v>562</v>
      </c>
      <c r="B31" s="167" t="s">
        <v>264</v>
      </c>
      <c r="C31" s="139"/>
      <c r="D31" s="119"/>
      <c r="E31" s="120"/>
      <c r="F31" s="119"/>
      <c r="G31" s="120"/>
      <c r="H31" s="523"/>
      <c r="I31" s="226"/>
      <c r="J31" s="226"/>
      <c r="K31" s="223">
        <f t="shared" si="0"/>
        <v>0</v>
      </c>
      <c r="M31" s="80"/>
      <c r="N31" s="80"/>
      <c r="O31" s="80"/>
      <c r="P31" s="80"/>
      <c r="Q31" s="80"/>
      <c r="R31" s="80"/>
      <c r="S31" s="558"/>
    </row>
    <row r="32" spans="1:19" ht="17.25" customHeight="1" x14ac:dyDescent="0.2">
      <c r="A32" s="218" t="s">
        <v>564</v>
      </c>
      <c r="B32" s="167" t="s">
        <v>265</v>
      </c>
      <c r="C32" s="139">
        <v>140</v>
      </c>
      <c r="D32" s="119">
        <v>46</v>
      </c>
      <c r="E32" s="120"/>
      <c r="F32" s="119"/>
      <c r="G32" s="120"/>
      <c r="H32" s="523"/>
      <c r="I32" s="226"/>
      <c r="J32" s="226"/>
      <c r="K32" s="223">
        <f t="shared" si="0"/>
        <v>186</v>
      </c>
      <c r="M32" s="80"/>
      <c r="N32" s="80"/>
      <c r="O32" s="80"/>
      <c r="P32" s="80"/>
      <c r="Q32" s="80"/>
      <c r="R32" s="80"/>
      <c r="S32" s="558"/>
    </row>
    <row r="33" spans="1:19" ht="17.25" customHeight="1" x14ac:dyDescent="0.2">
      <c r="A33" s="218" t="s">
        <v>565</v>
      </c>
      <c r="B33" s="219" t="s">
        <v>266</v>
      </c>
      <c r="C33" s="227"/>
      <c r="D33" s="222"/>
      <c r="E33" s="221"/>
      <c r="F33" s="222"/>
      <c r="G33" s="500">
        <v>5065</v>
      </c>
      <c r="H33" s="523"/>
      <c r="I33" s="226"/>
      <c r="J33" s="226"/>
      <c r="K33" s="223">
        <f t="shared" si="0"/>
        <v>5065</v>
      </c>
      <c r="M33" s="80"/>
      <c r="N33" s="80"/>
      <c r="O33" s="80"/>
      <c r="P33" s="80"/>
      <c r="Q33" s="80"/>
      <c r="R33" s="80"/>
      <c r="S33" s="558"/>
    </row>
    <row r="34" spans="1:19" ht="17.25" customHeight="1" x14ac:dyDescent="0.2">
      <c r="A34" s="218" t="s">
        <v>585</v>
      </c>
      <c r="B34" s="219" t="s">
        <v>267</v>
      </c>
      <c r="C34" s="227"/>
      <c r="D34" s="222"/>
      <c r="E34" s="221"/>
      <c r="F34" s="222"/>
      <c r="G34" s="500">
        <v>0</v>
      </c>
      <c r="H34" s="523"/>
      <c r="I34" s="226"/>
      <c r="J34" s="226"/>
      <c r="K34" s="223">
        <f t="shared" si="0"/>
        <v>0</v>
      </c>
      <c r="M34" s="80"/>
      <c r="N34" s="80"/>
      <c r="O34" s="80"/>
      <c r="P34" s="80"/>
      <c r="Q34" s="80"/>
      <c r="R34" s="80"/>
      <c r="S34" s="558"/>
    </row>
    <row r="35" spans="1:19" ht="17.25" customHeight="1" x14ac:dyDescent="0.2">
      <c r="A35" s="218" t="s">
        <v>586</v>
      </c>
      <c r="B35" s="219" t="s">
        <v>268</v>
      </c>
      <c r="C35" s="227"/>
      <c r="D35" s="222"/>
      <c r="E35" s="221"/>
      <c r="F35" s="222"/>
      <c r="G35" s="500">
        <v>455</v>
      </c>
      <c r="H35" s="523"/>
      <c r="I35" s="226"/>
      <c r="J35" s="226"/>
      <c r="K35" s="223">
        <f t="shared" si="0"/>
        <v>455</v>
      </c>
      <c r="M35" s="80"/>
      <c r="N35" s="80"/>
      <c r="O35" s="80"/>
      <c r="P35" s="80"/>
      <c r="Q35" s="80"/>
      <c r="R35" s="80"/>
      <c r="S35" s="558"/>
    </row>
    <row r="36" spans="1:19" ht="17.25" customHeight="1" x14ac:dyDescent="0.2">
      <c r="A36" s="218" t="s">
        <v>587</v>
      </c>
      <c r="B36" s="219" t="s">
        <v>569</v>
      </c>
      <c r="C36" s="227"/>
      <c r="D36" s="222"/>
      <c r="E36" s="221"/>
      <c r="F36" s="222"/>
      <c r="G36" s="500">
        <v>500</v>
      </c>
      <c r="H36" s="523"/>
      <c r="I36" s="226"/>
      <c r="J36" s="226"/>
      <c r="K36" s="223">
        <f t="shared" si="0"/>
        <v>500</v>
      </c>
      <c r="M36" s="80"/>
      <c r="N36" s="80"/>
      <c r="O36" s="80"/>
      <c r="P36" s="80"/>
      <c r="Q36" s="80"/>
      <c r="R36" s="80"/>
      <c r="S36" s="558"/>
    </row>
    <row r="37" spans="1:19" ht="17.25" customHeight="1" x14ac:dyDescent="0.2">
      <c r="A37" s="218" t="s">
        <v>588</v>
      </c>
      <c r="B37" s="219" t="s">
        <v>269</v>
      </c>
      <c r="C37" s="227"/>
      <c r="D37" s="222"/>
      <c r="E37" s="221"/>
      <c r="F37" s="222"/>
      <c r="G37" s="500">
        <v>2032</v>
      </c>
      <c r="H37" s="523"/>
      <c r="I37" s="226"/>
      <c r="J37" s="226"/>
      <c r="K37" s="223">
        <f t="shared" si="0"/>
        <v>2032</v>
      </c>
      <c r="M37" s="80"/>
      <c r="N37" s="80"/>
      <c r="O37" s="80"/>
      <c r="P37" s="80"/>
      <c r="Q37" s="80"/>
      <c r="R37" s="80"/>
      <c r="S37" s="558"/>
    </row>
    <row r="38" spans="1:19" ht="17.25" customHeight="1" x14ac:dyDescent="0.2">
      <c r="A38" s="218" t="s">
        <v>589</v>
      </c>
      <c r="B38" s="219" t="s">
        <v>270</v>
      </c>
      <c r="C38" s="227"/>
      <c r="D38" s="502">
        <v>2286</v>
      </c>
      <c r="E38" s="227"/>
      <c r="F38" s="222"/>
      <c r="G38" s="501"/>
      <c r="H38" s="451"/>
      <c r="K38" s="223">
        <f t="shared" si="0"/>
        <v>2286</v>
      </c>
      <c r="M38" s="80"/>
      <c r="N38" s="80"/>
      <c r="O38" s="80"/>
      <c r="P38" s="80"/>
      <c r="Q38" s="80"/>
      <c r="R38" s="80"/>
      <c r="S38" s="558"/>
    </row>
    <row r="39" spans="1:19" ht="17.25" customHeight="1" thickBot="1" x14ac:dyDescent="0.25">
      <c r="A39" s="218" t="s">
        <v>590</v>
      </c>
      <c r="B39" s="219" t="s">
        <v>271</v>
      </c>
      <c r="C39" s="227"/>
      <c r="D39" s="222"/>
      <c r="E39" s="221"/>
      <c r="F39" s="222"/>
      <c r="G39" s="221"/>
      <c r="H39" s="523"/>
      <c r="I39" s="226"/>
      <c r="J39" s="226"/>
      <c r="K39" s="223">
        <f t="shared" si="0"/>
        <v>0</v>
      </c>
      <c r="M39" s="80"/>
      <c r="N39" s="80"/>
      <c r="O39" s="80"/>
      <c r="P39" s="80"/>
      <c r="Q39" s="80"/>
      <c r="R39" s="80"/>
      <c r="S39" s="558"/>
    </row>
    <row r="40" spans="1:19" ht="17.25" customHeight="1" thickBot="1" x14ac:dyDescent="0.25">
      <c r="A40" s="1272" t="s">
        <v>594</v>
      </c>
      <c r="B40" s="1273"/>
      <c r="C40" s="353">
        <f>SUM(C10:C39)</f>
        <v>40369</v>
      </c>
      <c r="D40" s="353">
        <f>SUM(D10:D39)</f>
        <v>43113</v>
      </c>
      <c r="E40" s="545">
        <f>SUM(E10:E39)</f>
        <v>710985</v>
      </c>
      <c r="F40" s="546">
        <f>SUM(F10:F39)</f>
        <v>690085</v>
      </c>
      <c r="G40" s="353">
        <f>SUM(G10:G39)</f>
        <v>772147</v>
      </c>
      <c r="H40" s="525">
        <f>SUM(H12:H39)</f>
        <v>104013</v>
      </c>
      <c r="I40" s="525">
        <f>SUM(I12:I39)</f>
        <v>0</v>
      </c>
      <c r="J40" s="525">
        <f>SUM(J12:J39)</f>
        <v>0</v>
      </c>
      <c r="K40" s="354">
        <f>SUM(C40:J40)</f>
        <v>2360712</v>
      </c>
      <c r="M40" s="80"/>
      <c r="N40" s="80"/>
      <c r="O40" s="80"/>
      <c r="P40" s="80"/>
      <c r="Q40" s="80"/>
      <c r="R40" s="80"/>
      <c r="S40" s="558"/>
    </row>
    <row r="41" spans="1:19" ht="17.25" customHeight="1" x14ac:dyDescent="0.2">
      <c r="M41" s="80"/>
      <c r="N41" s="80"/>
      <c r="O41" s="80"/>
      <c r="P41" s="80"/>
      <c r="Q41" s="80"/>
      <c r="R41" s="80"/>
      <c r="S41" s="558"/>
    </row>
    <row r="42" spans="1:19" ht="17.25" customHeight="1" x14ac:dyDescent="0.2">
      <c r="M42" s="80"/>
      <c r="N42" s="80"/>
      <c r="O42" s="80"/>
      <c r="P42" s="80"/>
      <c r="Q42" s="80"/>
      <c r="R42" s="80"/>
      <c r="S42" s="558"/>
    </row>
    <row r="43" spans="1:19" ht="17.25" customHeight="1" x14ac:dyDescent="0.2">
      <c r="M43" s="80"/>
      <c r="N43" s="80"/>
      <c r="O43" s="80"/>
      <c r="P43" s="80"/>
      <c r="Q43" s="80"/>
      <c r="R43" s="80"/>
      <c r="S43" s="558"/>
    </row>
    <row r="44" spans="1:19" ht="17.25" customHeight="1" x14ac:dyDescent="0.2">
      <c r="M44" s="80"/>
      <c r="N44" s="80"/>
      <c r="O44" s="80"/>
      <c r="P44" s="80"/>
      <c r="Q44" s="80"/>
      <c r="R44" s="80"/>
      <c r="S44" s="558"/>
    </row>
    <row r="45" spans="1:19" ht="17.25" customHeight="1" x14ac:dyDescent="0.2">
      <c r="M45" s="80"/>
      <c r="N45" s="80"/>
      <c r="O45" s="80"/>
      <c r="P45" s="80"/>
      <c r="Q45" s="80"/>
      <c r="R45" s="80"/>
      <c r="S45" s="558"/>
    </row>
    <row r="46" spans="1:19" ht="17.25" customHeight="1" x14ac:dyDescent="0.2">
      <c r="M46" s="80"/>
      <c r="N46" s="80"/>
      <c r="O46" s="80"/>
      <c r="P46" s="80"/>
      <c r="Q46" s="80"/>
      <c r="R46" s="80"/>
      <c r="S46" s="558"/>
    </row>
    <row r="47" spans="1:19" ht="17.25" customHeight="1" x14ac:dyDescent="0.2">
      <c r="M47" s="80"/>
      <c r="N47" s="80"/>
      <c r="O47" s="80"/>
      <c r="P47" s="80"/>
      <c r="Q47" s="80"/>
      <c r="R47" s="80"/>
      <c r="S47" s="558"/>
    </row>
    <row r="48" spans="1:19" ht="17.25" customHeight="1" x14ac:dyDescent="0.2">
      <c r="M48" s="80"/>
      <c r="N48" s="80"/>
      <c r="O48" s="80"/>
      <c r="P48" s="80"/>
      <c r="Q48" s="80"/>
      <c r="R48" s="80"/>
      <c r="S48" s="558"/>
    </row>
    <row r="49" spans="2:24" ht="17.25" customHeight="1" x14ac:dyDescent="0.2">
      <c r="M49" s="80"/>
      <c r="N49" s="80"/>
      <c r="O49" s="80"/>
      <c r="P49" s="80"/>
      <c r="Q49" s="80"/>
      <c r="R49" s="80"/>
      <c r="S49" s="558"/>
    </row>
    <row r="50" spans="2:24" ht="17.25" customHeight="1" x14ac:dyDescent="0.2">
      <c r="M50" s="80"/>
      <c r="N50" s="80"/>
      <c r="O50" s="80"/>
      <c r="P50" s="80"/>
      <c r="Q50" s="80"/>
      <c r="R50" s="80"/>
      <c r="S50" s="558"/>
    </row>
    <row r="51" spans="2:24" ht="17.25" customHeight="1" x14ac:dyDescent="0.2">
      <c r="M51" s="80"/>
      <c r="N51" s="80"/>
      <c r="O51" s="80"/>
      <c r="P51" s="80"/>
      <c r="Q51" s="80"/>
      <c r="R51" s="80"/>
      <c r="S51" s="558"/>
    </row>
    <row r="52" spans="2:24" ht="17.25" customHeight="1" x14ac:dyDescent="0.2">
      <c r="M52" s="80"/>
      <c r="N52" s="80"/>
      <c r="O52" s="80"/>
      <c r="P52" s="80"/>
      <c r="Q52" s="80"/>
      <c r="R52" s="80"/>
      <c r="S52" s="558"/>
    </row>
    <row r="53" spans="2:24" ht="17.25" customHeight="1" x14ac:dyDescent="0.2">
      <c r="M53" s="80"/>
      <c r="N53" s="80"/>
      <c r="O53" s="80"/>
      <c r="P53" s="80"/>
      <c r="Q53" s="80"/>
      <c r="R53" s="80"/>
      <c r="S53" s="558"/>
    </row>
    <row r="54" spans="2:24" ht="17.25" customHeight="1" x14ac:dyDescent="0.2">
      <c r="M54" s="80"/>
      <c r="N54" s="80"/>
      <c r="O54" s="80"/>
      <c r="P54" s="80"/>
      <c r="Q54" s="80"/>
      <c r="R54" s="80"/>
      <c r="S54" s="558"/>
    </row>
    <row r="55" spans="2:24" ht="17.25" customHeight="1" x14ac:dyDescent="0.2">
      <c r="M55" s="80"/>
      <c r="N55" s="80"/>
      <c r="O55" s="80"/>
      <c r="P55" s="80"/>
      <c r="Q55" s="80"/>
      <c r="R55" s="80"/>
      <c r="S55" s="558"/>
    </row>
    <row r="56" spans="2:24" ht="17.25" customHeight="1" x14ac:dyDescent="0.2">
      <c r="M56" s="80"/>
      <c r="N56" s="80"/>
      <c r="O56" s="80"/>
      <c r="P56" s="80"/>
      <c r="Q56" s="80"/>
      <c r="R56" s="80"/>
      <c r="S56" s="558"/>
    </row>
    <row r="57" spans="2:24" ht="17.25" customHeight="1" x14ac:dyDescent="0.2">
      <c r="M57" s="80"/>
      <c r="N57" s="80"/>
      <c r="O57" s="80"/>
      <c r="P57" s="80"/>
      <c r="Q57" s="80"/>
      <c r="R57" s="80"/>
      <c r="S57" s="558"/>
    </row>
    <row r="58" spans="2:24" ht="17.25" customHeight="1" x14ac:dyDescent="0.2">
      <c r="M58" s="80"/>
      <c r="N58" s="80"/>
      <c r="O58" s="80"/>
      <c r="P58" s="80"/>
      <c r="Q58" s="80"/>
      <c r="R58" s="80"/>
      <c r="S58" s="558"/>
    </row>
    <row r="64" spans="2:24" ht="17.25" customHeight="1" x14ac:dyDescent="0.2">
      <c r="B64" s="1295" t="s">
        <v>570</v>
      </c>
      <c r="C64" s="1213"/>
      <c r="D64" s="1213"/>
      <c r="E64" s="1213"/>
      <c r="F64" s="1213"/>
      <c r="G64" s="1213"/>
      <c r="H64" s="1213"/>
      <c r="I64" s="1213"/>
      <c r="J64" s="1213"/>
      <c r="K64" s="1213"/>
      <c r="L64" s="1213"/>
      <c r="M64" s="1213"/>
      <c r="N64" s="1213"/>
      <c r="O64" s="1213"/>
      <c r="P64" s="1213"/>
      <c r="Q64" s="1213"/>
      <c r="R64" s="1213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68" t="s">
        <v>546</v>
      </c>
      <c r="B66" s="1213"/>
      <c r="C66" s="1213"/>
      <c r="D66" s="1213"/>
      <c r="E66" s="1213"/>
      <c r="F66" s="1213"/>
      <c r="G66" s="1213"/>
      <c r="H66" s="1213"/>
      <c r="I66" s="1213"/>
      <c r="J66" s="1213"/>
      <c r="K66" s="1213"/>
      <c r="L66" s="1213"/>
      <c r="M66" s="1213"/>
      <c r="N66" s="1213"/>
      <c r="O66" s="1213"/>
      <c r="P66" s="1213"/>
      <c r="Q66" s="1213"/>
      <c r="R66" s="1213"/>
    </row>
    <row r="67" spans="1:23" ht="17.25" customHeight="1" x14ac:dyDescent="0.2">
      <c r="A67" s="1168" t="s">
        <v>298</v>
      </c>
      <c r="B67" s="1213"/>
      <c r="C67" s="1213"/>
      <c r="D67" s="1213"/>
      <c r="E67" s="1213"/>
      <c r="F67" s="1213"/>
      <c r="G67" s="1213"/>
      <c r="H67" s="1213"/>
      <c r="I67" s="1213"/>
      <c r="J67" s="1213"/>
      <c r="K67" s="1213"/>
      <c r="L67" s="1213"/>
      <c r="M67" s="1213"/>
      <c r="N67" s="1213"/>
      <c r="O67" s="1213"/>
      <c r="P67" s="1213"/>
      <c r="Q67" s="1213"/>
      <c r="R67" s="1213"/>
    </row>
    <row r="68" spans="1:23" ht="17.25" customHeight="1" x14ac:dyDescent="0.2">
      <c r="B68" s="213"/>
      <c r="C68" s="214"/>
      <c r="D68" s="214"/>
      <c r="E68" s="214"/>
      <c r="F68" s="214"/>
      <c r="G68" s="214"/>
      <c r="H68" s="214"/>
      <c r="I68" s="214"/>
      <c r="J68" s="214"/>
      <c r="K68" s="214"/>
    </row>
    <row r="69" spans="1:23" ht="12.75" customHeight="1" thickBot="1" x14ac:dyDescent="0.25">
      <c r="A69" s="1301" t="s">
        <v>310</v>
      </c>
      <c r="B69" s="1302"/>
      <c r="C69" s="1302"/>
      <c r="D69" s="1302"/>
      <c r="E69" s="1302"/>
      <c r="F69" s="1302"/>
      <c r="G69" s="1302"/>
      <c r="H69" s="1302"/>
      <c r="I69" s="1302"/>
      <c r="J69" s="1302"/>
      <c r="K69" s="1302"/>
      <c r="L69" s="1246"/>
      <c r="M69" s="1246"/>
      <c r="N69" s="1246"/>
      <c r="O69" s="1246"/>
      <c r="P69" s="1246"/>
      <c r="Q69" s="1246"/>
      <c r="R69" s="1246"/>
    </row>
    <row r="70" spans="1:23" s="117" customFormat="1" ht="11.25" customHeight="1" x14ac:dyDescent="0.2">
      <c r="A70" s="1285" t="s">
        <v>483</v>
      </c>
      <c r="B70" s="1274" t="s">
        <v>86</v>
      </c>
      <c r="C70" s="1292" t="s">
        <v>57</v>
      </c>
      <c r="D70" s="1291"/>
      <c r="E70" s="1291" t="s">
        <v>58</v>
      </c>
      <c r="F70" s="1291"/>
      <c r="G70" s="1291" t="s">
        <v>59</v>
      </c>
      <c r="H70" s="1291"/>
      <c r="I70" s="1293"/>
      <c r="J70" s="1292"/>
      <c r="K70" s="313" t="s">
        <v>60</v>
      </c>
      <c r="L70" s="1294" t="s">
        <v>484</v>
      </c>
      <c r="M70" s="1290"/>
      <c r="N70" s="1290" t="s">
        <v>485</v>
      </c>
      <c r="O70" s="1290"/>
      <c r="P70" s="1290" t="s">
        <v>486</v>
      </c>
      <c r="Q70" s="1290"/>
      <c r="R70" s="309" t="s">
        <v>613</v>
      </c>
      <c r="S70" s="570"/>
    </row>
    <row r="71" spans="1:23" ht="31.5" customHeight="1" x14ac:dyDescent="0.2">
      <c r="A71" s="1286"/>
      <c r="B71" s="1275"/>
      <c r="C71" s="1296" t="s">
        <v>571</v>
      </c>
      <c r="D71" s="1299"/>
      <c r="E71" s="1299"/>
      <c r="F71" s="1299"/>
      <c r="G71" s="1299"/>
      <c r="H71" s="1299"/>
      <c r="I71" s="1299"/>
      <c r="J71" s="1299"/>
      <c r="K71" s="1300"/>
      <c r="L71" s="1296" t="s">
        <v>530</v>
      </c>
      <c r="M71" s="1297"/>
      <c r="N71" s="1297"/>
      <c r="O71" s="1297"/>
      <c r="P71" s="1297"/>
      <c r="Q71" s="1297"/>
      <c r="R71" s="1298"/>
    </row>
    <row r="72" spans="1:23" ht="36" customHeight="1" thickBot="1" x14ac:dyDescent="0.25">
      <c r="A72" s="1286"/>
      <c r="B72" s="1275"/>
      <c r="C72" s="1277" t="s">
        <v>466</v>
      </c>
      <c r="D72" s="1278"/>
      <c r="E72" s="1278" t="s">
        <v>467</v>
      </c>
      <c r="F72" s="1278"/>
      <c r="G72" s="1278" t="s">
        <v>22</v>
      </c>
      <c r="H72" s="1278"/>
      <c r="I72" s="1279"/>
      <c r="J72" s="1280"/>
      <c r="K72" s="1288" t="s">
        <v>548</v>
      </c>
      <c r="L72" s="1277" t="s">
        <v>466</v>
      </c>
      <c r="M72" s="1278"/>
      <c r="N72" s="1278" t="s">
        <v>467</v>
      </c>
      <c r="O72" s="1278"/>
      <c r="P72" s="1278" t="s">
        <v>22</v>
      </c>
      <c r="Q72" s="1278"/>
      <c r="R72" s="1283" t="s">
        <v>548</v>
      </c>
    </row>
    <row r="73" spans="1:23" ht="35.25" customHeight="1" thickBot="1" x14ac:dyDescent="0.25">
      <c r="A73" s="1286"/>
      <c r="B73" s="1275"/>
      <c r="C73" s="1277"/>
      <c r="D73" s="1278"/>
      <c r="E73" s="1278"/>
      <c r="F73" s="1278"/>
      <c r="G73" s="1278"/>
      <c r="H73" s="1278"/>
      <c r="I73" s="1281"/>
      <c r="J73" s="1282"/>
      <c r="K73" s="1288"/>
      <c r="L73" s="1277"/>
      <c r="M73" s="1278"/>
      <c r="N73" s="1278"/>
      <c r="O73" s="1278"/>
      <c r="P73" s="1278"/>
      <c r="Q73" s="1278"/>
      <c r="R73" s="1283"/>
    </row>
    <row r="74" spans="1:23" ht="32.25" customHeight="1" thickBot="1" x14ac:dyDescent="0.25">
      <c r="A74" s="1287"/>
      <c r="B74" s="1276"/>
      <c r="C74" s="505" t="s">
        <v>62</v>
      </c>
      <c r="D74" s="315" t="s">
        <v>63</v>
      </c>
      <c r="E74" s="314" t="s">
        <v>62</v>
      </c>
      <c r="F74" s="314" t="s">
        <v>63</v>
      </c>
      <c r="G74" s="314" t="s">
        <v>62</v>
      </c>
      <c r="H74" s="314" t="s">
        <v>63</v>
      </c>
      <c r="I74" s="314" t="s">
        <v>62</v>
      </c>
      <c r="J74" s="314" t="s">
        <v>63</v>
      </c>
      <c r="K74" s="1289"/>
      <c r="L74" s="317" t="s">
        <v>62</v>
      </c>
      <c r="M74" s="318" t="s">
        <v>63</v>
      </c>
      <c r="N74" s="312" t="s">
        <v>62</v>
      </c>
      <c r="O74" s="312" t="s">
        <v>63</v>
      </c>
      <c r="P74" s="312" t="s">
        <v>62</v>
      </c>
      <c r="Q74" s="312" t="s">
        <v>63</v>
      </c>
      <c r="R74" s="1284"/>
    </row>
    <row r="75" spans="1:23" ht="17.25" customHeight="1" x14ac:dyDescent="0.2">
      <c r="A75" s="228">
        <v>1</v>
      </c>
      <c r="B75" s="566" t="s">
        <v>574</v>
      </c>
      <c r="C75" s="248">
        <v>10</v>
      </c>
      <c r="D75" s="248">
        <v>0</v>
      </c>
      <c r="E75" s="248"/>
      <c r="F75" s="248"/>
      <c r="G75" s="248"/>
      <c r="H75" s="248"/>
      <c r="I75" s="248"/>
      <c r="J75" s="248"/>
      <c r="K75" s="504">
        <f>SUM(C75:H75)</f>
        <v>10</v>
      </c>
      <c r="L75" s="319">
        <v>20</v>
      </c>
      <c r="M75" s="319">
        <v>188</v>
      </c>
      <c r="N75" s="319"/>
      <c r="O75" s="319"/>
      <c r="P75" s="319"/>
      <c r="Q75" s="319"/>
      <c r="R75" s="320">
        <f>SUM(L75:Q75)</f>
        <v>208</v>
      </c>
    </row>
    <row r="76" spans="1:23" ht="17.25" customHeight="1" x14ac:dyDescent="0.2">
      <c r="A76" s="228">
        <v>2</v>
      </c>
      <c r="B76" s="567" t="s">
        <v>573</v>
      </c>
      <c r="C76" s="248"/>
      <c r="D76" s="248">
        <v>284</v>
      </c>
      <c r="E76" s="248"/>
      <c r="F76" s="248"/>
      <c r="G76" s="248"/>
      <c r="H76" s="248"/>
      <c r="I76" s="248"/>
      <c r="J76" s="248"/>
      <c r="K76" s="532">
        <f>SUM(C76:H76)</f>
        <v>284</v>
      </c>
      <c r="L76" s="248"/>
      <c r="M76" s="248"/>
      <c r="N76" s="248"/>
      <c r="O76" s="248"/>
      <c r="P76" s="248"/>
      <c r="Q76" s="248"/>
      <c r="R76" s="526"/>
    </row>
    <row r="77" spans="1:23" ht="17.25" customHeight="1" x14ac:dyDescent="0.2">
      <c r="A77" s="228">
        <v>3</v>
      </c>
      <c r="B77" s="567" t="s">
        <v>572</v>
      </c>
      <c r="C77" s="248">
        <v>3</v>
      </c>
      <c r="D77" s="248">
        <v>78</v>
      </c>
      <c r="E77" s="248"/>
      <c r="F77" s="248"/>
      <c r="G77" s="248"/>
      <c r="H77" s="248"/>
      <c r="I77" s="248"/>
      <c r="J77" s="248"/>
      <c r="K77" s="532">
        <f>SUM(C77:H77)</f>
        <v>81</v>
      </c>
      <c r="L77" s="248"/>
      <c r="M77" s="248"/>
      <c r="N77" s="248"/>
      <c r="O77" s="248"/>
      <c r="P77" s="248"/>
      <c r="Q77" s="248"/>
      <c r="R77" s="526"/>
    </row>
    <row r="78" spans="1:23" ht="17.25" customHeight="1" x14ac:dyDescent="0.2">
      <c r="A78" s="218">
        <v>4</v>
      </c>
      <c r="B78" s="567" t="s">
        <v>575</v>
      </c>
      <c r="C78" s="565">
        <v>2</v>
      </c>
      <c r="D78" s="316"/>
      <c r="E78" s="316"/>
      <c r="F78" s="316"/>
      <c r="G78" s="316"/>
      <c r="H78" s="316"/>
      <c r="I78" s="316"/>
      <c r="J78" s="316"/>
      <c r="K78" s="532">
        <f>SUM(C78:H78)</f>
        <v>2</v>
      </c>
      <c r="L78" s="321"/>
      <c r="M78" s="321"/>
      <c r="N78" s="321"/>
      <c r="O78" s="321"/>
      <c r="P78" s="321"/>
      <c r="Q78" s="321"/>
      <c r="R78" s="322"/>
    </row>
    <row r="79" spans="1:23" ht="17.25" customHeight="1" thickBot="1" x14ac:dyDescent="0.25">
      <c r="A79" s="533">
        <v>5</v>
      </c>
      <c r="B79" s="568" t="s">
        <v>576</v>
      </c>
      <c r="C79" s="565"/>
      <c r="D79" s="316">
        <v>40</v>
      </c>
      <c r="E79" s="316"/>
      <c r="F79" s="316"/>
      <c r="G79" s="316"/>
      <c r="H79" s="316"/>
      <c r="I79" s="316"/>
      <c r="J79" s="316"/>
      <c r="K79" s="569">
        <f>SUM(C79:J79)</f>
        <v>40</v>
      </c>
      <c r="L79" s="321"/>
      <c r="M79" s="321"/>
      <c r="N79" s="321"/>
      <c r="O79" s="321"/>
      <c r="P79" s="321"/>
      <c r="Q79" s="321"/>
      <c r="R79" s="322"/>
    </row>
    <row r="80" spans="1:23" ht="17.25" customHeight="1" thickBot="1" x14ac:dyDescent="0.25">
      <c r="A80" s="520" t="s">
        <v>272</v>
      </c>
      <c r="B80" s="527"/>
      <c r="C80" s="528">
        <f>SUM(C74:C78)</f>
        <v>15</v>
      </c>
      <c r="D80" s="528">
        <f>SUM(D74:D79)</f>
        <v>402</v>
      </c>
      <c r="E80" s="529">
        <f>SUM(E74)</f>
        <v>0</v>
      </c>
      <c r="F80" s="529">
        <f>SUM(F74)</f>
        <v>0</v>
      </c>
      <c r="G80" s="529">
        <f>SUM(G74)</f>
        <v>0</v>
      </c>
      <c r="H80" s="529">
        <f>SUM(H74:H78)</f>
        <v>0</v>
      </c>
      <c r="I80" s="530"/>
      <c r="J80" s="530"/>
      <c r="K80" s="531">
        <f>SUM(K74:K79)</f>
        <v>417</v>
      </c>
      <c r="L80" s="503">
        <f>SUM(L75:L78)</f>
        <v>20</v>
      </c>
      <c r="M80" s="310">
        <f>SUM(M75:M78)</f>
        <v>188</v>
      </c>
      <c r="N80" s="310"/>
      <c r="O80" s="310"/>
      <c r="P80" s="310"/>
      <c r="Q80" s="310"/>
      <c r="R80" s="323">
        <f>SUM(L80:Q80)</f>
        <v>208</v>
      </c>
      <c r="S80" s="571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79"/>
  <sheetViews>
    <sheetView zoomScale="130" zoomScaleNormal="130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3" customWidth="1"/>
    <col min="3" max="3" width="26.7109375" style="350" customWidth="1"/>
    <col min="4" max="4" width="5.85546875" style="351" customWidth="1"/>
    <col min="5" max="5" width="6.7109375" style="352" customWidth="1"/>
    <col min="6" max="6" width="5.85546875" style="352" customWidth="1"/>
    <col min="7" max="7" width="6.42578125" style="352" customWidth="1"/>
    <col min="8" max="8" width="5.28515625" style="352" customWidth="1"/>
    <col min="9" max="9" width="6.42578125" style="352" customWidth="1"/>
    <col min="10" max="10" width="5.7109375" style="352" customWidth="1"/>
    <col min="11" max="11" width="5.5703125" style="352" customWidth="1"/>
    <col min="12" max="12" width="6" style="352" customWidth="1"/>
    <col min="13" max="15" width="5.85546875" style="352" customWidth="1"/>
    <col min="16" max="16" width="4.7109375" style="352" customWidth="1"/>
    <col min="17" max="17" width="5" style="352" customWidth="1"/>
    <col min="18" max="18" width="6.5703125" style="352" bestFit="1" customWidth="1"/>
    <col min="19" max="19" width="12.85546875" style="342" customWidth="1"/>
    <col min="20" max="22" width="9.140625" style="342"/>
    <col min="23" max="16384" width="9.140625" style="80"/>
  </cols>
  <sheetData>
    <row r="1" spans="1:22" ht="12.75" x14ac:dyDescent="0.2">
      <c r="B1" s="1295" t="s">
        <v>1374</v>
      </c>
      <c r="C1" s="1322"/>
      <c r="D1" s="1322"/>
      <c r="E1" s="1322"/>
      <c r="F1" s="1322"/>
      <c r="G1" s="1322"/>
      <c r="H1" s="1322"/>
      <c r="I1" s="1322"/>
      <c r="J1" s="1322"/>
      <c r="K1" s="1322"/>
      <c r="L1" s="1322"/>
      <c r="M1" s="1322"/>
      <c r="N1" s="1322"/>
      <c r="O1" s="1322"/>
      <c r="P1" s="1322"/>
      <c r="Q1" s="1322"/>
      <c r="R1" s="1322"/>
    </row>
    <row r="2" spans="1:22" ht="12.75" x14ac:dyDescent="0.2">
      <c r="B2" s="1323" t="s">
        <v>78</v>
      </c>
      <c r="C2" s="1324"/>
      <c r="D2" s="1324"/>
      <c r="E2" s="1324"/>
      <c r="F2" s="1324"/>
      <c r="G2" s="1324"/>
      <c r="H2" s="1324"/>
      <c r="I2" s="1324"/>
      <c r="J2" s="1324"/>
      <c r="K2" s="1324"/>
      <c r="L2" s="1324"/>
      <c r="M2" s="1324"/>
      <c r="N2" s="1324"/>
      <c r="O2" s="1324"/>
      <c r="P2" s="1324"/>
      <c r="Q2" s="1324"/>
      <c r="R2" s="1324"/>
    </row>
    <row r="3" spans="1:22" ht="12.75" x14ac:dyDescent="0.2">
      <c r="A3" s="81"/>
      <c r="B3" s="1168" t="s">
        <v>1085</v>
      </c>
      <c r="C3" s="1322"/>
      <c r="D3" s="1322"/>
      <c r="E3" s="1322"/>
      <c r="F3" s="1322"/>
      <c r="G3" s="1322"/>
      <c r="H3" s="1322"/>
      <c r="I3" s="1322"/>
      <c r="J3" s="1322"/>
      <c r="K3" s="1322"/>
      <c r="L3" s="1322"/>
      <c r="M3" s="1322"/>
      <c r="N3" s="1322"/>
      <c r="O3" s="1322"/>
      <c r="P3" s="1322"/>
      <c r="Q3" s="1322"/>
      <c r="R3" s="1322"/>
    </row>
    <row r="4" spans="1:22" x14ac:dyDescent="0.2">
      <c r="A4" s="81"/>
      <c r="C4" s="1335" t="s">
        <v>310</v>
      </c>
      <c r="D4" s="1335"/>
      <c r="E4" s="1335"/>
      <c r="F4" s="1335"/>
      <c r="G4" s="1335"/>
      <c r="H4" s="1335"/>
      <c r="I4" s="1335"/>
      <c r="J4" s="1335"/>
      <c r="K4" s="1335"/>
      <c r="L4" s="1335"/>
      <c r="M4" s="1335"/>
      <c r="N4" s="1335"/>
      <c r="O4" s="1335"/>
      <c r="P4" s="1335"/>
      <c r="Q4" s="1335"/>
      <c r="R4" s="1335"/>
    </row>
    <row r="5" spans="1:22" x14ac:dyDescent="0.2">
      <c r="A5" s="846"/>
      <c r="B5" s="1325" t="s">
        <v>483</v>
      </c>
      <c r="C5" s="844" t="s">
        <v>57</v>
      </c>
      <c r="D5" s="1319" t="s">
        <v>58</v>
      </c>
      <c r="E5" s="1318"/>
      <c r="F5" s="1319" t="s">
        <v>59</v>
      </c>
      <c r="G5" s="1318"/>
      <c r="H5" s="1319" t="s">
        <v>612</v>
      </c>
      <c r="I5" s="1318"/>
      <c r="J5" s="1319" t="s">
        <v>484</v>
      </c>
      <c r="K5" s="1318"/>
      <c r="L5" s="1317" t="s">
        <v>485</v>
      </c>
      <c r="M5" s="1318"/>
      <c r="N5" s="1317" t="s">
        <v>486</v>
      </c>
      <c r="O5" s="1318"/>
      <c r="P5" s="1317" t="s">
        <v>613</v>
      </c>
      <c r="Q5" s="1318"/>
      <c r="R5" s="535" t="s">
        <v>624</v>
      </c>
    </row>
    <row r="6" spans="1:22" ht="12.75" x14ac:dyDescent="0.2">
      <c r="A6" s="846"/>
      <c r="B6" s="1326"/>
      <c r="C6" s="845"/>
      <c r="D6" s="1336" t="s">
        <v>1078</v>
      </c>
      <c r="E6" s="1337"/>
      <c r="F6" s="1337"/>
      <c r="G6" s="1337"/>
      <c r="H6" s="1337"/>
      <c r="I6" s="1337"/>
      <c r="J6" s="1337"/>
      <c r="K6" s="1337"/>
      <c r="L6" s="1337"/>
      <c r="M6" s="1337"/>
      <c r="N6" s="1337"/>
      <c r="O6" s="1337"/>
      <c r="P6" s="1337"/>
      <c r="Q6" s="1337"/>
      <c r="R6" s="1338"/>
    </row>
    <row r="7" spans="1:22" ht="24.95" customHeight="1" x14ac:dyDescent="0.2">
      <c r="A7" s="846"/>
      <c r="B7" s="1326"/>
      <c r="C7" s="1312" t="s">
        <v>86</v>
      </c>
      <c r="D7" s="1328" t="s">
        <v>465</v>
      </c>
      <c r="E7" s="1321"/>
      <c r="F7" s="1320" t="s">
        <v>21</v>
      </c>
      <c r="G7" s="1320"/>
      <c r="H7" s="1320" t="s">
        <v>463</v>
      </c>
      <c r="I7" s="1320"/>
      <c r="J7" s="1321" t="s">
        <v>473</v>
      </c>
      <c r="K7" s="1321"/>
      <c r="L7" s="1321" t="s">
        <v>472</v>
      </c>
      <c r="M7" s="1321"/>
      <c r="N7" s="1279" t="s">
        <v>273</v>
      </c>
      <c r="O7" s="1329"/>
      <c r="P7" s="1321" t="s">
        <v>464</v>
      </c>
      <c r="Q7" s="1321"/>
      <c r="R7" s="1332" t="s">
        <v>548</v>
      </c>
    </row>
    <row r="8" spans="1:22" ht="26.25" customHeight="1" x14ac:dyDescent="0.2">
      <c r="A8" s="846"/>
      <c r="B8" s="1326"/>
      <c r="C8" s="1313"/>
      <c r="D8" s="1328"/>
      <c r="E8" s="1321"/>
      <c r="F8" s="1320"/>
      <c r="G8" s="1320"/>
      <c r="H8" s="1320"/>
      <c r="I8" s="1320"/>
      <c r="J8" s="1321"/>
      <c r="K8" s="1321"/>
      <c r="L8" s="1321"/>
      <c r="M8" s="1321"/>
      <c r="N8" s="1330"/>
      <c r="O8" s="1331"/>
      <c r="P8" s="1321"/>
      <c r="Q8" s="1321"/>
      <c r="R8" s="1333"/>
      <c r="S8" s="810"/>
      <c r="T8" s="349"/>
    </row>
    <row r="9" spans="1:22" s="271" customFormat="1" ht="40.9" customHeight="1" x14ac:dyDescent="0.15">
      <c r="A9" s="847"/>
      <c r="B9" s="1327"/>
      <c r="C9" s="1314"/>
      <c r="D9" s="344" t="s">
        <v>62</v>
      </c>
      <c r="E9" s="345" t="s">
        <v>63</v>
      </c>
      <c r="F9" s="346" t="s">
        <v>62</v>
      </c>
      <c r="G9" s="345" t="s">
        <v>63</v>
      </c>
      <c r="H9" s="346" t="s">
        <v>62</v>
      </c>
      <c r="I9" s="345" t="s">
        <v>63</v>
      </c>
      <c r="J9" s="346" t="s">
        <v>62</v>
      </c>
      <c r="K9" s="346" t="s">
        <v>63</v>
      </c>
      <c r="L9" s="346" t="s">
        <v>62</v>
      </c>
      <c r="M9" s="345" t="s">
        <v>63</v>
      </c>
      <c r="N9" s="346" t="s">
        <v>62</v>
      </c>
      <c r="O9" s="345" t="s">
        <v>63</v>
      </c>
      <c r="P9" s="346" t="s">
        <v>62</v>
      </c>
      <c r="Q9" s="346" t="s">
        <v>63</v>
      </c>
      <c r="R9" s="1334"/>
      <c r="S9" s="347"/>
      <c r="T9" s="347"/>
      <c r="U9" s="347"/>
      <c r="V9" s="347"/>
    </row>
    <row r="10" spans="1:22" s="271" customFormat="1" ht="15" customHeight="1" x14ac:dyDescent="0.2">
      <c r="A10" s="847"/>
      <c r="B10" s="927">
        <v>1</v>
      </c>
      <c r="C10" s="843" t="s">
        <v>1016</v>
      </c>
      <c r="D10" s="820">
        <v>0</v>
      </c>
      <c r="E10" s="820"/>
      <c r="F10" s="821">
        <v>0</v>
      </c>
      <c r="G10" s="820"/>
      <c r="H10" s="826">
        <v>36</v>
      </c>
      <c r="I10" s="820"/>
      <c r="J10" s="826">
        <v>12649</v>
      </c>
      <c r="K10" s="823"/>
      <c r="L10" s="821"/>
      <c r="M10" s="1154"/>
      <c r="N10" s="820"/>
      <c r="O10" s="820"/>
      <c r="P10" s="821"/>
      <c r="Q10" s="820"/>
      <c r="R10" s="818">
        <f>SUM(D10:Q10)</f>
        <v>12685</v>
      </c>
      <c r="S10" s="745"/>
      <c r="T10" s="746"/>
      <c r="U10" s="347"/>
      <c r="V10" s="347"/>
    </row>
    <row r="11" spans="1:22" s="271" customFormat="1" ht="23.25" customHeight="1" x14ac:dyDescent="0.2">
      <c r="A11" s="847"/>
      <c r="B11" s="927">
        <f>B10+1</f>
        <v>2</v>
      </c>
      <c r="C11" s="843" t="s">
        <v>1359</v>
      </c>
      <c r="D11" s="825">
        <v>0</v>
      </c>
      <c r="E11" s="825"/>
      <c r="F11" s="826">
        <v>0</v>
      </c>
      <c r="G11" s="820"/>
      <c r="H11" s="826">
        <v>8311</v>
      </c>
      <c r="I11" s="820"/>
      <c r="J11" s="821">
        <v>20640</v>
      </c>
      <c r="K11" s="823"/>
      <c r="L11" s="821"/>
      <c r="M11" s="824"/>
      <c r="N11" s="820"/>
      <c r="O11" s="820"/>
      <c r="P11" s="821"/>
      <c r="Q11" s="820"/>
      <c r="R11" s="818">
        <f>SUM(D11:Q11)</f>
        <v>28951</v>
      </c>
      <c r="S11" s="745"/>
      <c r="T11" s="746"/>
      <c r="U11" s="347"/>
      <c r="V11" s="347"/>
    </row>
    <row r="12" spans="1:22" s="341" customFormat="1" ht="13.5" customHeight="1" x14ac:dyDescent="0.2">
      <c r="A12" s="848"/>
      <c r="B12" s="927">
        <f t="shared" ref="B12:B68" si="0">B11+1</f>
        <v>3</v>
      </c>
      <c r="C12" s="926" t="s">
        <v>1360</v>
      </c>
      <c r="D12" s="819"/>
      <c r="E12" s="820"/>
      <c r="F12" s="821"/>
      <c r="G12" s="820"/>
      <c r="H12" s="822"/>
      <c r="I12" s="811">
        <v>5000</v>
      </c>
      <c r="J12" s="822"/>
      <c r="K12" s="823"/>
      <c r="L12" s="821"/>
      <c r="M12" s="824"/>
      <c r="N12" s="820"/>
      <c r="O12" s="820"/>
      <c r="P12" s="821"/>
      <c r="Q12" s="820"/>
      <c r="R12" s="818">
        <f t="shared" ref="R12:R68" si="1">SUM(D12:Q12)</f>
        <v>5000</v>
      </c>
      <c r="S12" s="116"/>
      <c r="T12" s="342"/>
      <c r="U12" s="342"/>
      <c r="V12" s="342"/>
    </row>
    <row r="13" spans="1:22" s="341" customFormat="1" ht="17.25" customHeight="1" x14ac:dyDescent="0.2">
      <c r="A13" s="848"/>
      <c r="B13" s="927">
        <f t="shared" si="0"/>
        <v>4</v>
      </c>
      <c r="C13" s="817" t="s">
        <v>1015</v>
      </c>
      <c r="D13" s="819"/>
      <c r="E13" s="820"/>
      <c r="F13" s="821"/>
      <c r="G13" s="820"/>
      <c r="H13" s="822">
        <v>1969</v>
      </c>
      <c r="I13" s="285"/>
      <c r="J13" s="822"/>
      <c r="K13" s="823"/>
      <c r="L13" s="821"/>
      <c r="M13" s="824"/>
      <c r="N13" s="820"/>
      <c r="O13" s="820"/>
      <c r="P13" s="821"/>
      <c r="Q13" s="820"/>
      <c r="R13" s="818">
        <f t="shared" si="1"/>
        <v>1969</v>
      </c>
      <c r="S13" s="745"/>
      <c r="T13" s="746"/>
      <c r="U13" s="342"/>
      <c r="V13" s="342"/>
    </row>
    <row r="14" spans="1:22" s="341" customFormat="1" ht="16.5" customHeight="1" x14ac:dyDescent="0.2">
      <c r="A14" s="848"/>
      <c r="B14" s="927">
        <f t="shared" si="0"/>
        <v>5</v>
      </c>
      <c r="C14" s="817" t="s">
        <v>1208</v>
      </c>
      <c r="D14" s="819"/>
      <c r="E14" s="820"/>
      <c r="F14" s="821"/>
      <c r="G14" s="820"/>
      <c r="H14" s="822"/>
      <c r="I14" s="811"/>
      <c r="J14" s="822"/>
      <c r="K14" s="823"/>
      <c r="L14" s="821"/>
      <c r="M14" s="824"/>
      <c r="N14" s="820"/>
      <c r="O14" s="820"/>
      <c r="P14" s="821"/>
      <c r="Q14" s="825">
        <f>'ellátottak önk.'!F13</f>
        <v>850</v>
      </c>
      <c r="R14" s="818">
        <f t="shared" si="1"/>
        <v>850</v>
      </c>
      <c r="S14" s="342"/>
      <c r="T14" s="342"/>
      <c r="U14" s="342"/>
      <c r="V14" s="342"/>
    </row>
    <row r="15" spans="1:22" s="341" customFormat="1" ht="16.5" customHeight="1" x14ac:dyDescent="0.2">
      <c r="A15" s="848"/>
      <c r="B15" s="927">
        <f t="shared" si="0"/>
        <v>6</v>
      </c>
      <c r="C15" s="817" t="s">
        <v>1207</v>
      </c>
      <c r="D15" s="819"/>
      <c r="E15" s="820"/>
      <c r="F15" s="821"/>
      <c r="G15" s="820"/>
      <c r="H15" s="822"/>
      <c r="I15" s="811"/>
      <c r="J15" s="822"/>
      <c r="K15" s="823"/>
      <c r="L15" s="821"/>
      <c r="M15" s="824"/>
      <c r="N15" s="820"/>
      <c r="O15" s="820"/>
      <c r="P15" s="821"/>
      <c r="Q15" s="825">
        <v>600</v>
      </c>
      <c r="R15" s="818">
        <f t="shared" ref="R15:R25" si="2">SUM(D15:Q15)</f>
        <v>600</v>
      </c>
      <c r="S15" s="342"/>
      <c r="T15" s="342"/>
      <c r="U15" s="342"/>
      <c r="V15" s="342"/>
    </row>
    <row r="16" spans="1:22" s="341" customFormat="1" ht="16.5" customHeight="1" x14ac:dyDescent="0.2">
      <c r="A16" s="848"/>
      <c r="B16" s="927">
        <f t="shared" si="0"/>
        <v>7</v>
      </c>
      <c r="C16" s="817" t="s">
        <v>1209</v>
      </c>
      <c r="D16" s="819"/>
      <c r="E16" s="820"/>
      <c r="F16" s="821"/>
      <c r="G16" s="820"/>
      <c r="H16" s="822"/>
      <c r="I16" s="811"/>
      <c r="J16" s="822"/>
      <c r="K16" s="823"/>
      <c r="L16" s="821"/>
      <c r="M16" s="824"/>
      <c r="N16" s="820"/>
      <c r="O16" s="820"/>
      <c r="P16" s="821"/>
      <c r="Q16" s="825">
        <v>800</v>
      </c>
      <c r="R16" s="818">
        <f t="shared" si="2"/>
        <v>800</v>
      </c>
      <c r="S16" s="342"/>
      <c r="T16" s="342"/>
      <c r="U16" s="342"/>
      <c r="V16" s="342"/>
    </row>
    <row r="17" spans="1:22" s="341" customFormat="1" ht="15.75" customHeight="1" x14ac:dyDescent="0.2">
      <c r="A17" s="848"/>
      <c r="B17" s="927">
        <f t="shared" si="0"/>
        <v>8</v>
      </c>
      <c r="C17" s="817" t="s">
        <v>1210</v>
      </c>
      <c r="D17" s="819"/>
      <c r="E17" s="820"/>
      <c r="F17" s="821"/>
      <c r="G17" s="820"/>
      <c r="H17" s="822"/>
      <c r="I17" s="811"/>
      <c r="J17" s="822"/>
      <c r="K17" s="823"/>
      <c r="L17" s="821"/>
      <c r="M17" s="824"/>
      <c r="N17" s="820"/>
      <c r="O17" s="820"/>
      <c r="P17" s="821"/>
      <c r="Q17" s="825">
        <v>1000</v>
      </c>
      <c r="R17" s="818">
        <f t="shared" si="2"/>
        <v>1000</v>
      </c>
      <c r="S17" s="342"/>
      <c r="T17" s="342"/>
      <c r="U17" s="342"/>
      <c r="V17" s="342"/>
    </row>
    <row r="18" spans="1:22" s="341" customFormat="1" ht="13.5" customHeight="1" x14ac:dyDescent="0.2">
      <c r="A18" s="848"/>
      <c r="B18" s="927">
        <f t="shared" si="0"/>
        <v>9</v>
      </c>
      <c r="C18" s="817" t="s">
        <v>1211</v>
      </c>
      <c r="D18" s="819"/>
      <c r="E18" s="820"/>
      <c r="F18" s="821"/>
      <c r="G18" s="820"/>
      <c r="H18" s="822"/>
      <c r="I18" s="811"/>
      <c r="J18" s="822"/>
      <c r="K18" s="823"/>
      <c r="L18" s="821"/>
      <c r="M18" s="824"/>
      <c r="N18" s="820"/>
      <c r="O18" s="820"/>
      <c r="P18" s="821"/>
      <c r="Q18" s="825">
        <v>600</v>
      </c>
      <c r="R18" s="818">
        <f t="shared" si="2"/>
        <v>600</v>
      </c>
      <c r="S18" s="342"/>
      <c r="T18" s="342"/>
      <c r="U18" s="342"/>
      <c r="V18" s="342"/>
    </row>
    <row r="19" spans="1:22" s="341" customFormat="1" ht="13.5" customHeight="1" x14ac:dyDescent="0.2">
      <c r="A19" s="848"/>
      <c r="B19" s="927">
        <f t="shared" si="0"/>
        <v>10</v>
      </c>
      <c r="C19" s="817" t="s">
        <v>1343</v>
      </c>
      <c r="D19" s="819"/>
      <c r="E19" s="820"/>
      <c r="F19" s="821"/>
      <c r="G19" s="820"/>
      <c r="H19" s="822"/>
      <c r="I19" s="811"/>
      <c r="J19" s="822"/>
      <c r="K19" s="823"/>
      <c r="L19" s="821"/>
      <c r="M19" s="824"/>
      <c r="N19" s="820"/>
      <c r="O19" s="820"/>
      <c r="P19" s="826">
        <v>2300</v>
      </c>
      <c r="Q19" s="825"/>
      <c r="R19" s="818">
        <f t="shared" si="2"/>
        <v>2300</v>
      </c>
      <c r="S19" s="342"/>
      <c r="T19" s="342"/>
      <c r="U19" s="342"/>
      <c r="V19" s="342"/>
    </row>
    <row r="20" spans="1:22" s="341" customFormat="1" ht="12" customHeight="1" x14ac:dyDescent="0.2">
      <c r="A20" s="848"/>
      <c r="B20" s="927">
        <f t="shared" si="0"/>
        <v>11</v>
      </c>
      <c r="C20" s="817" t="s">
        <v>1344</v>
      </c>
      <c r="D20" s="819"/>
      <c r="E20" s="820"/>
      <c r="F20" s="821"/>
      <c r="G20" s="820"/>
      <c r="H20" s="822"/>
      <c r="I20" s="811"/>
      <c r="J20" s="822"/>
      <c r="K20" s="823"/>
      <c r="L20" s="821"/>
      <c r="M20" s="824"/>
      <c r="N20" s="820"/>
      <c r="O20" s="820"/>
      <c r="P20" s="821"/>
      <c r="Q20" s="825">
        <f>'ellátottak önk.'!F22</f>
        <v>1100</v>
      </c>
      <c r="R20" s="818">
        <f t="shared" si="2"/>
        <v>1100</v>
      </c>
      <c r="S20" s="342"/>
      <c r="T20" s="342"/>
      <c r="U20" s="342"/>
      <c r="V20" s="342"/>
    </row>
    <row r="21" spans="1:22" s="341" customFormat="1" ht="15" customHeight="1" x14ac:dyDescent="0.2">
      <c r="A21" s="848"/>
      <c r="B21" s="927">
        <f t="shared" si="0"/>
        <v>12</v>
      </c>
      <c r="C21" s="817" t="s">
        <v>1345</v>
      </c>
      <c r="D21" s="819"/>
      <c r="E21" s="820"/>
      <c r="F21" s="821"/>
      <c r="G21" s="820"/>
      <c r="H21" s="822"/>
      <c r="I21" s="811"/>
      <c r="J21" s="822"/>
      <c r="K21" s="823"/>
      <c r="L21" s="821"/>
      <c r="M21" s="824"/>
      <c r="N21" s="820"/>
      <c r="O21" s="820"/>
      <c r="P21" s="821"/>
      <c r="Q21" s="825">
        <f>'ellátottak önk.'!F21</f>
        <v>1800</v>
      </c>
      <c r="R21" s="818">
        <f t="shared" si="2"/>
        <v>1800</v>
      </c>
      <c r="S21" s="342"/>
      <c r="T21" s="342"/>
      <c r="U21" s="342"/>
      <c r="V21" s="342"/>
    </row>
    <row r="22" spans="1:22" s="341" customFormat="1" ht="13.5" customHeight="1" x14ac:dyDescent="0.2">
      <c r="A22" s="848"/>
      <c r="B22" s="927">
        <f t="shared" si="0"/>
        <v>13</v>
      </c>
      <c r="C22" s="817" t="s">
        <v>1212</v>
      </c>
      <c r="D22" s="819"/>
      <c r="E22" s="820"/>
      <c r="F22" s="821"/>
      <c r="G22" s="820"/>
      <c r="H22" s="822">
        <v>111</v>
      </c>
      <c r="I22" s="811"/>
      <c r="J22" s="822"/>
      <c r="K22" s="823"/>
      <c r="L22" s="821"/>
      <c r="M22" s="824"/>
      <c r="N22" s="820"/>
      <c r="O22" s="820"/>
      <c r="P22" s="826">
        <v>389</v>
      </c>
      <c r="Q22" s="825">
        <f>'ellátottak önk.'!F20</f>
        <v>0</v>
      </c>
      <c r="R22" s="818">
        <f t="shared" si="2"/>
        <v>500</v>
      </c>
      <c r="S22" s="342"/>
      <c r="T22" s="342"/>
      <c r="U22" s="342"/>
      <c r="V22" s="342"/>
    </row>
    <row r="23" spans="1:22" s="341" customFormat="1" ht="13.5" customHeight="1" x14ac:dyDescent="0.2">
      <c r="A23" s="848"/>
      <c r="B23" s="927">
        <f t="shared" si="0"/>
        <v>14</v>
      </c>
      <c r="C23" s="817" t="s">
        <v>1023</v>
      </c>
      <c r="D23" s="819"/>
      <c r="E23" s="820"/>
      <c r="F23" s="821"/>
      <c r="G23" s="820"/>
      <c r="H23" s="822"/>
      <c r="I23" s="811"/>
      <c r="J23" s="822"/>
      <c r="K23" s="823"/>
      <c r="L23" s="821"/>
      <c r="M23" s="824"/>
      <c r="N23" s="820"/>
      <c r="O23" s="820"/>
      <c r="P23" s="821"/>
      <c r="Q23" s="825">
        <f>'ellátottak önk.'!F30</f>
        <v>4200</v>
      </c>
      <c r="R23" s="818">
        <f t="shared" si="2"/>
        <v>4200</v>
      </c>
      <c r="S23" s="342"/>
      <c r="T23" s="342"/>
      <c r="U23" s="342"/>
      <c r="V23" s="342"/>
    </row>
    <row r="24" spans="1:22" s="341" customFormat="1" ht="12.75" customHeight="1" x14ac:dyDescent="0.2">
      <c r="A24" s="848"/>
      <c r="B24" s="927">
        <f t="shared" si="0"/>
        <v>15</v>
      </c>
      <c r="C24" s="817" t="s">
        <v>579</v>
      </c>
      <c r="D24" s="819"/>
      <c r="E24" s="820"/>
      <c r="F24" s="821"/>
      <c r="G24" s="820"/>
      <c r="H24" s="822"/>
      <c r="I24" s="811">
        <v>400</v>
      </c>
      <c r="J24" s="822"/>
      <c r="K24" s="823"/>
      <c r="L24" s="821"/>
      <c r="M24" s="824"/>
      <c r="N24" s="820"/>
      <c r="O24" s="820"/>
      <c r="P24" s="826">
        <f>'ellátottak önk.'!E26</f>
        <v>0</v>
      </c>
      <c r="Q24" s="825">
        <f>'ellátottak önk.'!F26</f>
        <v>0</v>
      </c>
      <c r="R24" s="818">
        <f t="shared" si="2"/>
        <v>400</v>
      </c>
      <c r="S24" s="744"/>
      <c r="T24" s="342"/>
      <c r="U24" s="342"/>
      <c r="V24" s="342"/>
    </row>
    <row r="25" spans="1:22" s="341" customFormat="1" ht="14.25" customHeight="1" x14ac:dyDescent="0.2">
      <c r="A25" s="848"/>
      <c r="B25" s="927">
        <f t="shared" si="0"/>
        <v>16</v>
      </c>
      <c r="C25" s="817" t="s">
        <v>1022</v>
      </c>
      <c r="D25" s="819"/>
      <c r="E25" s="820"/>
      <c r="F25" s="821"/>
      <c r="G25" s="820"/>
      <c r="H25" s="822">
        <v>1543</v>
      </c>
      <c r="I25" s="811">
        <v>2077</v>
      </c>
      <c r="J25" s="822"/>
      <c r="K25" s="823"/>
      <c r="L25" s="821"/>
      <c r="M25" s="824"/>
      <c r="N25" s="820"/>
      <c r="O25" s="820"/>
      <c r="P25" s="826">
        <f>'ellátottak önk.'!E27</f>
        <v>0</v>
      </c>
      <c r="Q25" s="825">
        <v>0</v>
      </c>
      <c r="R25" s="818">
        <f t="shared" si="2"/>
        <v>3620</v>
      </c>
      <c r="S25" s="744"/>
      <c r="T25" s="342"/>
      <c r="U25" s="342"/>
      <c r="V25" s="342"/>
    </row>
    <row r="26" spans="1:22" s="341" customFormat="1" ht="15" customHeight="1" x14ac:dyDescent="0.2">
      <c r="A26" s="848"/>
      <c r="B26" s="927">
        <f t="shared" si="0"/>
        <v>17</v>
      </c>
      <c r="C26" s="81" t="s">
        <v>1346</v>
      </c>
      <c r="D26" s="501"/>
      <c r="E26" s="285"/>
      <c r="F26" s="499"/>
      <c r="G26" s="285"/>
      <c r="H26" s="499"/>
      <c r="I26" s="285">
        <v>20</v>
      </c>
      <c r="J26" s="499"/>
      <c r="K26" s="827"/>
      <c r="L26" s="499"/>
      <c r="M26" s="470"/>
      <c r="N26" s="285"/>
      <c r="O26" s="285"/>
      <c r="P26" s="499"/>
      <c r="Q26" s="285"/>
      <c r="R26" s="828">
        <f t="shared" si="1"/>
        <v>20</v>
      </c>
      <c r="S26" s="116"/>
      <c r="T26" s="342"/>
      <c r="U26" s="342"/>
      <c r="V26" s="342"/>
    </row>
    <row r="27" spans="1:22" s="341" customFormat="1" ht="15" customHeight="1" x14ac:dyDescent="0.2">
      <c r="A27" s="848"/>
      <c r="B27" s="927">
        <f t="shared" si="0"/>
        <v>18</v>
      </c>
      <c r="C27" s="81" t="s">
        <v>1347</v>
      </c>
      <c r="D27" s="501"/>
      <c r="E27" s="285"/>
      <c r="F27" s="499"/>
      <c r="G27" s="285"/>
      <c r="H27" s="499"/>
      <c r="I27" s="285">
        <v>120</v>
      </c>
      <c r="J27" s="499"/>
      <c r="K27" s="827"/>
      <c r="L27" s="499"/>
      <c r="M27" s="470"/>
      <c r="N27" s="285"/>
      <c r="O27" s="285"/>
      <c r="P27" s="499"/>
      <c r="Q27" s="285"/>
      <c r="R27" s="828">
        <f t="shared" si="1"/>
        <v>120</v>
      </c>
      <c r="S27" s="342"/>
      <c r="T27" s="342"/>
      <c r="U27" s="342"/>
      <c r="V27" s="342"/>
    </row>
    <row r="28" spans="1:22" s="341" customFormat="1" ht="15" customHeight="1" x14ac:dyDescent="0.2">
      <c r="A28" s="848"/>
      <c r="B28" s="927">
        <f t="shared" si="0"/>
        <v>19</v>
      </c>
      <c r="C28" s="81" t="s">
        <v>1024</v>
      </c>
      <c r="D28" s="501"/>
      <c r="E28" s="285"/>
      <c r="F28" s="499"/>
      <c r="G28" s="285"/>
      <c r="H28" s="499">
        <v>6431</v>
      </c>
      <c r="I28" s="285">
        <v>7330</v>
      </c>
      <c r="J28" s="499"/>
      <c r="K28" s="827"/>
      <c r="L28" s="499"/>
      <c r="M28" s="470"/>
      <c r="N28" s="285"/>
      <c r="O28" s="285"/>
      <c r="P28" s="499"/>
      <c r="Q28" s="285"/>
      <c r="R28" s="828">
        <f>SUM(D28:Q28)</f>
        <v>13761</v>
      </c>
      <c r="S28" s="342"/>
      <c r="T28" s="342"/>
      <c r="U28" s="342"/>
      <c r="V28" s="342"/>
    </row>
    <row r="29" spans="1:22" s="341" customFormat="1" ht="15" customHeight="1" x14ac:dyDescent="0.2">
      <c r="A29" s="848"/>
      <c r="B29" s="927">
        <f t="shared" si="0"/>
        <v>20</v>
      </c>
      <c r="C29" s="81" t="s">
        <v>1030</v>
      </c>
      <c r="D29" s="501"/>
      <c r="E29" s="285"/>
      <c r="F29" s="499"/>
      <c r="G29" s="285"/>
      <c r="H29" s="499"/>
      <c r="I29" s="285">
        <v>1390</v>
      </c>
      <c r="J29" s="499"/>
      <c r="K29" s="827"/>
      <c r="L29" s="499"/>
      <c r="M29" s="470"/>
      <c r="N29" s="285"/>
      <c r="O29" s="285"/>
      <c r="P29" s="499"/>
      <c r="Q29" s="285"/>
      <c r="R29" s="828">
        <f t="shared" si="1"/>
        <v>1390</v>
      </c>
      <c r="S29" s="342"/>
      <c r="T29" s="342"/>
      <c r="U29" s="349"/>
      <c r="V29" s="342"/>
    </row>
    <row r="30" spans="1:22" s="341" customFormat="1" ht="15" customHeight="1" x14ac:dyDescent="0.2">
      <c r="A30" s="848"/>
      <c r="B30" s="927">
        <f t="shared" si="0"/>
        <v>21</v>
      </c>
      <c r="C30" s="81" t="s">
        <v>1348</v>
      </c>
      <c r="D30" s="501"/>
      <c r="E30" s="285"/>
      <c r="F30" s="499"/>
      <c r="G30" s="285"/>
      <c r="H30" s="499">
        <v>288</v>
      </c>
      <c r="I30" s="285">
        <v>13763</v>
      </c>
      <c r="J30" s="499"/>
      <c r="K30" s="827"/>
      <c r="L30" s="499"/>
      <c r="M30" s="470"/>
      <c r="N30" s="285"/>
      <c r="O30" s="285"/>
      <c r="P30" s="499"/>
      <c r="Q30" s="285"/>
      <c r="R30" s="828">
        <f t="shared" si="1"/>
        <v>14051</v>
      </c>
      <c r="S30" s="342"/>
      <c r="T30" s="342"/>
      <c r="U30" s="342"/>
      <c r="V30" s="342"/>
    </row>
    <row r="31" spans="1:22" s="341" customFormat="1" ht="15" customHeight="1" x14ac:dyDescent="0.2">
      <c r="A31" s="848"/>
      <c r="B31" s="927">
        <f t="shared" si="0"/>
        <v>22</v>
      </c>
      <c r="C31" s="81" t="s">
        <v>1349</v>
      </c>
      <c r="D31" s="501">
        <v>38037</v>
      </c>
      <c r="E31" s="285"/>
      <c r="F31" s="499">
        <v>11893</v>
      </c>
      <c r="G31" s="285"/>
      <c r="H31" s="499">
        <v>1220</v>
      </c>
      <c r="I31" s="285"/>
      <c r="J31" s="499"/>
      <c r="K31" s="827"/>
      <c r="L31" s="499"/>
      <c r="M31" s="470"/>
      <c r="N31" s="285"/>
      <c r="O31" s="285"/>
      <c r="P31" s="499"/>
      <c r="Q31" s="285"/>
      <c r="R31" s="828">
        <f>SUM(D31:Q31)</f>
        <v>51150</v>
      </c>
      <c r="S31" s="116"/>
      <c r="T31" s="342"/>
      <c r="U31" s="342"/>
      <c r="V31" s="342"/>
    </row>
    <row r="32" spans="1:22" s="341" customFormat="1" ht="15" customHeight="1" x14ac:dyDescent="0.2">
      <c r="A32" s="848"/>
      <c r="B32" s="927">
        <f t="shared" si="0"/>
        <v>23</v>
      </c>
      <c r="C32" s="81" t="s">
        <v>1350</v>
      </c>
      <c r="D32" s="501">
        <v>26</v>
      </c>
      <c r="E32" s="285"/>
      <c r="F32" s="499">
        <v>22</v>
      </c>
      <c r="G32" s="285"/>
      <c r="H32" s="499">
        <v>3313</v>
      </c>
      <c r="I32" s="285"/>
      <c r="J32" s="499"/>
      <c r="K32" s="827"/>
      <c r="L32" s="499"/>
      <c r="M32" s="470"/>
      <c r="N32" s="285"/>
      <c r="O32" s="285"/>
      <c r="P32" s="499"/>
      <c r="Q32" s="285"/>
      <c r="R32" s="828">
        <f t="shared" si="1"/>
        <v>3361</v>
      </c>
      <c r="S32" s="342"/>
      <c r="T32" s="534"/>
      <c r="U32" s="342"/>
      <c r="V32" s="342"/>
    </row>
    <row r="33" spans="1:22" s="581" customFormat="1" ht="15" customHeight="1" x14ac:dyDescent="0.2">
      <c r="A33" s="849"/>
      <c r="B33" s="927">
        <f t="shared" si="0"/>
        <v>24</v>
      </c>
      <c r="C33" s="829" t="s">
        <v>1351</v>
      </c>
      <c r="D33" s="830"/>
      <c r="E33" s="502">
        <f>2200+1000</f>
        <v>3200</v>
      </c>
      <c r="F33" s="500"/>
      <c r="G33" s="502">
        <f>600+200</f>
        <v>800</v>
      </c>
      <c r="H33" s="500"/>
      <c r="I33" s="502">
        <f>9272+2000</f>
        <v>11272</v>
      </c>
      <c r="J33" s="500"/>
      <c r="K33" s="831"/>
      <c r="L33" s="500"/>
      <c r="M33" s="832"/>
      <c r="N33" s="502"/>
      <c r="O33" s="502"/>
      <c r="P33" s="500"/>
      <c r="Q33" s="502"/>
      <c r="R33" s="833">
        <f t="shared" si="1"/>
        <v>15272</v>
      </c>
      <c r="S33" s="579"/>
      <c r="T33" s="580"/>
      <c r="U33" s="580"/>
      <c r="V33" s="580"/>
    </row>
    <row r="34" spans="1:22" s="341" customFormat="1" ht="15" customHeight="1" x14ac:dyDescent="0.2">
      <c r="A34" s="848"/>
      <c r="B34" s="927">
        <f t="shared" si="0"/>
        <v>25</v>
      </c>
      <c r="C34" s="81" t="s">
        <v>1352</v>
      </c>
      <c r="D34" s="501"/>
      <c r="E34" s="470"/>
      <c r="F34" s="285"/>
      <c r="G34" s="285"/>
      <c r="H34" s="499">
        <f>20530-5939</f>
        <v>14591</v>
      </c>
      <c r="I34" s="285"/>
      <c r="J34" s="499"/>
      <c r="K34" s="827"/>
      <c r="L34" s="499"/>
      <c r="M34" s="470"/>
      <c r="N34" s="285"/>
      <c r="O34" s="285"/>
      <c r="P34" s="499"/>
      <c r="Q34" s="285"/>
      <c r="R34" s="828">
        <f t="shared" ref="R34:R40" si="3">SUM(D34:Q34)</f>
        <v>14591</v>
      </c>
      <c r="S34" s="558"/>
      <c r="T34" s="342"/>
      <c r="U34" s="342"/>
      <c r="V34" s="342"/>
    </row>
    <row r="35" spans="1:22" s="341" customFormat="1" ht="15" customHeight="1" x14ac:dyDescent="0.2">
      <c r="A35" s="848"/>
      <c r="B35" s="927">
        <f t="shared" si="0"/>
        <v>26</v>
      </c>
      <c r="C35" s="81" t="s">
        <v>1042</v>
      </c>
      <c r="D35" s="501"/>
      <c r="E35" s="285"/>
      <c r="F35" s="499"/>
      <c r="G35" s="285"/>
      <c r="H35" s="499">
        <v>3607</v>
      </c>
      <c r="I35" s="285"/>
      <c r="J35" s="499"/>
      <c r="K35" s="827"/>
      <c r="L35" s="499"/>
      <c r="M35" s="470"/>
      <c r="N35" s="285"/>
      <c r="O35" s="285"/>
      <c r="P35" s="499"/>
      <c r="Q35" s="285"/>
      <c r="R35" s="828">
        <f t="shared" si="3"/>
        <v>3607</v>
      </c>
      <c r="S35" s="558"/>
      <c r="T35" s="342"/>
      <c r="U35" s="342"/>
      <c r="V35" s="342"/>
    </row>
    <row r="36" spans="1:22" s="341" customFormat="1" ht="15" customHeight="1" x14ac:dyDescent="0.2">
      <c r="A36" s="848"/>
      <c r="B36" s="927">
        <f t="shared" si="0"/>
        <v>27</v>
      </c>
      <c r="C36" s="81" t="s">
        <v>1361</v>
      </c>
      <c r="D36" s="501"/>
      <c r="E36" s="285"/>
      <c r="F36" s="499"/>
      <c r="G36" s="285"/>
      <c r="H36" s="499"/>
      <c r="I36" s="285"/>
      <c r="J36" s="499"/>
      <c r="K36" s="827"/>
      <c r="L36" s="499"/>
      <c r="M36" s="470"/>
      <c r="N36" s="285"/>
      <c r="O36" s="285"/>
      <c r="P36" s="499"/>
      <c r="Q36" s="285"/>
      <c r="R36" s="828">
        <v>0</v>
      </c>
      <c r="S36" s="558"/>
      <c r="T36" s="342"/>
      <c r="U36" s="342"/>
      <c r="V36" s="342"/>
    </row>
    <row r="37" spans="1:22" s="341" customFormat="1" ht="15" customHeight="1" x14ac:dyDescent="0.2">
      <c r="A37" s="848"/>
      <c r="B37" s="927">
        <f t="shared" si="0"/>
        <v>28</v>
      </c>
      <c r="C37" s="81" t="s">
        <v>1353</v>
      </c>
      <c r="D37" s="501"/>
      <c r="E37" s="285"/>
      <c r="F37" s="499"/>
      <c r="G37" s="285"/>
      <c r="H37" s="499">
        <v>6833</v>
      </c>
      <c r="I37" s="285"/>
      <c r="J37" s="499"/>
      <c r="K37" s="827"/>
      <c r="L37" s="499"/>
      <c r="M37" s="470"/>
      <c r="N37" s="285"/>
      <c r="O37" s="285"/>
      <c r="P37" s="499"/>
      <c r="Q37" s="285"/>
      <c r="R37" s="828">
        <f t="shared" si="3"/>
        <v>6833</v>
      </c>
      <c r="S37" s="558"/>
      <c r="T37" s="342"/>
      <c r="U37" s="342"/>
      <c r="V37" s="342"/>
    </row>
    <row r="38" spans="1:22" s="341" customFormat="1" ht="15" customHeight="1" x14ac:dyDescent="0.2">
      <c r="A38" s="848"/>
      <c r="B38" s="927">
        <f t="shared" si="0"/>
        <v>29</v>
      </c>
      <c r="C38" s="81" t="s">
        <v>1354</v>
      </c>
      <c r="D38" s="501"/>
      <c r="E38" s="285"/>
      <c r="F38" s="499"/>
      <c r="G38" s="285"/>
      <c r="H38" s="499">
        <v>57822</v>
      </c>
      <c r="I38" s="285"/>
      <c r="J38" s="499"/>
      <c r="K38" s="827"/>
      <c r="L38" s="499"/>
      <c r="M38" s="470"/>
      <c r="N38" s="285"/>
      <c r="O38" s="285"/>
      <c r="P38" s="499"/>
      <c r="Q38" s="285"/>
      <c r="R38" s="828">
        <f t="shared" si="3"/>
        <v>57822</v>
      </c>
      <c r="S38" s="558"/>
      <c r="T38" s="342"/>
      <c r="U38" s="342"/>
      <c r="V38" s="342"/>
    </row>
    <row r="39" spans="1:22" s="341" customFormat="1" ht="24" customHeight="1" x14ac:dyDescent="0.2">
      <c r="A39" s="848"/>
      <c r="B39" s="927">
        <f t="shared" si="0"/>
        <v>30</v>
      </c>
      <c r="C39" s="817" t="s">
        <v>1136</v>
      </c>
      <c r="D39" s="989"/>
      <c r="E39" s="990"/>
      <c r="F39" s="991"/>
      <c r="G39" s="990"/>
      <c r="H39" s="991">
        <v>5000</v>
      </c>
      <c r="I39" s="990"/>
      <c r="J39" s="991"/>
      <c r="K39" s="992"/>
      <c r="L39" s="991"/>
      <c r="M39" s="993"/>
      <c r="N39" s="990"/>
      <c r="O39" s="990"/>
      <c r="P39" s="991"/>
      <c r="Q39" s="990"/>
      <c r="R39" s="1049">
        <f t="shared" si="3"/>
        <v>5000</v>
      </c>
      <c r="S39" s="558"/>
      <c r="T39" s="342"/>
      <c r="U39" s="342"/>
      <c r="V39" s="342"/>
    </row>
    <row r="40" spans="1:22" s="341" customFormat="1" ht="24" customHeight="1" x14ac:dyDescent="0.2">
      <c r="A40" s="848"/>
      <c r="B40" s="927">
        <f t="shared" si="0"/>
        <v>31</v>
      </c>
      <c r="C40" s="834" t="s">
        <v>1137</v>
      </c>
      <c r="D40" s="842"/>
      <c r="E40" s="811"/>
      <c r="F40" s="835"/>
      <c r="G40" s="811"/>
      <c r="H40" s="835">
        <v>53223</v>
      </c>
      <c r="I40" s="811"/>
      <c r="J40" s="835"/>
      <c r="K40" s="836"/>
      <c r="L40" s="835"/>
      <c r="M40" s="812"/>
      <c r="N40" s="811"/>
      <c r="O40" s="811"/>
      <c r="P40" s="835"/>
      <c r="Q40" s="811"/>
      <c r="R40" s="818">
        <f t="shared" si="3"/>
        <v>53223</v>
      </c>
      <c r="S40" s="558"/>
      <c r="T40" s="342"/>
      <c r="U40" s="342"/>
      <c r="V40" s="342"/>
    </row>
    <row r="41" spans="1:22" s="341" customFormat="1" ht="15" customHeight="1" x14ac:dyDescent="0.2">
      <c r="A41" s="848"/>
      <c r="B41" s="927">
        <f t="shared" si="0"/>
        <v>32</v>
      </c>
      <c r="C41" s="81" t="s">
        <v>1019</v>
      </c>
      <c r="D41" s="501"/>
      <c r="E41" s="285"/>
      <c r="F41" s="499"/>
      <c r="G41" s="285"/>
      <c r="H41" s="499"/>
      <c r="I41" s="285">
        <v>14684</v>
      </c>
      <c r="J41" s="499"/>
      <c r="K41" s="827"/>
      <c r="L41" s="499"/>
      <c r="M41" s="470"/>
      <c r="N41" s="285"/>
      <c r="O41" s="285"/>
      <c r="P41" s="499"/>
      <c r="Q41" s="285"/>
      <c r="R41" s="828">
        <f t="shared" si="1"/>
        <v>14684</v>
      </c>
      <c r="S41" s="558"/>
      <c r="T41" s="342"/>
      <c r="U41" s="342"/>
      <c r="V41" s="342"/>
    </row>
    <row r="42" spans="1:22" s="341" customFormat="1" ht="17.25" customHeight="1" x14ac:dyDescent="0.2">
      <c r="A42" s="848"/>
      <c r="B42" s="927">
        <f t="shared" si="0"/>
        <v>33</v>
      </c>
      <c r="C42" s="834" t="s">
        <v>1021</v>
      </c>
      <c r="D42" s="501"/>
      <c r="E42" s="811">
        <v>2048</v>
      </c>
      <c r="F42" s="835"/>
      <c r="G42" s="811">
        <v>432</v>
      </c>
      <c r="H42" s="835">
        <v>350</v>
      </c>
      <c r="I42" s="811"/>
      <c r="J42" s="835"/>
      <c r="K42" s="836"/>
      <c r="L42" s="835"/>
      <c r="M42" s="812"/>
      <c r="N42" s="811"/>
      <c r="O42" s="811"/>
      <c r="P42" s="835"/>
      <c r="Q42" s="811"/>
      <c r="R42" s="818">
        <f t="shared" ref="R42:R47" si="4">SUM(D42:Q42)</f>
        <v>2830</v>
      </c>
      <c r="S42" s="558"/>
      <c r="T42" s="349"/>
      <c r="U42" s="342"/>
      <c r="V42" s="342"/>
    </row>
    <row r="43" spans="1:22" s="341" customFormat="1" ht="15" customHeight="1" x14ac:dyDescent="0.2">
      <c r="A43" s="848"/>
      <c r="B43" s="927">
        <f t="shared" si="0"/>
        <v>34</v>
      </c>
      <c r="C43" s="81" t="s">
        <v>1017</v>
      </c>
      <c r="D43" s="501"/>
      <c r="E43" s="285">
        <v>10000</v>
      </c>
      <c r="F43" s="499"/>
      <c r="G43" s="285">
        <v>5000</v>
      </c>
      <c r="H43" s="499"/>
      <c r="I43" s="285">
        <v>15216</v>
      </c>
      <c r="J43" s="499"/>
      <c r="K43" s="827"/>
      <c r="L43" s="499"/>
      <c r="M43" s="470"/>
      <c r="N43" s="285"/>
      <c r="O43" s="285"/>
      <c r="P43" s="499"/>
      <c r="Q43" s="285"/>
      <c r="R43" s="828">
        <f t="shared" si="4"/>
        <v>30216</v>
      </c>
      <c r="S43" s="558"/>
      <c r="T43" s="342"/>
      <c r="U43" s="342"/>
      <c r="V43" s="342"/>
    </row>
    <row r="44" spans="1:22" s="341" customFormat="1" ht="15" customHeight="1" x14ac:dyDescent="0.2">
      <c r="A44" s="848"/>
      <c r="B44" s="927">
        <f t="shared" si="0"/>
        <v>35</v>
      </c>
      <c r="C44" s="81" t="s">
        <v>1018</v>
      </c>
      <c r="D44" s="501"/>
      <c r="E44" s="285"/>
      <c r="F44" s="499"/>
      <c r="G44" s="285"/>
      <c r="H44" s="499"/>
      <c r="I44" s="285">
        <v>3000</v>
      </c>
      <c r="J44" s="499"/>
      <c r="K44" s="827"/>
      <c r="L44" s="499"/>
      <c r="M44" s="470"/>
      <c r="N44" s="285"/>
      <c r="O44" s="285"/>
      <c r="P44" s="499"/>
      <c r="Q44" s="285"/>
      <c r="R44" s="828">
        <f t="shared" si="4"/>
        <v>3000</v>
      </c>
      <c r="S44" s="558"/>
      <c r="T44" s="342"/>
      <c r="U44" s="342"/>
      <c r="V44" s="342"/>
    </row>
    <row r="45" spans="1:22" s="341" customFormat="1" ht="15" customHeight="1" x14ac:dyDescent="0.2">
      <c r="A45" s="848"/>
      <c r="B45" s="927">
        <f t="shared" si="0"/>
        <v>36</v>
      </c>
      <c r="C45" s="81" t="s">
        <v>1128</v>
      </c>
      <c r="D45" s="501"/>
      <c r="E45" s="285"/>
      <c r="F45" s="499"/>
      <c r="G45" s="285"/>
      <c r="H45" s="499">
        <v>634</v>
      </c>
      <c r="I45" s="285">
        <v>65082</v>
      </c>
      <c r="J45" s="499"/>
      <c r="K45" s="827"/>
      <c r="L45" s="499"/>
      <c r="M45" s="470"/>
      <c r="N45" s="285"/>
      <c r="O45" s="285"/>
      <c r="P45" s="499"/>
      <c r="Q45" s="285"/>
      <c r="R45" s="828">
        <f t="shared" si="4"/>
        <v>65716</v>
      </c>
      <c r="S45" s="558"/>
      <c r="T45" s="349"/>
      <c r="U45" s="342"/>
      <c r="V45" s="342"/>
    </row>
    <row r="46" spans="1:22" s="341" customFormat="1" ht="25.5" customHeight="1" x14ac:dyDescent="0.2">
      <c r="A46" s="848"/>
      <c r="B46" s="927">
        <f t="shared" si="0"/>
        <v>37</v>
      </c>
      <c r="C46" s="834" t="s">
        <v>1129</v>
      </c>
      <c r="D46" s="842"/>
      <c r="E46" s="811"/>
      <c r="F46" s="835"/>
      <c r="G46" s="811"/>
      <c r="H46" s="835">
        <v>10501</v>
      </c>
      <c r="I46" s="811"/>
      <c r="J46" s="835"/>
      <c r="K46" s="836"/>
      <c r="L46" s="835"/>
      <c r="M46" s="812"/>
      <c r="N46" s="811"/>
      <c r="O46" s="811"/>
      <c r="P46" s="835"/>
      <c r="Q46" s="811"/>
      <c r="R46" s="818">
        <f t="shared" si="4"/>
        <v>10501</v>
      </c>
      <c r="S46" s="558"/>
      <c r="T46" s="349"/>
      <c r="U46" s="342"/>
      <c r="V46" s="342"/>
    </row>
    <row r="47" spans="1:22" s="341" customFormat="1" ht="15" customHeight="1" x14ac:dyDescent="0.2">
      <c r="A47" s="848"/>
      <c r="B47" s="927">
        <f t="shared" si="0"/>
        <v>38</v>
      </c>
      <c r="C47" s="817" t="s">
        <v>1020</v>
      </c>
      <c r="D47" s="837">
        <v>11296</v>
      </c>
      <c r="E47" s="838">
        <v>2245</v>
      </c>
      <c r="F47" s="822">
        <v>2925</v>
      </c>
      <c r="G47" s="285">
        <v>466</v>
      </c>
      <c r="H47" s="822">
        <v>16453</v>
      </c>
      <c r="I47" s="838"/>
      <c r="J47" s="822"/>
      <c r="K47" s="823"/>
      <c r="L47" s="821"/>
      <c r="M47" s="824"/>
      <c r="N47" s="820"/>
      <c r="O47" s="820"/>
      <c r="P47" s="821"/>
      <c r="Q47" s="820"/>
      <c r="R47" s="828">
        <f t="shared" si="4"/>
        <v>33385</v>
      </c>
      <c r="S47" s="558"/>
      <c r="T47" s="342"/>
      <c r="U47" s="342"/>
      <c r="V47" s="342"/>
    </row>
    <row r="48" spans="1:22" s="341" customFormat="1" ht="15" customHeight="1" x14ac:dyDescent="0.2">
      <c r="A48" s="848"/>
      <c r="B48" s="927">
        <f t="shared" si="0"/>
        <v>39</v>
      </c>
      <c r="C48" s="81" t="s">
        <v>1355</v>
      </c>
      <c r="D48" s="501"/>
      <c r="E48" s="285">
        <v>17068</v>
      </c>
      <c r="F48" s="499"/>
      <c r="G48" s="285">
        <v>7414</v>
      </c>
      <c r="H48" s="499"/>
      <c r="I48" s="285">
        <v>3613</v>
      </c>
      <c r="J48" s="499"/>
      <c r="K48" s="827"/>
      <c r="L48" s="499"/>
      <c r="M48" s="470"/>
      <c r="N48" s="285"/>
      <c r="O48" s="285"/>
      <c r="P48" s="499"/>
      <c r="Q48" s="285"/>
      <c r="R48" s="828">
        <f t="shared" si="1"/>
        <v>28095</v>
      </c>
      <c r="S48" s="558"/>
      <c r="T48" s="349"/>
      <c r="U48" s="342"/>
      <c r="V48" s="342"/>
    </row>
    <row r="49" spans="1:22" s="341" customFormat="1" ht="15" customHeight="1" x14ac:dyDescent="0.2">
      <c r="A49" s="848"/>
      <c r="B49" s="927">
        <f t="shared" si="0"/>
        <v>40</v>
      </c>
      <c r="C49" s="81" t="s">
        <v>1356</v>
      </c>
      <c r="D49" s="958"/>
      <c r="E49" s="285">
        <v>4741</v>
      </c>
      <c r="F49" s="499"/>
      <c r="G49" s="470">
        <v>931</v>
      </c>
      <c r="H49" s="285"/>
      <c r="I49" s="285">
        <v>13167</v>
      </c>
      <c r="J49" s="960"/>
      <c r="K49" s="961"/>
      <c r="L49" s="959"/>
      <c r="M49" s="961"/>
      <c r="N49" s="959"/>
      <c r="O49" s="961"/>
      <c r="P49" s="959"/>
      <c r="Q49" s="959"/>
      <c r="R49" s="828">
        <f>SUM(D49:Q49)</f>
        <v>18839</v>
      </c>
      <c r="S49" s="558"/>
      <c r="T49" s="342"/>
      <c r="U49" s="342"/>
      <c r="V49" s="342"/>
    </row>
    <row r="50" spans="1:22" s="341" customFormat="1" ht="15" customHeight="1" x14ac:dyDescent="0.2">
      <c r="A50" s="848"/>
      <c r="B50" s="927">
        <f t="shared" si="0"/>
        <v>41</v>
      </c>
      <c r="C50" s="81" t="s">
        <v>1357</v>
      </c>
      <c r="D50" s="501"/>
      <c r="E50" s="470"/>
      <c r="F50" s="285"/>
      <c r="G50" s="285"/>
      <c r="H50" s="499"/>
      <c r="I50" s="285"/>
      <c r="J50" s="499">
        <v>5750</v>
      </c>
      <c r="K50" s="470">
        <v>65685</v>
      </c>
      <c r="L50" s="297">
        <v>156035</v>
      </c>
      <c r="M50" s="470">
        <v>171837</v>
      </c>
      <c r="N50" s="285"/>
      <c r="O50" s="285"/>
      <c r="P50" s="499"/>
      <c r="Q50" s="285"/>
      <c r="R50" s="828">
        <f t="shared" si="1"/>
        <v>399307</v>
      </c>
      <c r="S50" s="342"/>
      <c r="T50" s="342"/>
      <c r="U50" s="342"/>
      <c r="V50" s="342"/>
    </row>
    <row r="51" spans="1:22" s="341" customFormat="1" ht="15" customHeight="1" x14ac:dyDescent="0.2">
      <c r="A51" s="848"/>
      <c r="B51" s="927">
        <f t="shared" si="0"/>
        <v>42</v>
      </c>
      <c r="C51" s="81" t="s">
        <v>1358</v>
      </c>
      <c r="D51" s="501"/>
      <c r="E51" s="470"/>
      <c r="F51" s="285"/>
      <c r="G51" s="470"/>
      <c r="H51" s="285">
        <v>3675</v>
      </c>
      <c r="I51" s="470"/>
      <c r="J51" s="285"/>
      <c r="K51" s="470"/>
      <c r="L51" s="297"/>
      <c r="M51" s="470"/>
      <c r="N51" s="285"/>
      <c r="O51" s="470"/>
      <c r="P51" s="285"/>
      <c r="Q51" s="470"/>
      <c r="R51" s="828">
        <f t="shared" si="1"/>
        <v>3675</v>
      </c>
      <c r="S51" s="116"/>
      <c r="T51" s="342"/>
      <c r="U51" s="342"/>
      <c r="V51" s="342"/>
    </row>
    <row r="52" spans="1:22" s="341" customFormat="1" ht="15" customHeight="1" x14ac:dyDescent="0.2">
      <c r="A52" s="848"/>
      <c r="B52" s="927">
        <f t="shared" si="0"/>
        <v>43</v>
      </c>
      <c r="C52" s="841" t="s">
        <v>1025</v>
      </c>
      <c r="D52" s="842"/>
      <c r="E52" s="812"/>
      <c r="F52" s="811"/>
      <c r="G52" s="812"/>
      <c r="H52" s="811"/>
      <c r="I52" s="812">
        <f>2515+1134</f>
        <v>3649</v>
      </c>
      <c r="J52" s="811"/>
      <c r="K52" s="812"/>
      <c r="L52" s="813"/>
      <c r="M52" s="812"/>
      <c r="N52" s="811"/>
      <c r="O52" s="812"/>
      <c r="P52" s="811"/>
      <c r="Q52" s="812"/>
      <c r="R52" s="818">
        <f t="shared" si="1"/>
        <v>3649</v>
      </c>
      <c r="S52" s="116"/>
      <c r="T52" s="342"/>
      <c r="U52" s="342"/>
      <c r="V52" s="342"/>
    </row>
    <row r="53" spans="1:22" s="341" customFormat="1" ht="15" customHeight="1" x14ac:dyDescent="0.2">
      <c r="A53" s="848"/>
      <c r="B53" s="927">
        <f t="shared" si="0"/>
        <v>44</v>
      </c>
      <c r="C53" s="841" t="s">
        <v>1026</v>
      </c>
      <c r="D53" s="842"/>
      <c r="E53" s="812"/>
      <c r="F53" s="811"/>
      <c r="G53" s="812"/>
      <c r="H53" s="811"/>
      <c r="I53" s="812"/>
      <c r="J53" s="811"/>
      <c r="K53" s="812"/>
      <c r="L53" s="813"/>
      <c r="M53" s="812"/>
      <c r="N53" s="811">
        <v>367</v>
      </c>
      <c r="O53" s="812"/>
      <c r="P53" s="811"/>
      <c r="Q53" s="812"/>
      <c r="R53" s="818">
        <f t="shared" si="1"/>
        <v>367</v>
      </c>
      <c r="S53" s="116"/>
      <c r="T53" s="342"/>
      <c r="U53" s="342"/>
      <c r="V53" s="342"/>
    </row>
    <row r="54" spans="1:22" s="341" customFormat="1" ht="15" customHeight="1" x14ac:dyDescent="0.2">
      <c r="A54" s="848"/>
      <c r="B54" s="927">
        <f t="shared" si="0"/>
        <v>45</v>
      </c>
      <c r="C54" s="841" t="s">
        <v>1027</v>
      </c>
      <c r="D54" s="842"/>
      <c r="E54" s="812"/>
      <c r="F54" s="811"/>
      <c r="G54" s="812"/>
      <c r="H54" s="811">
        <v>0</v>
      </c>
      <c r="I54" s="812"/>
      <c r="J54" s="811"/>
      <c r="K54" s="812"/>
      <c r="L54" s="813"/>
      <c r="M54" s="812"/>
      <c r="N54" s="811"/>
      <c r="O54" s="812"/>
      <c r="P54" s="811"/>
      <c r="Q54" s="812"/>
      <c r="R54" s="818">
        <f t="shared" si="1"/>
        <v>0</v>
      </c>
      <c r="S54" s="116"/>
      <c r="T54" s="342"/>
      <c r="U54" s="342"/>
      <c r="V54" s="342"/>
    </row>
    <row r="55" spans="1:22" s="341" customFormat="1" ht="15" customHeight="1" x14ac:dyDescent="0.2">
      <c r="A55" s="848"/>
      <c r="B55" s="927">
        <f t="shared" si="0"/>
        <v>46</v>
      </c>
      <c r="C55" s="841" t="s">
        <v>1028</v>
      </c>
      <c r="D55" s="842"/>
      <c r="E55" s="812">
        <v>0</v>
      </c>
      <c r="F55" s="811"/>
      <c r="G55" s="812">
        <v>0</v>
      </c>
      <c r="H55" s="811"/>
      <c r="I55" s="812">
        <v>0</v>
      </c>
      <c r="J55" s="811"/>
      <c r="K55" s="812"/>
      <c r="L55" s="813"/>
      <c r="M55" s="812"/>
      <c r="N55" s="811"/>
      <c r="O55" s="812"/>
      <c r="P55" s="811"/>
      <c r="Q55" s="812"/>
      <c r="R55" s="818">
        <f t="shared" si="1"/>
        <v>0</v>
      </c>
      <c r="S55" s="116"/>
      <c r="T55" s="342"/>
      <c r="U55" s="342"/>
      <c r="V55" s="342"/>
    </row>
    <row r="56" spans="1:22" s="341" customFormat="1" ht="15" customHeight="1" x14ac:dyDescent="0.2">
      <c r="A56" s="848"/>
      <c r="B56" s="927">
        <f t="shared" si="0"/>
        <v>47</v>
      </c>
      <c r="C56" s="841" t="s">
        <v>1029</v>
      </c>
      <c r="D56" s="842">
        <v>4766</v>
      </c>
      <c r="E56" s="812"/>
      <c r="F56" s="811">
        <v>1748</v>
      </c>
      <c r="G56" s="812"/>
      <c r="H56" s="811">
        <f>13917-1221</f>
        <v>12696</v>
      </c>
      <c r="I56" s="812"/>
      <c r="J56" s="811">
        <v>1656</v>
      </c>
      <c r="K56" s="812"/>
      <c r="L56" s="813">
        <v>5386</v>
      </c>
      <c r="M56" s="812"/>
      <c r="N56" s="811"/>
      <c r="O56" s="812"/>
      <c r="P56" s="811"/>
      <c r="Q56" s="812"/>
      <c r="R56" s="818">
        <f t="shared" si="1"/>
        <v>26252</v>
      </c>
      <c r="S56" s="116"/>
      <c r="T56" s="342"/>
      <c r="U56" s="342"/>
      <c r="V56" s="342"/>
    </row>
    <row r="57" spans="1:22" s="341" customFormat="1" ht="15" customHeight="1" x14ac:dyDescent="0.2">
      <c r="A57" s="848"/>
      <c r="B57" s="927">
        <f t="shared" si="0"/>
        <v>48</v>
      </c>
      <c r="C57" s="841" t="s">
        <v>1031</v>
      </c>
      <c r="D57" s="842"/>
      <c r="E57" s="812"/>
      <c r="F57" s="811"/>
      <c r="G57" s="812"/>
      <c r="H57" s="811">
        <v>13401</v>
      </c>
      <c r="I57" s="812"/>
      <c r="J57" s="811">
        <v>12261</v>
      </c>
      <c r="K57" s="812"/>
      <c r="L57" s="813"/>
      <c r="M57" s="812"/>
      <c r="N57" s="811"/>
      <c r="O57" s="812"/>
      <c r="P57" s="811"/>
      <c r="Q57" s="812"/>
      <c r="R57" s="818">
        <f t="shared" si="1"/>
        <v>25662</v>
      </c>
      <c r="S57" s="116"/>
      <c r="T57" s="342"/>
      <c r="U57" s="342"/>
      <c r="V57" s="342"/>
    </row>
    <row r="58" spans="1:22" s="341" customFormat="1" ht="22.5" customHeight="1" x14ac:dyDescent="0.2">
      <c r="A58" s="848"/>
      <c r="B58" s="927">
        <f t="shared" si="0"/>
        <v>49</v>
      </c>
      <c r="C58" s="841" t="s">
        <v>1337</v>
      </c>
      <c r="D58" s="842">
        <v>0</v>
      </c>
      <c r="E58" s="812"/>
      <c r="F58" s="811"/>
      <c r="G58" s="812"/>
      <c r="H58" s="811">
        <v>195821</v>
      </c>
      <c r="I58" s="812"/>
      <c r="J58" s="811"/>
      <c r="K58" s="812"/>
      <c r="L58" s="813"/>
      <c r="M58" s="812"/>
      <c r="N58" s="811"/>
      <c r="O58" s="812"/>
      <c r="P58" s="811"/>
      <c r="Q58" s="812"/>
      <c r="R58" s="818">
        <f t="shared" si="1"/>
        <v>195821</v>
      </c>
      <c r="S58" s="116"/>
      <c r="T58" s="342"/>
      <c r="U58" s="342"/>
      <c r="V58" s="342"/>
    </row>
    <row r="59" spans="1:22" s="341" customFormat="1" ht="15" customHeight="1" x14ac:dyDescent="0.2">
      <c r="A59" s="848"/>
      <c r="B59" s="927">
        <f t="shared" si="0"/>
        <v>50</v>
      </c>
      <c r="C59" s="841" t="s">
        <v>1032</v>
      </c>
      <c r="D59" s="842"/>
      <c r="E59" s="812">
        <v>10846</v>
      </c>
      <c r="F59" s="811"/>
      <c r="G59" s="812">
        <v>2212</v>
      </c>
      <c r="H59" s="811">
        <v>29003</v>
      </c>
      <c r="I59" s="812">
        <v>114424</v>
      </c>
      <c r="J59" s="811"/>
      <c r="K59" s="812"/>
      <c r="L59" s="813"/>
      <c r="M59" s="812"/>
      <c r="N59" s="811">
        <v>84</v>
      </c>
      <c r="O59" s="812"/>
      <c r="P59" s="811"/>
      <c r="Q59" s="812"/>
      <c r="R59" s="818">
        <f t="shared" si="1"/>
        <v>156569</v>
      </c>
      <c r="S59" s="116"/>
      <c r="T59" s="342"/>
      <c r="U59" s="342"/>
      <c r="V59" s="342"/>
    </row>
    <row r="60" spans="1:22" s="341" customFormat="1" ht="21.75" customHeight="1" x14ac:dyDescent="0.2">
      <c r="A60" s="848"/>
      <c r="B60" s="927">
        <f t="shared" si="0"/>
        <v>51</v>
      </c>
      <c r="C60" s="841" t="s">
        <v>1213</v>
      </c>
      <c r="D60" s="842"/>
      <c r="E60" s="812"/>
      <c r="F60" s="811"/>
      <c r="G60" s="812"/>
      <c r="H60" s="811">
        <v>294</v>
      </c>
      <c r="I60" s="812"/>
      <c r="J60" s="811"/>
      <c r="K60" s="812"/>
      <c r="L60" s="813"/>
      <c r="M60" s="812"/>
      <c r="N60" s="811"/>
      <c r="O60" s="812"/>
      <c r="P60" s="811"/>
      <c r="Q60" s="812"/>
      <c r="R60" s="818">
        <f t="shared" si="1"/>
        <v>294</v>
      </c>
      <c r="S60" s="116"/>
      <c r="T60" s="342"/>
      <c r="U60" s="342"/>
      <c r="V60" s="342"/>
    </row>
    <row r="61" spans="1:22" s="341" customFormat="1" ht="15" customHeight="1" x14ac:dyDescent="0.2">
      <c r="A61" s="848"/>
      <c r="B61" s="927">
        <f t="shared" si="0"/>
        <v>52</v>
      </c>
      <c r="C61" s="841" t="s">
        <v>1214</v>
      </c>
      <c r="D61" s="842"/>
      <c r="E61" s="812"/>
      <c r="F61" s="811"/>
      <c r="G61" s="812"/>
      <c r="H61" s="811"/>
      <c r="I61" s="812">
        <v>2</v>
      </c>
      <c r="J61" s="811"/>
      <c r="K61" s="812">
        <v>191</v>
      </c>
      <c r="L61" s="813"/>
      <c r="M61" s="812"/>
      <c r="N61" s="811"/>
      <c r="O61" s="812"/>
      <c r="P61" s="811"/>
      <c r="Q61" s="812"/>
      <c r="R61" s="818">
        <f t="shared" si="1"/>
        <v>193</v>
      </c>
      <c r="S61" s="116"/>
      <c r="T61" s="342"/>
      <c r="U61" s="342"/>
      <c r="V61" s="342"/>
    </row>
    <row r="62" spans="1:22" s="341" customFormat="1" ht="15" customHeight="1" x14ac:dyDescent="0.2">
      <c r="A62" s="848"/>
      <c r="B62" s="927">
        <f t="shared" si="0"/>
        <v>53</v>
      </c>
      <c r="C62" s="841" t="s">
        <v>1215</v>
      </c>
      <c r="D62" s="842"/>
      <c r="E62" s="812"/>
      <c r="F62" s="811"/>
      <c r="G62" s="812"/>
      <c r="H62" s="811"/>
      <c r="I62" s="812">
        <v>2450</v>
      </c>
      <c r="J62" s="811"/>
      <c r="K62" s="812"/>
      <c r="L62" s="813"/>
      <c r="M62" s="812"/>
      <c r="N62" s="811"/>
      <c r="O62" s="812"/>
      <c r="P62" s="811"/>
      <c r="Q62" s="812"/>
      <c r="R62" s="818">
        <f t="shared" si="1"/>
        <v>2450</v>
      </c>
      <c r="S62" s="116"/>
      <c r="T62" s="342"/>
      <c r="U62" s="342"/>
      <c r="V62" s="342"/>
    </row>
    <row r="63" spans="1:22" s="341" customFormat="1" ht="15" customHeight="1" x14ac:dyDescent="0.2">
      <c r="A63" s="848"/>
      <c r="B63" s="927">
        <f t="shared" si="0"/>
        <v>54</v>
      </c>
      <c r="C63" s="841" t="s">
        <v>1338</v>
      </c>
      <c r="D63" s="842"/>
      <c r="E63" s="812"/>
      <c r="F63" s="811"/>
      <c r="G63" s="812"/>
      <c r="H63" s="811">
        <v>1371</v>
      </c>
      <c r="I63" s="812"/>
      <c r="J63" s="811"/>
      <c r="K63" s="812"/>
      <c r="L63" s="813"/>
      <c r="M63" s="812"/>
      <c r="N63" s="811"/>
      <c r="O63" s="812"/>
      <c r="P63" s="811"/>
      <c r="Q63" s="812"/>
      <c r="R63" s="818">
        <f t="shared" si="1"/>
        <v>1371</v>
      </c>
      <c r="S63" s="116"/>
      <c r="T63" s="342"/>
      <c r="U63" s="342"/>
      <c r="V63" s="342"/>
    </row>
    <row r="64" spans="1:22" s="341" customFormat="1" ht="15" customHeight="1" x14ac:dyDescent="0.2">
      <c r="A64" s="848"/>
      <c r="B64" s="927">
        <f t="shared" si="0"/>
        <v>55</v>
      </c>
      <c r="C64" s="841" t="s">
        <v>1309</v>
      </c>
      <c r="D64" s="842"/>
      <c r="E64" s="812"/>
      <c r="F64" s="811"/>
      <c r="G64" s="812"/>
      <c r="H64" s="811">
        <v>373</v>
      </c>
      <c r="I64" s="812"/>
      <c r="J64" s="811"/>
      <c r="K64" s="812"/>
      <c r="L64" s="813"/>
      <c r="M64" s="812"/>
      <c r="N64" s="811"/>
      <c r="O64" s="812"/>
      <c r="P64" s="811"/>
      <c r="Q64" s="812"/>
      <c r="R64" s="1155">
        <f t="shared" si="1"/>
        <v>373</v>
      </c>
      <c r="S64" s="116"/>
      <c r="T64" s="342"/>
      <c r="U64" s="342"/>
      <c r="V64" s="342"/>
    </row>
    <row r="65" spans="1:22" s="341" customFormat="1" ht="15" customHeight="1" x14ac:dyDescent="0.2">
      <c r="A65" s="848"/>
      <c r="B65" s="927">
        <f t="shared" si="0"/>
        <v>56</v>
      </c>
      <c r="C65" s="841" t="s">
        <v>1339</v>
      </c>
      <c r="D65" s="842"/>
      <c r="E65" s="812"/>
      <c r="F65" s="811"/>
      <c r="G65" s="812"/>
      <c r="H65" s="811"/>
      <c r="I65" s="812">
        <v>3275</v>
      </c>
      <c r="J65" s="811"/>
      <c r="K65" s="812"/>
      <c r="L65" s="813"/>
      <c r="M65" s="812">
        <v>6851</v>
      </c>
      <c r="N65" s="811"/>
      <c r="O65" s="812"/>
      <c r="P65" s="811"/>
      <c r="Q65" s="812"/>
      <c r="R65" s="1155">
        <f t="shared" si="1"/>
        <v>10126</v>
      </c>
      <c r="S65" s="116"/>
      <c r="T65" s="342"/>
      <c r="U65" s="342"/>
      <c r="V65" s="342"/>
    </row>
    <row r="66" spans="1:22" s="341" customFormat="1" ht="21.75" customHeight="1" x14ac:dyDescent="0.2">
      <c r="A66" s="848"/>
      <c r="B66" s="1163">
        <f t="shared" si="0"/>
        <v>57</v>
      </c>
      <c r="C66" s="841" t="s">
        <v>1341</v>
      </c>
      <c r="D66" s="811"/>
      <c r="E66" s="812"/>
      <c r="F66" s="811"/>
      <c r="G66" s="812"/>
      <c r="H66" s="811">
        <v>40</v>
      </c>
      <c r="I66" s="812"/>
      <c r="J66" s="811"/>
      <c r="K66" s="812"/>
      <c r="L66" s="813"/>
      <c r="M66" s="812"/>
      <c r="N66" s="811"/>
      <c r="O66" s="812"/>
      <c r="P66" s="811"/>
      <c r="Q66" s="812"/>
      <c r="R66" s="1155">
        <f t="shared" si="1"/>
        <v>40</v>
      </c>
      <c r="S66" s="116"/>
      <c r="T66" s="342"/>
      <c r="U66" s="342"/>
      <c r="V66" s="342"/>
    </row>
    <row r="67" spans="1:22" s="341" customFormat="1" ht="23.25" customHeight="1" x14ac:dyDescent="0.2">
      <c r="A67" s="848"/>
      <c r="B67" s="927">
        <f t="shared" si="0"/>
        <v>58</v>
      </c>
      <c r="C67" s="841" t="s">
        <v>1340</v>
      </c>
      <c r="D67" s="842"/>
      <c r="E67" s="812"/>
      <c r="F67" s="811"/>
      <c r="G67" s="812"/>
      <c r="H67" s="811">
        <v>1340</v>
      </c>
      <c r="I67" s="812"/>
      <c r="J67" s="811"/>
      <c r="K67" s="812"/>
      <c r="L67" s="813"/>
      <c r="M67" s="812"/>
      <c r="N67" s="811"/>
      <c r="O67" s="812"/>
      <c r="P67" s="811"/>
      <c r="Q67" s="812"/>
      <c r="R67" s="1155">
        <f t="shared" si="1"/>
        <v>1340</v>
      </c>
      <c r="S67" s="116"/>
      <c r="T67" s="342"/>
      <c r="U67" s="342"/>
      <c r="V67" s="342"/>
    </row>
    <row r="68" spans="1:22" s="341" customFormat="1" ht="15" customHeight="1" thickBot="1" x14ac:dyDescent="0.25">
      <c r="A68" s="848"/>
      <c r="B68" s="927">
        <f t="shared" si="0"/>
        <v>59</v>
      </c>
      <c r="C68" s="841" t="s">
        <v>1342</v>
      </c>
      <c r="D68" s="842"/>
      <c r="E68" s="812"/>
      <c r="F68" s="811"/>
      <c r="G68" s="812"/>
      <c r="H68" s="811"/>
      <c r="I68" s="812"/>
      <c r="J68" s="811"/>
      <c r="K68" s="812"/>
      <c r="L68" s="813"/>
      <c r="M68" s="812">
        <v>16674</v>
      </c>
      <c r="N68" s="811"/>
      <c r="O68" s="812"/>
      <c r="P68" s="811"/>
      <c r="Q68" s="812"/>
      <c r="R68" s="1155">
        <f t="shared" si="1"/>
        <v>16674</v>
      </c>
      <c r="S68" s="116"/>
      <c r="T68" s="342"/>
      <c r="U68" s="342"/>
      <c r="V68" s="342"/>
    </row>
    <row r="69" spans="1:22" ht="15.6" customHeight="1" thickBot="1" x14ac:dyDescent="0.25">
      <c r="B69" s="1315" t="s">
        <v>616</v>
      </c>
      <c r="C69" s="1316"/>
      <c r="D69" s="310">
        <f>SUM(D10:D68)</f>
        <v>54125</v>
      </c>
      <c r="E69" s="310">
        <f t="shared" ref="E69:R69" si="5">SUM(E10:E68)</f>
        <v>50148</v>
      </c>
      <c r="F69" s="310">
        <f t="shared" si="5"/>
        <v>16588</v>
      </c>
      <c r="G69" s="310">
        <f t="shared" si="5"/>
        <v>17255</v>
      </c>
      <c r="H69" s="310">
        <f t="shared" si="5"/>
        <v>450250</v>
      </c>
      <c r="I69" s="310">
        <f t="shared" si="5"/>
        <v>279934</v>
      </c>
      <c r="J69" s="310">
        <f t="shared" si="5"/>
        <v>52956</v>
      </c>
      <c r="K69" s="310">
        <f t="shared" si="5"/>
        <v>65876</v>
      </c>
      <c r="L69" s="310">
        <f t="shared" si="5"/>
        <v>161421</v>
      </c>
      <c r="M69" s="310">
        <f t="shared" si="5"/>
        <v>195362</v>
      </c>
      <c r="N69" s="310">
        <f t="shared" si="5"/>
        <v>451</v>
      </c>
      <c r="O69" s="310">
        <f t="shared" si="5"/>
        <v>0</v>
      </c>
      <c r="P69" s="310">
        <f t="shared" si="5"/>
        <v>2689</v>
      </c>
      <c r="Q69" s="310">
        <f t="shared" si="5"/>
        <v>10950</v>
      </c>
      <c r="R69" s="310">
        <f t="shared" si="5"/>
        <v>1358005</v>
      </c>
      <c r="S69" s="118"/>
    </row>
    <row r="70" spans="1:22" x14ac:dyDescent="0.2">
      <c r="S70" s="352"/>
    </row>
    <row r="74" spans="1:22" x14ac:dyDescent="0.2">
      <c r="S74" s="349"/>
    </row>
    <row r="75" spans="1:22" x14ac:dyDescent="0.2">
      <c r="S75" s="349"/>
    </row>
    <row r="79" spans="1:22" x14ac:dyDescent="0.2">
      <c r="L79" s="348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9:C69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1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339" t="s">
        <v>1317</v>
      </c>
      <c r="C1" s="1340"/>
      <c r="D1" s="1340"/>
      <c r="E1" s="1340"/>
      <c r="F1" s="1340"/>
      <c r="G1" s="1340"/>
      <c r="H1" s="1341"/>
      <c r="I1" s="1341"/>
      <c r="J1" s="1341"/>
    </row>
    <row r="3" spans="2:11" ht="15.75" customHeight="1" x14ac:dyDescent="0.25">
      <c r="B3" s="1261" t="s">
        <v>78</v>
      </c>
      <c r="C3" s="1261"/>
      <c r="D3" s="1261"/>
      <c r="E3" s="1261"/>
      <c r="F3" s="1261"/>
      <c r="G3" s="1261"/>
      <c r="H3" s="1213"/>
      <c r="I3" s="1213"/>
      <c r="J3" s="1213"/>
    </row>
    <row r="4" spans="2:11" ht="15.75" customHeight="1" x14ac:dyDescent="0.25">
      <c r="B4" s="1350" t="s">
        <v>1082</v>
      </c>
      <c r="C4" s="1351"/>
      <c r="D4" s="1351"/>
      <c r="E4" s="1351"/>
      <c r="F4" s="1351"/>
      <c r="G4" s="1351"/>
    </row>
    <row r="5" spans="2:11" ht="15.75" customHeight="1" x14ac:dyDescent="0.25">
      <c r="B5" s="1261" t="s">
        <v>955</v>
      </c>
      <c r="C5" s="1261"/>
      <c r="D5" s="1261"/>
      <c r="E5" s="1261"/>
      <c r="F5" s="1261"/>
      <c r="G5" s="1261"/>
      <c r="H5" s="1213"/>
      <c r="I5" s="1213"/>
      <c r="J5" s="1213"/>
    </row>
    <row r="6" spans="2:11" s="34" customFormat="1" ht="14.25" customHeight="1" x14ac:dyDescent="0.25">
      <c r="B6" s="1343" t="s">
        <v>325</v>
      </c>
      <c r="C6" s="1343"/>
      <c r="D6" s="1343"/>
      <c r="E6" s="1343"/>
      <c r="F6" s="1343"/>
      <c r="G6" s="1343"/>
      <c r="H6" s="1213"/>
      <c r="I6" s="1213"/>
      <c r="J6" s="1213"/>
    </row>
    <row r="7" spans="2:11" s="34" customFormat="1" ht="14.25" customHeight="1" x14ac:dyDescent="0.25">
      <c r="B7" s="29"/>
      <c r="C7" s="249"/>
      <c r="D7" s="250"/>
      <c r="E7" s="29"/>
      <c r="F7" s="29"/>
      <c r="G7" s="29"/>
    </row>
    <row r="8" spans="2:11" ht="30.6" customHeight="1" x14ac:dyDescent="0.25">
      <c r="B8" s="1344" t="s">
        <v>483</v>
      </c>
      <c r="C8" s="1346" t="s">
        <v>57</v>
      </c>
      <c r="D8" s="1346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45"/>
      <c r="C9" s="1347" t="s">
        <v>547</v>
      </c>
      <c r="D9" s="1347"/>
      <c r="E9" s="1349" t="s">
        <v>1144</v>
      </c>
      <c r="F9" s="1349"/>
      <c r="G9" s="1349"/>
      <c r="H9" s="32"/>
      <c r="I9" s="32"/>
    </row>
    <row r="10" spans="2:11" ht="52.9" customHeight="1" x14ac:dyDescent="0.25">
      <c r="B10" s="1345"/>
      <c r="C10" s="1347"/>
      <c r="D10" s="1348"/>
      <c r="E10" s="251" t="s">
        <v>62</v>
      </c>
      <c r="F10" s="251" t="s">
        <v>63</v>
      </c>
      <c r="G10" s="251" t="s">
        <v>64</v>
      </c>
      <c r="H10" s="32"/>
      <c r="I10" s="32"/>
    </row>
    <row r="11" spans="2:11" ht="23.25" customHeight="1" x14ac:dyDescent="0.25">
      <c r="B11" s="998" t="s">
        <v>493</v>
      </c>
      <c r="C11" s="1342" t="s">
        <v>617</v>
      </c>
      <c r="D11" s="1342"/>
      <c r="E11" s="252"/>
      <c r="F11" s="252"/>
      <c r="G11" s="252"/>
      <c r="H11" s="32"/>
      <c r="I11" s="32"/>
      <c r="K11" s="613"/>
    </row>
    <row r="12" spans="2:11" ht="18" customHeight="1" x14ac:dyDescent="0.25">
      <c r="B12" s="999" t="s">
        <v>501</v>
      </c>
      <c r="C12" s="253" t="s">
        <v>581</v>
      </c>
      <c r="D12" s="250"/>
      <c r="E12" s="252"/>
      <c r="F12" s="252"/>
      <c r="G12" s="252"/>
      <c r="H12" s="32"/>
      <c r="I12" s="32"/>
      <c r="K12" s="613"/>
    </row>
    <row r="13" spans="2:11" ht="18" customHeight="1" x14ac:dyDescent="0.25">
      <c r="B13" s="999" t="s">
        <v>503</v>
      </c>
      <c r="C13" s="254"/>
      <c r="D13" s="255" t="s">
        <v>951</v>
      </c>
      <c r="E13" s="252">
        <v>0</v>
      </c>
      <c r="F13" s="252">
        <v>850</v>
      </c>
      <c r="G13" s="252">
        <f>SUM(E13:F13)</f>
        <v>850</v>
      </c>
      <c r="H13" s="32"/>
      <c r="I13" s="32"/>
      <c r="K13" s="613"/>
    </row>
    <row r="14" spans="2:11" ht="18" customHeight="1" x14ac:dyDescent="0.25">
      <c r="B14" s="999" t="s">
        <v>504</v>
      </c>
      <c r="C14" s="254"/>
      <c r="D14" s="24" t="s">
        <v>581</v>
      </c>
      <c r="E14" s="252"/>
      <c r="F14" s="256">
        <v>0</v>
      </c>
      <c r="G14" s="252">
        <f>SUM(E14:F14)</f>
        <v>0</v>
      </c>
      <c r="H14" s="32"/>
      <c r="I14" s="32"/>
      <c r="K14" s="613"/>
    </row>
    <row r="15" spans="2:11" ht="18" customHeight="1" x14ac:dyDescent="0.25">
      <c r="B15" s="999" t="s">
        <v>505</v>
      </c>
      <c r="C15" s="254"/>
      <c r="D15" s="24" t="s">
        <v>1006</v>
      </c>
      <c r="E15" s="252"/>
      <c r="F15" s="256">
        <v>600</v>
      </c>
      <c r="G15" s="252">
        <f>SUM(E15:F15)</f>
        <v>600</v>
      </c>
      <c r="H15" s="32"/>
      <c r="I15" s="32"/>
      <c r="K15" s="613"/>
    </row>
    <row r="16" spans="2:11" ht="18" customHeight="1" x14ac:dyDescent="0.25">
      <c r="B16" s="999" t="s">
        <v>506</v>
      </c>
      <c r="C16" s="254"/>
      <c r="D16" s="24" t="s">
        <v>1007</v>
      </c>
      <c r="E16" s="252"/>
      <c r="F16" s="256">
        <v>800</v>
      </c>
      <c r="G16" s="252">
        <f t="shared" ref="G16:G20" si="0">SUM(E16:F16)</f>
        <v>800</v>
      </c>
      <c r="H16" s="32"/>
      <c r="I16" s="32"/>
      <c r="K16" s="613"/>
    </row>
    <row r="17" spans="2:19" ht="18" customHeight="1" x14ac:dyDescent="0.25">
      <c r="B17" s="999" t="s">
        <v>507</v>
      </c>
      <c r="C17" s="254"/>
      <c r="D17" s="24" t="s">
        <v>1008</v>
      </c>
      <c r="E17" s="252"/>
      <c r="F17" s="256">
        <v>1000</v>
      </c>
      <c r="G17" s="252">
        <f t="shared" si="0"/>
        <v>1000</v>
      </c>
      <c r="H17" s="32"/>
      <c r="I17" s="32"/>
      <c r="K17" s="613"/>
    </row>
    <row r="18" spans="2:19" ht="18" customHeight="1" x14ac:dyDescent="0.25">
      <c r="B18" s="999" t="s">
        <v>508</v>
      </c>
      <c r="C18" s="254"/>
      <c r="D18" s="24" t="s">
        <v>1009</v>
      </c>
      <c r="E18" s="252"/>
      <c r="F18" s="256">
        <v>600</v>
      </c>
      <c r="G18" s="252">
        <f t="shared" si="0"/>
        <v>600</v>
      </c>
      <c r="H18" s="32"/>
      <c r="I18" s="32"/>
      <c r="K18" s="613"/>
    </row>
    <row r="19" spans="2:19" ht="18" customHeight="1" x14ac:dyDescent="0.25">
      <c r="B19" s="999" t="s">
        <v>549</v>
      </c>
      <c r="C19" s="254"/>
      <c r="D19" s="24" t="s">
        <v>1010</v>
      </c>
      <c r="E19" s="252">
        <v>2300</v>
      </c>
      <c r="F19" s="256">
        <v>0</v>
      </c>
      <c r="G19" s="252">
        <f t="shared" si="0"/>
        <v>2300</v>
      </c>
      <c r="H19" s="32"/>
      <c r="I19" s="32"/>
      <c r="K19" s="613"/>
    </row>
    <row r="20" spans="2:19" ht="18" customHeight="1" x14ac:dyDescent="0.25">
      <c r="B20" s="999" t="s">
        <v>550</v>
      </c>
      <c r="C20" s="254"/>
      <c r="D20" s="586" t="s">
        <v>614</v>
      </c>
      <c r="E20" s="252">
        <v>389</v>
      </c>
      <c r="F20" s="256">
        <v>0</v>
      </c>
      <c r="G20" s="252">
        <f t="shared" si="0"/>
        <v>389</v>
      </c>
      <c r="H20" s="32"/>
      <c r="I20" s="32"/>
      <c r="K20" s="613"/>
    </row>
    <row r="21" spans="2:19" ht="18" customHeight="1" x14ac:dyDescent="0.25">
      <c r="B21" s="999" t="s">
        <v>551</v>
      </c>
      <c r="C21" s="775"/>
      <c r="D21" s="586" t="s">
        <v>578</v>
      </c>
      <c r="E21" s="252"/>
      <c r="F21" s="256">
        <v>1800</v>
      </c>
      <c r="G21" s="252">
        <f>SUM(E21:F21)</f>
        <v>1800</v>
      </c>
      <c r="H21" s="32"/>
      <c r="I21" s="32"/>
      <c r="K21" s="613"/>
    </row>
    <row r="22" spans="2:19" ht="18" customHeight="1" x14ac:dyDescent="0.25">
      <c r="B22" s="999" t="s">
        <v>552</v>
      </c>
      <c r="C22" s="775"/>
      <c r="D22" s="777" t="s">
        <v>577</v>
      </c>
      <c r="E22" s="776"/>
      <c r="F22" s="256">
        <v>1100</v>
      </c>
      <c r="G22" s="587">
        <f>SUM(E22:F22)</f>
        <v>1100</v>
      </c>
      <c r="H22" s="33"/>
      <c r="I22" s="33"/>
      <c r="J22" s="33"/>
      <c r="K22" s="613"/>
      <c r="M22" s="33"/>
    </row>
    <row r="23" spans="2:19" ht="18" customHeight="1" x14ac:dyDescent="0.25">
      <c r="B23" s="999" t="s">
        <v>553</v>
      </c>
      <c r="C23" s="253" t="s">
        <v>952</v>
      </c>
      <c r="D23" s="250"/>
      <c r="E23" s="257">
        <f>SUM(E13:E22)</f>
        <v>2689</v>
      </c>
      <c r="F23" s="257">
        <f>SUM(F13:F22)</f>
        <v>6750</v>
      </c>
      <c r="G23" s="257">
        <f t="shared" ref="G23:J23" si="1">SUM(G13:G22)</f>
        <v>9439</v>
      </c>
      <c r="H23" s="257">
        <f t="shared" si="1"/>
        <v>0</v>
      </c>
      <c r="I23" s="257">
        <f t="shared" si="1"/>
        <v>0</v>
      </c>
      <c r="J23" s="257">
        <f t="shared" si="1"/>
        <v>0</v>
      </c>
      <c r="K23" s="613"/>
    </row>
    <row r="24" spans="2:19" ht="20.25" customHeight="1" x14ac:dyDescent="0.25">
      <c r="B24" s="999"/>
      <c r="D24" s="28"/>
      <c r="E24" s="252"/>
      <c r="F24" s="252"/>
      <c r="G24" s="252"/>
      <c r="H24" s="32"/>
      <c r="I24" s="32"/>
      <c r="K24" s="613"/>
    </row>
    <row r="25" spans="2:19" ht="18" customHeight="1" x14ac:dyDescent="0.25">
      <c r="B25" s="999" t="s">
        <v>554</v>
      </c>
      <c r="C25" s="17" t="s">
        <v>619</v>
      </c>
      <c r="E25" s="252"/>
      <c r="F25" s="252"/>
      <c r="G25" s="252"/>
      <c r="H25" s="32"/>
      <c r="I25" s="32"/>
      <c r="K25" s="613"/>
      <c r="S25" s="33"/>
    </row>
    <row r="26" spans="2:19" ht="18" customHeight="1" x14ac:dyDescent="0.25">
      <c r="B26" s="999" t="s">
        <v>555</v>
      </c>
      <c r="D26" s="24" t="s">
        <v>620</v>
      </c>
      <c r="E26" s="252"/>
      <c r="F26" s="252">
        <v>0</v>
      </c>
      <c r="G26" s="252">
        <f>SUM(E26:F26)</f>
        <v>0</v>
      </c>
      <c r="H26" s="32"/>
      <c r="I26" s="32"/>
      <c r="K26" s="613"/>
    </row>
    <row r="27" spans="2:19" ht="18" customHeight="1" x14ac:dyDescent="0.25">
      <c r="B27" s="999" t="s">
        <v>556</v>
      </c>
      <c r="D27" s="24" t="s">
        <v>568</v>
      </c>
      <c r="E27" s="256">
        <v>0</v>
      </c>
      <c r="F27" s="252">
        <v>0</v>
      </c>
      <c r="G27" s="252">
        <f>SUM(E27:F27)</f>
        <v>0</v>
      </c>
      <c r="H27" s="32"/>
      <c r="I27" s="32"/>
      <c r="K27" s="613"/>
    </row>
    <row r="28" spans="2:19" ht="18" customHeight="1" x14ac:dyDescent="0.25">
      <c r="B28" s="999" t="s">
        <v>558</v>
      </c>
      <c r="C28" s="29" t="s">
        <v>953</v>
      </c>
      <c r="E28" s="778">
        <f>SUM(E26:E27)</f>
        <v>0</v>
      </c>
      <c r="F28" s="778">
        <f>SUM(F26:F27)</f>
        <v>0</v>
      </c>
      <c r="G28" s="778">
        <f>SUM(G26:G27)</f>
        <v>0</v>
      </c>
      <c r="H28" s="32"/>
      <c r="I28" s="32"/>
      <c r="K28" s="613"/>
    </row>
    <row r="29" spans="2:19" ht="18" customHeight="1" x14ac:dyDescent="0.25">
      <c r="B29" s="999"/>
      <c r="E29" s="252"/>
      <c r="F29" s="252"/>
      <c r="G29" s="252"/>
      <c r="H29" s="32"/>
      <c r="I29" s="32"/>
      <c r="K29" s="613"/>
    </row>
    <row r="30" spans="2:19" ht="37.9" customHeight="1" x14ac:dyDescent="0.25">
      <c r="B30" s="1000" t="s">
        <v>559</v>
      </c>
      <c r="D30" s="24" t="s">
        <v>622</v>
      </c>
      <c r="E30" s="252"/>
      <c r="F30" s="252">
        <v>4200</v>
      </c>
      <c r="G30" s="252">
        <f>SUM(E30:F30)</f>
        <v>4200</v>
      </c>
      <c r="H30" s="32"/>
      <c r="I30" s="32"/>
      <c r="K30" s="613"/>
    </row>
    <row r="31" spans="2:19" ht="23.25" customHeight="1" thickBot="1" x14ac:dyDescent="0.3">
      <c r="B31" s="1001" t="s">
        <v>560</v>
      </c>
      <c r="C31" s="972"/>
      <c r="D31" s="970" t="s">
        <v>618</v>
      </c>
      <c r="E31" s="779">
        <f>E30</f>
        <v>0</v>
      </c>
      <c r="F31" s="779">
        <f t="shared" ref="F31:G31" si="2">F30</f>
        <v>4200</v>
      </c>
      <c r="G31" s="779">
        <f t="shared" si="2"/>
        <v>4200</v>
      </c>
      <c r="H31" s="32"/>
      <c r="I31" s="32"/>
      <c r="K31" s="613"/>
    </row>
    <row r="32" spans="2:19" s="34" customFormat="1" ht="18" customHeight="1" thickBot="1" x14ac:dyDescent="0.3">
      <c r="B32" s="1002" t="s">
        <v>561</v>
      </c>
      <c r="C32" s="971" t="s">
        <v>954</v>
      </c>
      <c r="D32" s="302"/>
      <c r="E32" s="780">
        <f>E23+E28+E30</f>
        <v>2689</v>
      </c>
      <c r="F32" s="780">
        <f t="shared" ref="F32:G32" si="3">F23+F28+F30</f>
        <v>10950</v>
      </c>
      <c r="G32" s="780">
        <f t="shared" si="3"/>
        <v>13639</v>
      </c>
      <c r="K32" s="614"/>
      <c r="M32" s="38"/>
    </row>
    <row r="33" spans="2:9" ht="18" customHeight="1" x14ac:dyDescent="0.25">
      <c r="B33" s="587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1" customWidth="1"/>
    <col min="5" max="6" width="9.42578125" style="3" customWidth="1"/>
    <col min="7" max="7" width="9.7109375" style="3" customWidth="1"/>
    <col min="8" max="9" width="0" style="247" hidden="1" customWidth="1"/>
    <col min="10" max="10" width="9.85546875" style="266" hidden="1" customWidth="1"/>
    <col min="11" max="11" width="0" style="266" hidden="1" customWidth="1"/>
    <col min="12" max="16384" width="9.140625" style="4"/>
  </cols>
  <sheetData>
    <row r="1" spans="1:12" ht="31.5" customHeight="1" x14ac:dyDescent="0.2">
      <c r="B1" s="1353" t="s">
        <v>1375</v>
      </c>
      <c r="C1" s="1353"/>
      <c r="D1" s="1353"/>
      <c r="E1" s="1353"/>
      <c r="F1" s="1353"/>
      <c r="G1" s="1353"/>
      <c r="H1" s="1354"/>
      <c r="I1" s="1354"/>
      <c r="J1" s="1354"/>
      <c r="K1" s="1213"/>
    </row>
    <row r="3" spans="1:12" ht="12.75" customHeight="1" x14ac:dyDescent="0.2">
      <c r="B3" s="1212" t="s">
        <v>523</v>
      </c>
      <c r="C3" s="1212"/>
      <c r="D3" s="1212"/>
      <c r="E3" s="1212"/>
      <c r="F3" s="1212"/>
      <c r="G3" s="1212"/>
      <c r="H3" s="1213"/>
      <c r="I3" s="1213"/>
      <c r="J3" s="1213"/>
    </row>
    <row r="4" spans="1:12" ht="12.75" customHeight="1" x14ac:dyDescent="0.2">
      <c r="B4" s="1212" t="s">
        <v>1082</v>
      </c>
      <c r="C4" s="1212"/>
      <c r="D4" s="1212"/>
      <c r="E4" s="1212"/>
      <c r="F4" s="1212"/>
      <c r="G4" s="1212"/>
      <c r="H4" s="1213"/>
      <c r="I4" s="1213"/>
      <c r="J4" s="1213"/>
    </row>
    <row r="5" spans="1:12" ht="12.75" customHeight="1" x14ac:dyDescent="0.2">
      <c r="B5" s="1212" t="s">
        <v>955</v>
      </c>
      <c r="C5" s="1212"/>
      <c r="D5" s="1212"/>
      <c r="E5" s="1212"/>
      <c r="F5" s="1212"/>
      <c r="G5" s="1212"/>
      <c r="H5" s="1213"/>
      <c r="I5" s="1213"/>
      <c r="J5" s="1213"/>
    </row>
    <row r="6" spans="1:12" s="143" customFormat="1" ht="14.25" customHeight="1" x14ac:dyDescent="0.2">
      <c r="B6" s="234"/>
      <c r="C6" s="1352" t="s">
        <v>310</v>
      </c>
      <c r="D6" s="1352"/>
      <c r="E6" s="1303"/>
      <c r="F6" s="1303"/>
      <c r="G6" s="1303"/>
      <c r="H6" s="1213"/>
      <c r="I6" s="1213"/>
      <c r="J6" s="1213"/>
      <c r="K6" s="268"/>
    </row>
    <row r="7" spans="1:12" s="143" customFormat="1" ht="6" customHeight="1" x14ac:dyDescent="0.2">
      <c r="B7" s="234"/>
      <c r="C7" s="229"/>
      <c r="D7" s="258"/>
      <c r="E7" s="234"/>
      <c r="F7" s="234"/>
      <c r="G7" s="234"/>
      <c r="H7" s="300"/>
      <c r="I7" s="300"/>
      <c r="J7" s="268"/>
      <c r="K7" s="268"/>
    </row>
    <row r="8" spans="1:12" ht="27" customHeight="1" x14ac:dyDescent="0.25">
      <c r="B8" s="1355" t="s">
        <v>483</v>
      </c>
      <c r="C8" s="1358" t="s">
        <v>57</v>
      </c>
      <c r="D8" s="1358"/>
      <c r="E8" s="20" t="s">
        <v>58</v>
      </c>
      <c r="F8" s="20" t="s">
        <v>59</v>
      </c>
      <c r="G8" s="20" t="s">
        <v>60</v>
      </c>
      <c r="H8" s="266"/>
      <c r="I8" s="4"/>
      <c r="J8" s="4"/>
      <c r="K8" s="4"/>
    </row>
    <row r="9" spans="1:12" ht="30" customHeight="1" x14ac:dyDescent="0.2">
      <c r="B9" s="1356"/>
      <c r="C9" s="1347" t="s">
        <v>86</v>
      </c>
      <c r="D9" s="1347"/>
      <c r="E9" s="1360" t="s">
        <v>1078</v>
      </c>
      <c r="F9" s="1360"/>
      <c r="G9" s="1360"/>
      <c r="H9" s="266"/>
      <c r="I9" s="4"/>
      <c r="J9" s="4"/>
      <c r="K9" s="4"/>
    </row>
    <row r="10" spans="1:12" ht="41.25" customHeight="1" x14ac:dyDescent="0.2">
      <c r="B10" s="1357"/>
      <c r="C10" s="1347"/>
      <c r="D10" s="1347"/>
      <c r="E10" s="251" t="s">
        <v>62</v>
      </c>
      <c r="F10" s="251" t="s">
        <v>63</v>
      </c>
      <c r="G10" s="251" t="s">
        <v>64</v>
      </c>
      <c r="H10" s="266"/>
      <c r="I10" s="4"/>
      <c r="J10" s="4"/>
      <c r="K10" s="4"/>
    </row>
    <row r="11" spans="1:12" ht="18" customHeight="1" x14ac:dyDescent="0.2">
      <c r="A11" s="994"/>
      <c r="B11" s="995" t="s">
        <v>493</v>
      </c>
      <c r="C11" s="1361" t="s">
        <v>623</v>
      </c>
      <c r="D11" s="1361"/>
      <c r="E11" s="259"/>
      <c r="F11" s="237"/>
      <c r="G11" s="582"/>
      <c r="H11" s="266"/>
      <c r="I11" s="4"/>
      <c r="J11" s="4"/>
      <c r="K11" s="4"/>
      <c r="L11" s="611"/>
    </row>
    <row r="12" spans="1:12" ht="26.45" customHeight="1" x14ac:dyDescent="0.2">
      <c r="A12" s="994"/>
      <c r="B12" s="996" t="s">
        <v>501</v>
      </c>
      <c r="C12" s="237"/>
      <c r="D12" s="330" t="s">
        <v>956</v>
      </c>
      <c r="E12" s="261">
        <f>'tám, végl. pe.átv  '!C27</f>
        <v>153</v>
      </c>
      <c r="F12" s="260"/>
      <c r="G12" s="582">
        <f>SUM(E12:F12)</f>
        <v>153</v>
      </c>
      <c r="H12" s="266"/>
      <c r="I12" s="4"/>
      <c r="J12" s="4"/>
      <c r="K12" s="4"/>
      <c r="L12" s="611"/>
    </row>
    <row r="13" spans="1:12" ht="20.25" customHeight="1" x14ac:dyDescent="0.2">
      <c r="A13" s="994"/>
      <c r="B13" s="996" t="s">
        <v>502</v>
      </c>
      <c r="C13" s="237"/>
      <c r="D13" s="330" t="s">
        <v>110</v>
      </c>
      <c r="E13" s="259">
        <v>0</v>
      </c>
      <c r="F13" s="237">
        <f>SUM(F12)</f>
        <v>0</v>
      </c>
      <c r="G13" s="582">
        <f>SUM(E13:F13)</f>
        <v>0</v>
      </c>
      <c r="H13" s="266"/>
      <c r="I13" s="4"/>
      <c r="J13" s="4"/>
      <c r="K13" s="4"/>
      <c r="L13" s="611"/>
    </row>
    <row r="14" spans="1:12" ht="18" customHeight="1" x14ac:dyDescent="0.2">
      <c r="A14" s="994"/>
      <c r="B14" s="996" t="s">
        <v>503</v>
      </c>
      <c r="D14" s="262" t="s">
        <v>618</v>
      </c>
      <c r="E14" s="263">
        <f>SUM(E12:E13)</f>
        <v>153</v>
      </c>
      <c r="F14" s="239"/>
      <c r="G14" s="583">
        <f>SUM(G12:G13)</f>
        <v>153</v>
      </c>
      <c r="H14" s="266"/>
      <c r="I14" s="4"/>
      <c r="J14" s="4"/>
      <c r="K14" s="4"/>
      <c r="L14" s="611"/>
    </row>
    <row r="15" spans="1:12" ht="18" customHeight="1" x14ac:dyDescent="0.2">
      <c r="A15" s="994"/>
      <c r="B15" s="996" t="s">
        <v>504</v>
      </c>
      <c r="D15" s="262"/>
      <c r="E15" s="259"/>
      <c r="F15" s="237"/>
      <c r="G15" s="582"/>
      <c r="H15" s="266"/>
      <c r="I15" s="4"/>
      <c r="J15" s="4"/>
      <c r="K15" s="4"/>
      <c r="L15" s="611"/>
    </row>
    <row r="16" spans="1:12" ht="18" customHeight="1" x14ac:dyDescent="0.2">
      <c r="A16" s="994"/>
      <c r="B16" s="997" t="s">
        <v>505</v>
      </c>
      <c r="E16" s="303"/>
      <c r="F16" s="237"/>
      <c r="G16" s="584"/>
      <c r="H16" s="266"/>
      <c r="I16" s="4"/>
      <c r="J16" s="4"/>
      <c r="K16" s="4"/>
      <c r="L16" s="611"/>
    </row>
    <row r="17" spans="2:12" ht="18" customHeight="1" x14ac:dyDescent="0.2">
      <c r="B17" s="264" t="s">
        <v>506</v>
      </c>
      <c r="C17" s="1359" t="s">
        <v>621</v>
      </c>
      <c r="D17" s="1359"/>
      <c r="E17" s="265">
        <f>E14</f>
        <v>153</v>
      </c>
      <c r="F17" s="265">
        <f t="shared" ref="F17:G17" si="0">F14</f>
        <v>0</v>
      </c>
      <c r="G17" s="265">
        <f t="shared" si="0"/>
        <v>153</v>
      </c>
      <c r="H17" s="266"/>
      <c r="I17" s="4"/>
      <c r="J17" s="4"/>
      <c r="K17" s="4"/>
      <c r="L17" s="611"/>
    </row>
    <row r="18" spans="2:12" ht="18" customHeight="1" x14ac:dyDescent="0.2">
      <c r="B18" s="5"/>
      <c r="H18" s="266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0" customWidth="1"/>
    <col min="8" max="8" width="12.42578125" style="290" customWidth="1"/>
    <col min="9" max="9" width="13" style="290" customWidth="1"/>
    <col min="10" max="10" width="9.140625" style="157"/>
    <col min="11" max="16384" width="9.140625" style="10"/>
  </cols>
  <sheetData>
    <row r="1" spans="1:10" ht="12.75" customHeight="1" x14ac:dyDescent="0.2">
      <c r="B1" s="1165" t="s">
        <v>1376</v>
      </c>
      <c r="C1" s="1213"/>
      <c r="D1" s="1213"/>
      <c r="E1" s="1213"/>
      <c r="F1" s="1213"/>
      <c r="G1" s="1213"/>
      <c r="H1" s="1213"/>
      <c r="I1" s="1213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8" t="s">
        <v>78</v>
      </c>
      <c r="C4" s="1168"/>
      <c r="D4" s="1168"/>
      <c r="E4" s="1168"/>
      <c r="F4" s="1168"/>
      <c r="G4" s="1168"/>
      <c r="H4" s="1168"/>
      <c r="I4" s="1168"/>
      <c r="J4" s="160"/>
    </row>
    <row r="5" spans="1:10" s="122" customFormat="1" x14ac:dyDescent="0.2">
      <c r="A5" s="160"/>
      <c r="B5" s="1270" t="s">
        <v>189</v>
      </c>
      <c r="C5" s="1270"/>
      <c r="D5" s="1270"/>
      <c r="E5" s="1270"/>
      <c r="F5" s="1270"/>
      <c r="G5" s="1270"/>
      <c r="H5" s="1270"/>
      <c r="I5" s="1270"/>
      <c r="J5" s="160"/>
    </row>
    <row r="6" spans="1:10" s="122" customFormat="1" x14ac:dyDescent="0.2">
      <c r="A6" s="160"/>
      <c r="B6" s="1168" t="s">
        <v>1084</v>
      </c>
      <c r="C6" s="1168"/>
      <c r="D6" s="1168"/>
      <c r="E6" s="1168"/>
      <c r="F6" s="1168"/>
      <c r="G6" s="1168"/>
      <c r="H6" s="1168"/>
      <c r="I6" s="1168"/>
      <c r="J6" s="160"/>
    </row>
    <row r="7" spans="1:10" s="122" customFormat="1" x14ac:dyDescent="0.2">
      <c r="A7" s="160"/>
      <c r="B7" s="1169" t="s">
        <v>310</v>
      </c>
      <c r="C7" s="1169"/>
      <c r="D7" s="1169"/>
      <c r="E7" s="1169"/>
      <c r="F7" s="1169"/>
      <c r="G7" s="1169"/>
      <c r="H7" s="1169"/>
      <c r="I7" s="1169"/>
      <c r="J7" s="160"/>
    </row>
    <row r="8" spans="1:10" s="122" customFormat="1" ht="12.75" customHeight="1" x14ac:dyDescent="0.2">
      <c r="A8" s="1173" t="s">
        <v>56</v>
      </c>
      <c r="B8" s="1174" t="s">
        <v>57</v>
      </c>
      <c r="C8" s="1189" t="s">
        <v>58</v>
      </c>
      <c r="D8" s="1189"/>
      <c r="E8" s="1190"/>
      <c r="F8" s="1269" t="s">
        <v>59</v>
      </c>
      <c r="G8" s="1187" t="s">
        <v>60</v>
      </c>
      <c r="H8" s="1188"/>
      <c r="I8" s="1188"/>
      <c r="J8" s="608"/>
    </row>
    <row r="9" spans="1:10" s="122" customFormat="1" ht="12.75" customHeight="1" x14ac:dyDescent="0.2">
      <c r="A9" s="1173"/>
      <c r="B9" s="1174"/>
      <c r="C9" s="1166" t="s">
        <v>1078</v>
      </c>
      <c r="D9" s="1166"/>
      <c r="E9" s="1167"/>
      <c r="F9" s="1269"/>
      <c r="G9" s="1179" t="s">
        <v>1078</v>
      </c>
      <c r="H9" s="1179"/>
      <c r="I9" s="1179"/>
      <c r="J9" s="608"/>
    </row>
    <row r="10" spans="1:10" s="308" customFormat="1" ht="36.6" customHeight="1" x14ac:dyDescent="0.2">
      <c r="A10" s="1173"/>
      <c r="B10" s="306" t="s">
        <v>61</v>
      </c>
      <c r="C10" s="135" t="s">
        <v>62</v>
      </c>
      <c r="D10" s="135" t="s">
        <v>63</v>
      </c>
      <c r="E10" s="162" t="s">
        <v>64</v>
      </c>
      <c r="F10" s="307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222</v>
      </c>
      <c r="G12" s="285">
        <v>241112</v>
      </c>
      <c r="H12" s="285">
        <v>14145</v>
      </c>
      <c r="I12" s="469">
        <f>SUM(G12:H12)</f>
        <v>255257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8" t="s">
        <v>223</v>
      </c>
      <c r="G13" s="285">
        <v>50264</v>
      </c>
      <c r="H13" s="285">
        <v>2447</v>
      </c>
      <c r="I13" s="469">
        <f>SUM(G13:H13)</f>
        <v>52711</v>
      </c>
      <c r="J13" s="607"/>
    </row>
    <row r="14" spans="1:10" x14ac:dyDescent="0.2">
      <c r="A14" s="164">
        <f t="shared" si="0"/>
        <v>4</v>
      </c>
      <c r="B14" s="167" t="s">
        <v>199</v>
      </c>
      <c r="C14" s="118">
        <f>'tám, végl. pe.átv  '!C65</f>
        <v>0</v>
      </c>
      <c r="D14" s="118">
        <f>'tám, végl. pe.átv  '!D65</f>
        <v>5247</v>
      </c>
      <c r="E14" s="285">
        <f t="shared" si="1"/>
        <v>5247</v>
      </c>
      <c r="F14" s="139" t="s">
        <v>224</v>
      </c>
      <c r="G14" s="285">
        <v>297856</v>
      </c>
      <c r="H14" s="285">
        <v>10431</v>
      </c>
      <c r="I14" s="469">
        <f>SUM(G14:H14)</f>
        <v>308287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460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459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201</v>
      </c>
      <c r="C20" s="357">
        <v>134502</v>
      </c>
      <c r="D20" s="357">
        <v>10229</v>
      </c>
      <c r="E20" s="357">
        <f>SUM(C20:D20)</f>
        <v>144731</v>
      </c>
      <c r="F20" s="139" t="s">
        <v>197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960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961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589232</v>
      </c>
      <c r="H24" s="358">
        <f>SUM(H12:H22)</f>
        <v>27023</v>
      </c>
      <c r="I24" s="472">
        <f>SUM(I12:I22)</f>
        <v>616255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280</v>
      </c>
      <c r="G27" s="292">
        <f>'felhalm. kiad.  '!G131</f>
        <v>7144</v>
      </c>
      <c r="H27" s="292">
        <f>'felhalm. kiad.  '!H131</f>
        <v>0</v>
      </c>
      <c r="I27" s="471">
        <f>SUM(G27:H27)</f>
        <v>7144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461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458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134502</v>
      </c>
      <c r="D32" s="168">
        <f>D14+D20</f>
        <v>15476</v>
      </c>
      <c r="E32" s="168">
        <f>E14+E20</f>
        <v>149978</v>
      </c>
      <c r="F32" s="139" t="s">
        <v>454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7144</v>
      </c>
      <c r="H33" s="359">
        <f>SUM(H27:H32)</f>
        <v>0</v>
      </c>
      <c r="I33" s="473">
        <f>SUM(I27:I31)</f>
        <v>7144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134502</v>
      </c>
      <c r="D34" s="173">
        <f>SUM(D32:D33)</f>
        <v>15476</v>
      </c>
      <c r="E34" s="173">
        <f>SUM(C34:D34)</f>
        <v>149978</v>
      </c>
      <c r="F34" s="179" t="s">
        <v>69</v>
      </c>
      <c r="G34" s="360">
        <f>G24+G33</f>
        <v>596376</v>
      </c>
      <c r="H34" s="360">
        <f>H24+H33</f>
        <v>27023</v>
      </c>
      <c r="I34" s="446">
        <f>I24+I33</f>
        <v>623399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708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994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710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214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279</v>
      </c>
      <c r="C43" s="119">
        <v>1501</v>
      </c>
      <c r="D43" s="119"/>
      <c r="E43" s="119">
        <f>C43+D43</f>
        <v>1501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991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711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712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218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219</v>
      </c>
      <c r="C48" s="119">
        <f>G24-(C34+C43)</f>
        <v>453229</v>
      </c>
      <c r="D48" s="119">
        <f>H24-(D34+D43)</f>
        <v>11547</v>
      </c>
      <c r="E48" s="119">
        <f>I24-(E34+E43)</f>
        <v>464776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220</v>
      </c>
      <c r="C49" s="119">
        <f>G33-C33</f>
        <v>7144</v>
      </c>
      <c r="D49" s="119">
        <f>H33-D33</f>
        <v>0</v>
      </c>
      <c r="E49" s="119">
        <f>I33-E33</f>
        <v>7144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462</v>
      </c>
      <c r="C53" s="126">
        <f>SUM(C39:C51)</f>
        <v>461874</v>
      </c>
      <c r="D53" s="126">
        <f>SUM(D39:D51)</f>
        <v>11547</v>
      </c>
      <c r="E53" s="126">
        <f>SUM(E39:E51)</f>
        <v>473421</v>
      </c>
      <c r="F53" s="140" t="s">
        <v>455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2">
        <f t="shared" si="0"/>
        <v>44</v>
      </c>
      <c r="B54" s="1136" t="s">
        <v>457</v>
      </c>
      <c r="C54" s="1093">
        <f>C34+C53</f>
        <v>596376</v>
      </c>
      <c r="D54" s="304">
        <f>D34+D53</f>
        <v>27023</v>
      </c>
      <c r="E54" s="928">
        <f>E34+E53</f>
        <v>623399</v>
      </c>
      <c r="F54" s="507" t="s">
        <v>456</v>
      </c>
      <c r="G54" s="1135">
        <f>G34+G53</f>
        <v>596376</v>
      </c>
      <c r="H54" s="937">
        <f>H34+H53</f>
        <v>27023</v>
      </c>
      <c r="I54" s="808">
        <f>I34+I53</f>
        <v>623399</v>
      </c>
      <c r="J54" s="291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65" t="s">
        <v>1364</v>
      </c>
      <c r="C1" s="1165"/>
      <c r="D1" s="1165"/>
      <c r="E1" s="1165"/>
      <c r="F1" s="1165"/>
      <c r="G1" s="1165"/>
      <c r="H1" s="1165"/>
      <c r="I1" s="1165"/>
      <c r="J1" s="737"/>
    </row>
    <row r="2" spans="1:25" x14ac:dyDescent="0.2">
      <c r="B2" s="575"/>
      <c r="I2" s="159"/>
    </row>
    <row r="3" spans="1:25" s="122" customFormat="1" x14ac:dyDescent="0.2">
      <c r="A3" s="160"/>
      <c r="B3" s="1168" t="s">
        <v>54</v>
      </c>
      <c r="C3" s="1168"/>
      <c r="D3" s="1168"/>
      <c r="E3" s="1168"/>
      <c r="F3" s="1168"/>
      <c r="G3" s="1168"/>
      <c r="H3" s="1168"/>
      <c r="I3" s="1168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68" t="s">
        <v>1077</v>
      </c>
      <c r="C4" s="1168"/>
      <c r="D4" s="1168"/>
      <c r="E4" s="1168"/>
      <c r="F4" s="1168"/>
      <c r="G4" s="1168"/>
      <c r="H4" s="1168"/>
      <c r="I4" s="1168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81" t="s">
        <v>315</v>
      </c>
      <c r="B5" s="1181"/>
      <c r="C5" s="1181"/>
      <c r="D5" s="1181"/>
      <c r="E5" s="1181"/>
      <c r="F5" s="1181"/>
      <c r="G5" s="1181"/>
      <c r="H5" s="1181"/>
      <c r="I5" s="1181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82" t="s">
        <v>56</v>
      </c>
      <c r="B6" s="1183" t="s">
        <v>57</v>
      </c>
      <c r="C6" s="1184" t="s">
        <v>58</v>
      </c>
      <c r="D6" s="1184"/>
      <c r="E6" s="1185"/>
      <c r="F6" s="1186" t="s">
        <v>59</v>
      </c>
      <c r="G6" s="1187" t="s">
        <v>60</v>
      </c>
      <c r="H6" s="1188"/>
      <c r="I6" s="1188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82"/>
      <c r="B7" s="1183"/>
      <c r="C7" s="1179" t="s">
        <v>1078</v>
      </c>
      <c r="D7" s="1179"/>
      <c r="E7" s="1180"/>
      <c r="F7" s="1186"/>
      <c r="G7" s="1179" t="s">
        <v>1078</v>
      </c>
      <c r="H7" s="1179"/>
      <c r="I7" s="118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82"/>
      <c r="B8" s="873" t="s">
        <v>61</v>
      </c>
      <c r="C8" s="874" t="s">
        <v>62</v>
      </c>
      <c r="D8" s="874" t="s">
        <v>63</v>
      </c>
      <c r="E8" s="875" t="s">
        <v>64</v>
      </c>
      <c r="F8" s="876" t="s">
        <v>65</v>
      </c>
      <c r="G8" s="356" t="s">
        <v>62</v>
      </c>
      <c r="H8" s="356" t="s">
        <v>63</v>
      </c>
      <c r="I8" s="356" t="s">
        <v>64</v>
      </c>
      <c r="J8" s="591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77">
        <v>1</v>
      </c>
      <c r="B9" s="878" t="s">
        <v>24</v>
      </c>
      <c r="C9" s="879"/>
      <c r="D9" s="879"/>
      <c r="E9" s="879"/>
      <c r="F9" s="880" t="s">
        <v>25</v>
      </c>
      <c r="G9" s="361"/>
      <c r="H9" s="361"/>
      <c r="I9" s="468"/>
      <c r="J9" s="184"/>
      <c r="T9" s="10"/>
      <c r="U9" s="10"/>
      <c r="V9" s="10"/>
      <c r="W9" s="10"/>
      <c r="X9" s="10"/>
      <c r="Y9" s="10"/>
    </row>
    <row r="10" spans="1:25" x14ac:dyDescent="0.2">
      <c r="A10" s="877">
        <f>A9+1</f>
        <v>2</v>
      </c>
      <c r="B10" s="81" t="s">
        <v>35</v>
      </c>
      <c r="C10" s="297"/>
      <c r="D10" s="297"/>
      <c r="E10" s="285">
        <f>SUM(C10:D10)</f>
        <v>0</v>
      </c>
      <c r="F10" s="501" t="s">
        <v>26</v>
      </c>
      <c r="G10" s="285">
        <f>Össz.önkor.mérleg.!G10</f>
        <v>630563</v>
      </c>
      <c r="H10" s="285">
        <f>Össz.önkor.mérleg.!H10</f>
        <v>339746</v>
      </c>
      <c r="I10" s="470">
        <f>Össz.önkor.mérleg.!I10</f>
        <v>970309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77">
        <f t="shared" ref="A11:A45" si="0">A10+1</f>
        <v>3</v>
      </c>
      <c r="B11" s="81" t="s">
        <v>36</v>
      </c>
      <c r="C11" s="297">
        <f>Össz.önkor.mérleg.!C11</f>
        <v>748439</v>
      </c>
      <c r="D11" s="297">
        <f>Össz.önkor.mérleg.!D11</f>
        <v>104013</v>
      </c>
      <c r="E11" s="297">
        <f>Össz.önkor.mérleg.!E11</f>
        <v>852452</v>
      </c>
      <c r="F11" s="501" t="s">
        <v>27</v>
      </c>
      <c r="G11" s="285">
        <f>Össz.önkor.mérleg.!G11</f>
        <v>141725</v>
      </c>
      <c r="H11" s="285">
        <f>Össz.önkor.mérleg.!H11</f>
        <v>74521</v>
      </c>
      <c r="I11" s="470">
        <f>Össz.önkor.mérleg.!I11</f>
        <v>216246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77">
        <f t="shared" si="0"/>
        <v>4</v>
      </c>
      <c r="B12" s="81" t="s">
        <v>962</v>
      </c>
      <c r="C12" s="297">
        <f>Össz.önkor.mérleg.!C12</f>
        <v>0</v>
      </c>
      <c r="D12" s="297">
        <f>Össz.önkor.mérleg.!D12</f>
        <v>0</v>
      </c>
      <c r="E12" s="297">
        <f>Össz.önkor.mérleg.!E12</f>
        <v>0</v>
      </c>
      <c r="F12" s="501" t="s">
        <v>29</v>
      </c>
      <c r="G12" s="285">
        <f>Össz.önkor.mérleg.!G12</f>
        <v>874575</v>
      </c>
      <c r="H12" s="285">
        <f>Össz.önkor.mérleg.!H12</f>
        <v>571825</v>
      </c>
      <c r="I12" s="470">
        <f>Össz.önkor.mérleg.!I12</f>
        <v>1446400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77">
        <f t="shared" si="0"/>
        <v>5</v>
      </c>
      <c r="B13" s="81" t="s">
        <v>37</v>
      </c>
      <c r="C13" s="297">
        <f>Össz.önkor.mérleg.!C13</f>
        <v>39345</v>
      </c>
      <c r="D13" s="297">
        <f>Össz.önkor.mérleg.!D13</f>
        <v>19044</v>
      </c>
      <c r="E13" s="297">
        <f>Össz.önkor.mérleg.!E13</f>
        <v>58389</v>
      </c>
      <c r="F13" s="501"/>
      <c r="G13" s="285"/>
      <c r="H13" s="297"/>
      <c r="I13" s="469"/>
      <c r="J13" s="184"/>
      <c r="T13" s="10"/>
      <c r="U13" s="10"/>
      <c r="V13" s="10"/>
      <c r="W13" s="10"/>
      <c r="X13" s="10"/>
      <c r="Y13" s="10"/>
    </row>
    <row r="14" spans="1:25" x14ac:dyDescent="0.2">
      <c r="A14" s="877">
        <f t="shared" si="0"/>
        <v>6</v>
      </c>
      <c r="B14" s="81" t="s">
        <v>39</v>
      </c>
      <c r="C14" s="297">
        <f>Össz.önkor.mérleg.!C17</f>
        <v>711070</v>
      </c>
      <c r="D14" s="297">
        <f>Össz.önkor.mérleg.!D17</f>
        <v>690085</v>
      </c>
      <c r="E14" s="297">
        <f>Össz.önkor.mérleg.!E17</f>
        <v>1401155</v>
      </c>
      <c r="F14" s="501" t="s">
        <v>28</v>
      </c>
      <c r="G14" s="285">
        <f>Össz.önkor.mérleg.!G14</f>
        <v>2842</v>
      </c>
      <c r="H14" s="285">
        <f>Össz.önkor.mérleg.!H14</f>
        <v>10950</v>
      </c>
      <c r="I14" s="470">
        <f>Össz.önkor.mérleg.!I14</f>
        <v>13792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77">
        <f t="shared" si="0"/>
        <v>7</v>
      </c>
      <c r="B15" s="81"/>
      <c r="C15" s="297"/>
      <c r="D15" s="297"/>
      <c r="E15" s="285"/>
      <c r="F15" s="501" t="s">
        <v>30</v>
      </c>
      <c r="G15" s="285"/>
      <c r="H15" s="292"/>
      <c r="I15" s="469"/>
      <c r="J15" s="184"/>
      <c r="T15" s="10"/>
      <c r="U15" s="10"/>
      <c r="V15" s="10"/>
      <c r="W15" s="10"/>
      <c r="X15" s="10"/>
      <c r="Y15" s="10"/>
    </row>
    <row r="16" spans="1:25" x14ac:dyDescent="0.2">
      <c r="A16" s="877">
        <f t="shared" si="0"/>
        <v>8</v>
      </c>
      <c r="B16" s="80" t="s">
        <v>41</v>
      </c>
      <c r="C16" s="357">
        <f>Össz.önkor.mérleg.!C20</f>
        <v>238208</v>
      </c>
      <c r="D16" s="357">
        <f>Össz.önkor.mérleg.!D20</f>
        <v>214823</v>
      </c>
      <c r="E16" s="357">
        <f>Össz.önkor.mérleg.!E20</f>
        <v>453031</v>
      </c>
      <c r="F16" s="501" t="s">
        <v>460</v>
      </c>
      <c r="G16" s="285">
        <f>Össz.önkor.mérleg.!G17</f>
        <v>52986</v>
      </c>
      <c r="H16" s="285">
        <f>Össz.önkor.mérleg.!H17</f>
        <v>65876</v>
      </c>
      <c r="I16" s="470">
        <f>Össz.önkor.mérleg.!I17</f>
        <v>118862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77">
        <f t="shared" si="0"/>
        <v>9</v>
      </c>
      <c r="B17" s="839" t="s">
        <v>40</v>
      </c>
      <c r="C17" s="357"/>
      <c r="D17" s="357"/>
      <c r="E17" s="357"/>
      <c r="F17" s="501" t="s">
        <v>459</v>
      </c>
      <c r="G17" s="285">
        <f>Össz.önkor.mérleg.!G18</f>
        <v>161421</v>
      </c>
      <c r="H17" s="285">
        <f>Össz.önkor.mérleg.!H18</f>
        <v>195362</v>
      </c>
      <c r="I17" s="470">
        <f>Össz.önkor.mérleg.!I18</f>
        <v>356783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77">
        <f t="shared" si="0"/>
        <v>10</v>
      </c>
      <c r="B18" s="839"/>
      <c r="C18" s="357"/>
      <c r="D18" s="357"/>
      <c r="E18" s="357"/>
      <c r="F18" s="501" t="s">
        <v>197</v>
      </c>
      <c r="G18" s="285">
        <f>Össz.önkor.mérleg.!G19</f>
        <v>451</v>
      </c>
      <c r="H18" s="285">
        <f>Össz.önkor.mérleg.!H19</f>
        <v>0</v>
      </c>
      <c r="I18" s="285">
        <f>Össz.önkor.mérleg.!I19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77">
        <f t="shared" si="0"/>
        <v>11</v>
      </c>
      <c r="B19" s="80" t="s">
        <v>1254</v>
      </c>
      <c r="C19" s="297">
        <f>Össz.önkor.mérleg.!C29</f>
        <v>1</v>
      </c>
      <c r="D19" s="297">
        <f>Össz.önkor.mérleg.!D29</f>
        <v>117109</v>
      </c>
      <c r="E19" s="297">
        <f>Össz.önkor.mérleg.!E29</f>
        <v>117110</v>
      </c>
      <c r="F19" s="501" t="s">
        <v>452</v>
      </c>
      <c r="G19" s="285">
        <f>Össz.önkor.mérleg.!G20</f>
        <v>0</v>
      </c>
      <c r="H19" s="285">
        <f>Össz.önkor.mérleg.!H20</f>
        <v>1855</v>
      </c>
      <c r="I19" s="470">
        <f>Össz.önkor.mérleg.!I20</f>
        <v>1855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77">
        <f t="shared" si="0"/>
        <v>12</v>
      </c>
      <c r="B20" s="10"/>
      <c r="C20" s="357"/>
      <c r="D20" s="357"/>
      <c r="E20" s="357"/>
      <c r="F20" s="501" t="s">
        <v>453</v>
      </c>
      <c r="G20" s="285">
        <f>Össz.önkor.mérleg.!G21</f>
        <v>164446</v>
      </c>
      <c r="H20" s="285">
        <f>Össz.önkor.mérleg.!H21</f>
        <v>49028</v>
      </c>
      <c r="I20" s="470">
        <f>Össz.önkor.mérleg.!I21</f>
        <v>213474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77">
        <f t="shared" si="0"/>
        <v>13</v>
      </c>
      <c r="B21" s="10"/>
      <c r="C21" s="357"/>
      <c r="D21" s="357"/>
      <c r="E21" s="357"/>
      <c r="F21" s="501"/>
      <c r="G21" s="285"/>
      <c r="H21" s="292"/>
      <c r="I21" s="469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77">
        <f t="shared" si="0"/>
        <v>14</v>
      </c>
      <c r="B22" s="12" t="s">
        <v>52</v>
      </c>
      <c r="C22" s="881">
        <f>SUM(C11:C20)</f>
        <v>1737063</v>
      </c>
      <c r="D22" s="881">
        <f>SUM(D11:D20)</f>
        <v>1145074</v>
      </c>
      <c r="E22" s="881">
        <f>SUM(E11:E20)</f>
        <v>2882137</v>
      </c>
      <c r="F22" s="866" t="s">
        <v>66</v>
      </c>
      <c r="G22" s="358">
        <f>SUM(G10:G21)</f>
        <v>2029009</v>
      </c>
      <c r="H22" s="358">
        <f>SUM(H10:H21)</f>
        <v>1309163</v>
      </c>
      <c r="I22" s="472">
        <f>SUM(I10:I21)</f>
        <v>3338172</v>
      </c>
      <c r="J22" s="536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77">
        <f t="shared" si="0"/>
        <v>15</v>
      </c>
      <c r="B23" s="10"/>
      <c r="C23" s="357"/>
      <c r="D23" s="357"/>
      <c r="E23" s="357"/>
      <c r="F23" s="607"/>
      <c r="G23" s="292"/>
      <c r="H23" s="292"/>
      <c r="I23" s="471"/>
      <c r="J23" s="536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77">
        <f t="shared" si="0"/>
        <v>16</v>
      </c>
      <c r="B24" s="882" t="s">
        <v>51</v>
      </c>
      <c r="C24" s="865">
        <f>SUM(C22:C23)</f>
        <v>1737063</v>
      </c>
      <c r="D24" s="865">
        <f>SUM(D22:D23)</f>
        <v>1145074</v>
      </c>
      <c r="E24" s="865">
        <f>SUM(E22:E23)</f>
        <v>2882137</v>
      </c>
      <c r="F24" s="869" t="s">
        <v>69</v>
      </c>
      <c r="G24" s="189">
        <f>SUM(G22:G23)</f>
        <v>2029009</v>
      </c>
      <c r="H24" s="189">
        <f>SUM(H22:H23)</f>
        <v>1309163</v>
      </c>
      <c r="I24" s="446">
        <f>SUM(I22:I23)</f>
        <v>3338172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883">
        <f t="shared" si="0"/>
        <v>17</v>
      </c>
      <c r="B25" s="841"/>
      <c r="C25" s="1156"/>
      <c r="D25" s="1156"/>
      <c r="E25" s="1156"/>
      <c r="F25" s="607"/>
      <c r="G25" s="292"/>
      <c r="H25" s="292"/>
      <c r="I25" s="471"/>
      <c r="J25" s="184"/>
      <c r="T25" s="10"/>
      <c r="U25" s="10"/>
      <c r="V25" s="10"/>
      <c r="W25" s="10"/>
      <c r="X25" s="10"/>
      <c r="Y25" s="10"/>
    </row>
    <row r="26" spans="1:25" x14ac:dyDescent="0.2">
      <c r="A26" s="883">
        <f t="shared" si="0"/>
        <v>18</v>
      </c>
      <c r="B26" s="884" t="s">
        <v>653</v>
      </c>
      <c r="C26" s="633">
        <f>C24-G24</f>
        <v>-291946</v>
      </c>
      <c r="D26" s="633">
        <f t="shared" ref="D26:E26" si="1">D24-H24</f>
        <v>-164089</v>
      </c>
      <c r="E26" s="633">
        <f t="shared" si="1"/>
        <v>-456035</v>
      </c>
      <c r="F26" s="867"/>
      <c r="G26" s="360"/>
      <c r="H26" s="360"/>
      <c r="I26" s="471"/>
      <c r="J26" s="184"/>
      <c r="T26" s="10"/>
      <c r="U26" s="10"/>
      <c r="V26" s="10"/>
      <c r="W26" s="10"/>
      <c r="X26" s="10"/>
      <c r="Y26" s="10"/>
    </row>
    <row r="27" spans="1:25" x14ac:dyDescent="0.2">
      <c r="A27" s="883">
        <f t="shared" si="0"/>
        <v>19</v>
      </c>
      <c r="B27" s="834"/>
      <c r="C27" s="285"/>
      <c r="D27" s="285"/>
      <c r="E27" s="633"/>
      <c r="F27" s="501"/>
      <c r="G27" s="292"/>
      <c r="H27" s="292"/>
      <c r="I27" s="471"/>
      <c r="J27" s="184"/>
      <c r="T27" s="10"/>
      <c r="U27" s="10"/>
      <c r="V27" s="10"/>
      <c r="W27" s="10"/>
      <c r="X27" s="10"/>
      <c r="Y27" s="10"/>
    </row>
    <row r="28" spans="1:25" x14ac:dyDescent="0.2">
      <c r="A28" s="883">
        <f t="shared" si="0"/>
        <v>20</v>
      </c>
      <c r="B28" s="633" t="s">
        <v>53</v>
      </c>
      <c r="C28" s="633"/>
      <c r="D28" s="633"/>
      <c r="E28" s="633"/>
      <c r="F28" s="867" t="s">
        <v>33</v>
      </c>
      <c r="G28" s="292"/>
      <c r="H28" s="292"/>
      <c r="I28" s="471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83">
        <f t="shared" si="0"/>
        <v>21</v>
      </c>
      <c r="B29" s="885" t="s">
        <v>708</v>
      </c>
      <c r="C29" s="633"/>
      <c r="D29" s="633"/>
      <c r="E29" s="633"/>
      <c r="F29" s="870" t="s">
        <v>4</v>
      </c>
      <c r="G29" s="292"/>
      <c r="H29" s="292"/>
      <c r="I29" s="471"/>
      <c r="J29" s="536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83">
        <f t="shared" si="0"/>
        <v>22</v>
      </c>
      <c r="B30" s="931" t="s">
        <v>1037</v>
      </c>
      <c r="C30" s="285">
        <f>Össz.önkor.mérleg.!C41</f>
        <v>1243160</v>
      </c>
      <c r="D30" s="285">
        <f>Össz.önkor.mérleg.!D41</f>
        <v>0</v>
      </c>
      <c r="E30" s="285">
        <f>Össz.önkor.mérleg.!E41</f>
        <v>1243160</v>
      </c>
      <c r="F30" s="190" t="s">
        <v>3</v>
      </c>
      <c r="G30" s="292"/>
      <c r="H30" s="292"/>
      <c r="I30" s="471"/>
      <c r="J30" s="184"/>
      <c r="T30" s="10"/>
      <c r="U30" s="10"/>
      <c r="V30" s="10"/>
      <c r="W30" s="10"/>
      <c r="X30" s="10"/>
      <c r="Y30" s="10"/>
    </row>
    <row r="31" spans="1:25" x14ac:dyDescent="0.2">
      <c r="A31" s="883">
        <f t="shared" si="0"/>
        <v>23</v>
      </c>
      <c r="B31" s="10" t="s">
        <v>1035</v>
      </c>
      <c r="C31" s="633">
        <f>-997160-244511-1489</f>
        <v>-1243160</v>
      </c>
      <c r="D31" s="633">
        <v>0</v>
      </c>
      <c r="E31" s="285">
        <f>C31+D31</f>
        <v>-1243160</v>
      </c>
      <c r="F31" s="190"/>
      <c r="G31" s="292"/>
      <c r="H31" s="292"/>
      <c r="I31" s="471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83">
        <f t="shared" si="0"/>
        <v>24</v>
      </c>
      <c r="B32" s="297" t="s">
        <v>660</v>
      </c>
      <c r="C32" s="871"/>
      <c r="D32" s="872"/>
      <c r="E32" s="872">
        <f>SUM(C32:D32)</f>
        <v>0</v>
      </c>
      <c r="F32" s="501" t="s">
        <v>5</v>
      </c>
      <c r="G32" s="290"/>
      <c r="H32" s="290"/>
      <c r="I32" s="471"/>
      <c r="J32" s="514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83">
        <f t="shared" si="0"/>
        <v>25</v>
      </c>
      <c r="B33" s="297" t="s">
        <v>709</v>
      </c>
      <c r="C33" s="285"/>
      <c r="D33" s="285"/>
      <c r="E33" s="285"/>
      <c r="F33" s="501" t="s">
        <v>6</v>
      </c>
      <c r="G33" s="359"/>
      <c r="H33" s="359"/>
      <c r="I33" s="473"/>
      <c r="J33" s="184"/>
      <c r="T33" s="10"/>
      <c r="U33" s="10"/>
      <c r="V33" s="10"/>
      <c r="W33" s="10"/>
      <c r="X33" s="10"/>
      <c r="Y33" s="10"/>
    </row>
    <row r="34" spans="1:25" x14ac:dyDescent="0.2">
      <c r="A34" s="883">
        <f t="shared" si="0"/>
        <v>26</v>
      </c>
      <c r="B34" s="297" t="s">
        <v>662</v>
      </c>
      <c r="C34" s="285">
        <f>Össz.önkor.mérleg.!C44</f>
        <v>1205857</v>
      </c>
      <c r="D34" s="285">
        <f>Össz.önkor.mérleg.!D44</f>
        <v>174339</v>
      </c>
      <c r="E34" s="285">
        <f>SUM(C34:D34)</f>
        <v>1380196</v>
      </c>
      <c r="F34" s="501" t="s">
        <v>7</v>
      </c>
      <c r="G34" s="360"/>
      <c r="H34" s="360"/>
      <c r="I34" s="446"/>
      <c r="J34" s="184"/>
      <c r="T34" s="10"/>
      <c r="U34" s="10"/>
      <c r="V34" s="10"/>
      <c r="W34" s="10"/>
      <c r="X34" s="10"/>
      <c r="Y34" s="10"/>
    </row>
    <row r="35" spans="1:25" x14ac:dyDescent="0.2">
      <c r="A35" s="883">
        <f t="shared" si="0"/>
        <v>27</v>
      </c>
      <c r="B35" s="297" t="s">
        <v>991</v>
      </c>
      <c r="C35" s="285">
        <f>Össz.önkor.mérleg.!C45</f>
        <v>0</v>
      </c>
      <c r="D35" s="285">
        <f>Össz.önkor.mérleg.!D45</f>
        <v>0</v>
      </c>
      <c r="E35" s="285">
        <f>Össz.önkor.mérleg.!E45</f>
        <v>0</v>
      </c>
      <c r="F35" s="501"/>
      <c r="G35" s="360"/>
      <c r="H35" s="360"/>
      <c r="I35" s="446"/>
      <c r="J35" s="184"/>
      <c r="T35" s="10"/>
      <c r="U35" s="10"/>
      <c r="V35" s="10"/>
      <c r="W35" s="10"/>
      <c r="X35" s="10"/>
      <c r="Y35" s="10"/>
    </row>
    <row r="36" spans="1:25" x14ac:dyDescent="0.2">
      <c r="A36" s="883">
        <f t="shared" si="0"/>
        <v>28</v>
      </c>
      <c r="B36" s="80" t="s">
        <v>661</v>
      </c>
      <c r="C36" s="285">
        <f>-'felhalm. mérleg'!C36</f>
        <v>-916087</v>
      </c>
      <c r="D36" s="285">
        <f>-'felhalm. mérleg'!D36</f>
        <v>-10759</v>
      </c>
      <c r="E36" s="285">
        <f>-'felhalm. mérleg'!E36</f>
        <v>-926846</v>
      </c>
      <c r="F36" s="501" t="s">
        <v>8</v>
      </c>
      <c r="G36" s="292"/>
      <c r="H36" s="292"/>
      <c r="I36" s="471"/>
      <c r="J36" s="184"/>
      <c r="T36" s="10"/>
      <c r="U36" s="10"/>
      <c r="V36" s="10"/>
      <c r="W36" s="10"/>
      <c r="X36" s="10"/>
      <c r="Y36" s="10"/>
    </row>
    <row r="37" spans="1:25" x14ac:dyDescent="0.2">
      <c r="A37" s="883">
        <f t="shared" si="0"/>
        <v>29</v>
      </c>
      <c r="B37" s="285" t="s">
        <v>711</v>
      </c>
      <c r="C37" s="285">
        <f>Össz.önkor.mérleg.!C46</f>
        <v>32811</v>
      </c>
      <c r="D37" s="285">
        <f>Össz.önkor.mérleg.!D46</f>
        <v>4260</v>
      </c>
      <c r="E37" s="285">
        <f>Össz.önkor.mérleg.!E46</f>
        <v>37071</v>
      </c>
      <c r="F37" s="501" t="s">
        <v>9</v>
      </c>
      <c r="G37" s="358">
        <f>Össz.önkor.mérleg.!G47</f>
        <v>30635</v>
      </c>
      <c r="H37" s="358">
        <f>Össz.önkor.mérleg.!H47</f>
        <v>3751</v>
      </c>
      <c r="I37" s="472">
        <f>Össz.önkor.mérleg.!I47</f>
        <v>34386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83">
        <f t="shared" si="0"/>
        <v>30</v>
      </c>
      <c r="B38" s="285" t="s">
        <v>712</v>
      </c>
      <c r="C38" s="285"/>
      <c r="D38" s="285"/>
      <c r="E38" s="285"/>
      <c r="F38" s="501" t="s">
        <v>10</v>
      </c>
      <c r="G38" s="292"/>
      <c r="H38" s="292"/>
      <c r="I38" s="471"/>
      <c r="J38" s="514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83">
        <f t="shared" si="0"/>
        <v>31</v>
      </c>
      <c r="B39" s="297" t="s">
        <v>713</v>
      </c>
      <c r="C39" s="285"/>
      <c r="D39" s="285"/>
      <c r="E39" s="285"/>
      <c r="F39" s="501" t="s">
        <v>11</v>
      </c>
      <c r="G39" s="360"/>
      <c r="H39" s="360"/>
      <c r="I39" s="446"/>
      <c r="J39" s="514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83">
        <f t="shared" si="0"/>
        <v>32</v>
      </c>
      <c r="B40" s="297" t="s">
        <v>714</v>
      </c>
      <c r="C40" s="285"/>
      <c r="D40" s="285"/>
      <c r="E40" s="285"/>
      <c r="F40" s="501" t="s">
        <v>12</v>
      </c>
      <c r="G40" s="189"/>
      <c r="I40" s="474"/>
      <c r="J40" s="514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83">
        <f t="shared" si="0"/>
        <v>33</v>
      </c>
      <c r="B41" s="297" t="s">
        <v>0</v>
      </c>
      <c r="C41" s="285"/>
      <c r="D41" s="285"/>
      <c r="E41" s="285"/>
      <c r="F41" s="501" t="s">
        <v>13</v>
      </c>
      <c r="G41" s="360"/>
      <c r="H41" s="360"/>
      <c r="I41" s="446"/>
      <c r="J41" s="514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83">
        <f t="shared" si="0"/>
        <v>34</v>
      </c>
      <c r="B42" s="297" t="s">
        <v>1</v>
      </c>
      <c r="C42" s="285">
        <f>Össz.önkor.mérleg.!C51</f>
        <v>0</v>
      </c>
      <c r="D42" s="285">
        <f>Össz.önkor.mérleg.!D51</f>
        <v>0</v>
      </c>
      <c r="E42" s="285">
        <f>Össz.önkor.mérleg.!E51</f>
        <v>0</v>
      </c>
      <c r="F42" s="501" t="s">
        <v>14</v>
      </c>
      <c r="G42" s="360"/>
      <c r="H42" s="360"/>
      <c r="I42" s="446"/>
      <c r="J42" s="184"/>
      <c r="T42" s="10"/>
      <c r="U42" s="10"/>
      <c r="V42" s="10"/>
      <c r="W42" s="10"/>
      <c r="X42" s="10"/>
      <c r="Y42" s="10"/>
    </row>
    <row r="43" spans="1:25" x14ac:dyDescent="0.2">
      <c r="A43" s="883">
        <f t="shared" si="0"/>
        <v>35</v>
      </c>
      <c r="B43" s="297" t="s">
        <v>2</v>
      </c>
      <c r="C43" s="285"/>
      <c r="D43" s="285"/>
      <c r="E43" s="285"/>
      <c r="F43" s="501" t="s">
        <v>15</v>
      </c>
      <c r="G43" s="189"/>
      <c r="H43" s="189"/>
      <c r="I43" s="446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83">
        <f t="shared" si="0"/>
        <v>36</v>
      </c>
      <c r="B44" s="882" t="s">
        <v>462</v>
      </c>
      <c r="C44" s="633">
        <f>SUM(C27:C42)</f>
        <v>322581</v>
      </c>
      <c r="D44" s="633">
        <f t="shared" ref="D44:E44" si="2">SUM(D27:D42)</f>
        <v>167840</v>
      </c>
      <c r="E44" s="633">
        <f t="shared" si="2"/>
        <v>490421</v>
      </c>
      <c r="F44" s="867" t="s">
        <v>455</v>
      </c>
      <c r="G44" s="189">
        <f>SUM(G29:G43)</f>
        <v>30635</v>
      </c>
      <c r="H44" s="189">
        <f>SUM(H29:H43)</f>
        <v>3751</v>
      </c>
      <c r="I44" s="446">
        <f>SUM(I29:I43)</f>
        <v>34386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40">
        <f t="shared" si="0"/>
        <v>37</v>
      </c>
      <c r="B45" s="1141" t="s">
        <v>457</v>
      </c>
      <c r="C45" s="908">
        <f>C24+C44</f>
        <v>2059644</v>
      </c>
      <c r="D45" s="908">
        <f>D24+D44</f>
        <v>1312914</v>
      </c>
      <c r="E45" s="908">
        <f>E24+E44</f>
        <v>3372558</v>
      </c>
      <c r="F45" s="1088" t="s">
        <v>456</v>
      </c>
      <c r="G45" s="1135">
        <f>G24+G44</f>
        <v>2059644</v>
      </c>
      <c r="H45" s="937">
        <f>H24+H44</f>
        <v>1312914</v>
      </c>
      <c r="I45" s="1087">
        <f>I24+I44</f>
        <v>3372558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0" customWidth="1"/>
    <col min="8" max="8" width="11.42578125" style="290" customWidth="1"/>
    <col min="9" max="9" width="12.85546875" style="290" customWidth="1"/>
    <col min="10" max="10" width="9.140625" style="157"/>
    <col min="11" max="16384" width="9.140625" style="10"/>
  </cols>
  <sheetData>
    <row r="1" spans="1:10" ht="12.75" x14ac:dyDescent="0.2">
      <c r="B1" s="1165" t="s">
        <v>1377</v>
      </c>
      <c r="C1" s="1213"/>
      <c r="D1" s="1213"/>
      <c r="E1" s="1213"/>
      <c r="F1" s="1213"/>
      <c r="G1" s="1213"/>
      <c r="H1" s="1213"/>
      <c r="I1" s="1213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8" t="s">
        <v>78</v>
      </c>
      <c r="C4" s="1168"/>
      <c r="D4" s="1168"/>
      <c r="E4" s="1168"/>
      <c r="F4" s="1168"/>
      <c r="G4" s="1168"/>
      <c r="H4" s="1168"/>
      <c r="I4" s="1168"/>
      <c r="J4" s="160"/>
    </row>
    <row r="5" spans="1:10" s="122" customFormat="1" x14ac:dyDescent="0.2">
      <c r="A5" s="160"/>
      <c r="B5" s="1270" t="s">
        <v>190</v>
      </c>
      <c r="C5" s="1270"/>
      <c r="D5" s="1270"/>
      <c r="E5" s="1270"/>
      <c r="F5" s="1270"/>
      <c r="G5" s="1270"/>
      <c r="H5" s="1270"/>
      <c r="I5" s="1270"/>
      <c r="J5" s="160"/>
    </row>
    <row r="6" spans="1:10" s="122" customFormat="1" x14ac:dyDescent="0.2">
      <c r="A6" s="160"/>
      <c r="B6" s="1168" t="s">
        <v>1084</v>
      </c>
      <c r="C6" s="1168"/>
      <c r="D6" s="1168"/>
      <c r="E6" s="1168"/>
      <c r="F6" s="1168"/>
      <c r="G6" s="1168"/>
      <c r="H6" s="1168"/>
      <c r="I6" s="1168"/>
      <c r="J6" s="160"/>
    </row>
    <row r="7" spans="1:10" s="122" customFormat="1" x14ac:dyDescent="0.2">
      <c r="A7" s="160"/>
      <c r="B7" s="1169" t="s">
        <v>310</v>
      </c>
      <c r="C7" s="1169"/>
      <c r="D7" s="1169"/>
      <c r="E7" s="1169"/>
      <c r="F7" s="1169"/>
      <c r="G7" s="1169"/>
      <c r="H7" s="1169"/>
      <c r="I7" s="1169"/>
      <c r="J7" s="160"/>
    </row>
    <row r="8" spans="1:10" s="122" customFormat="1" ht="12.75" customHeight="1" x14ac:dyDescent="0.2">
      <c r="A8" s="1192" t="s">
        <v>56</v>
      </c>
      <c r="B8" s="1362" t="s">
        <v>57</v>
      </c>
      <c r="C8" s="1190" t="s">
        <v>58</v>
      </c>
      <c r="D8" s="1174"/>
      <c r="E8" s="1218"/>
      <c r="F8" s="1364" t="s">
        <v>59</v>
      </c>
      <c r="G8" s="1187" t="s">
        <v>60</v>
      </c>
      <c r="H8" s="1188"/>
      <c r="I8" s="1188"/>
      <c r="J8" s="608"/>
    </row>
    <row r="9" spans="1:10" s="122" customFormat="1" ht="12.75" customHeight="1" x14ac:dyDescent="0.2">
      <c r="A9" s="1193"/>
      <c r="B9" s="1363"/>
      <c r="C9" s="1167" t="s">
        <v>1078</v>
      </c>
      <c r="D9" s="1296"/>
      <c r="E9" s="1366"/>
      <c r="F9" s="1365"/>
      <c r="G9" s="1180" t="s">
        <v>1078</v>
      </c>
      <c r="H9" s="1367"/>
      <c r="I9" s="1368"/>
      <c r="J9" s="608"/>
    </row>
    <row r="10" spans="1:10" s="308" customFormat="1" ht="36.6" customHeight="1" x14ac:dyDescent="0.2">
      <c r="A10" s="1194"/>
      <c r="B10" s="306" t="s">
        <v>61</v>
      </c>
      <c r="C10" s="135" t="s">
        <v>62</v>
      </c>
      <c r="D10" s="135" t="s">
        <v>63</v>
      </c>
      <c r="E10" s="135" t="s">
        <v>64</v>
      </c>
      <c r="F10" s="293" t="s">
        <v>65</v>
      </c>
      <c r="G10" s="356" t="s">
        <v>62</v>
      </c>
      <c r="H10" s="356" t="s">
        <v>63</v>
      </c>
      <c r="I10" s="356" t="s">
        <v>64</v>
      </c>
      <c r="J10" s="61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1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222</v>
      </c>
      <c r="G12" s="285">
        <v>84448</v>
      </c>
      <c r="H12" s="285">
        <v>8273</v>
      </c>
      <c r="I12" s="469">
        <f>SUM(G12:H12)</f>
        <v>92721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8" t="s">
        <v>223</v>
      </c>
      <c r="G13" s="285">
        <v>17049</v>
      </c>
      <c r="H13" s="285">
        <v>2244</v>
      </c>
      <c r="I13" s="469">
        <f>SUM(G13:H13)</f>
        <v>19293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224</v>
      </c>
      <c r="G14" s="285">
        <v>12622</v>
      </c>
      <c r="H14" s="285"/>
      <c r="I14" s="469">
        <f>SUM(G14:H14)</f>
        <v>12622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2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2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460</v>
      </c>
      <c r="G18" s="292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459</v>
      </c>
      <c r="G19" s="292"/>
      <c r="H19" s="292"/>
      <c r="I19" s="471"/>
      <c r="J19" s="190"/>
    </row>
    <row r="20" spans="1:10" x14ac:dyDescent="0.2">
      <c r="A20" s="164">
        <f t="shared" si="0"/>
        <v>10</v>
      </c>
      <c r="B20" s="116" t="s">
        <v>41</v>
      </c>
      <c r="C20" s="168">
        <v>18</v>
      </c>
      <c r="D20" s="168"/>
      <c r="E20" s="168">
        <f>SUM(C20:D20)</f>
        <v>18</v>
      </c>
      <c r="F20" s="158" t="s">
        <v>959</v>
      </c>
      <c r="G20" s="292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960</v>
      </c>
      <c r="G21" s="292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961</v>
      </c>
      <c r="G22" s="292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2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8">
        <f>SUM(G12:G22)</f>
        <v>114119</v>
      </c>
      <c r="H24" s="358">
        <f>SUM(H12:H22)</f>
        <v>10517</v>
      </c>
      <c r="I24" s="472">
        <f>SUM(I12:I22)</f>
        <v>124636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2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0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233</v>
      </c>
      <c r="G27" s="292">
        <f>'felhalm. kiad.  '!G154</f>
        <v>2793</v>
      </c>
      <c r="H27" s="292">
        <f>'felhalm. kiad.  '!H154</f>
        <v>0</v>
      </c>
      <c r="I27" s="471">
        <f>SUM(G27:H27)</f>
        <v>2793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2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2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461</v>
      </c>
      <c r="G30" s="292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458</v>
      </c>
      <c r="G31" s="292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18</v>
      </c>
      <c r="D32" s="168">
        <f>D14+D20</f>
        <v>0</v>
      </c>
      <c r="E32" s="168">
        <f>E14+E20</f>
        <v>18</v>
      </c>
      <c r="F32" s="139" t="s">
        <v>454</v>
      </c>
      <c r="G32" s="290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9">
        <f>SUM(G27:G32)</f>
        <v>2793</v>
      </c>
      <c r="H33" s="359">
        <f>SUM(H27:H32)</f>
        <v>0</v>
      </c>
      <c r="I33" s="473">
        <f>SUM(I27:I31)</f>
        <v>2793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18</v>
      </c>
      <c r="D34" s="173">
        <f>SUM(D32:D33)</f>
        <v>0</v>
      </c>
      <c r="E34" s="173">
        <f>SUM(C34:D34)</f>
        <v>18</v>
      </c>
      <c r="F34" s="179" t="s">
        <v>69</v>
      </c>
      <c r="G34" s="360">
        <f>G24+G33</f>
        <v>116912</v>
      </c>
      <c r="H34" s="360">
        <f>H24+H33</f>
        <v>10517</v>
      </c>
      <c r="I34" s="446">
        <f>I24+I33</f>
        <v>127429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2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8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2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0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708</v>
      </c>
      <c r="C39" s="126"/>
      <c r="D39" s="126"/>
      <c r="E39" s="126"/>
      <c r="F39" s="181" t="s">
        <v>4</v>
      </c>
      <c r="G39" s="189"/>
      <c r="I39" s="474"/>
      <c r="J39" s="513"/>
    </row>
    <row r="40" spans="1:10" s="11" customFormat="1" x14ac:dyDescent="0.2">
      <c r="A40" s="164">
        <f t="shared" si="0"/>
        <v>30</v>
      </c>
      <c r="B40" s="116" t="s">
        <v>995</v>
      </c>
      <c r="C40" s="126"/>
      <c r="D40" s="126"/>
      <c r="E40" s="126"/>
      <c r="F40" s="539" t="s">
        <v>3</v>
      </c>
      <c r="G40" s="360"/>
      <c r="H40" s="360"/>
      <c r="I40" s="446"/>
      <c r="J40" s="513"/>
    </row>
    <row r="41" spans="1:10" x14ac:dyDescent="0.2">
      <c r="A41" s="164">
        <f t="shared" si="0"/>
        <v>31</v>
      </c>
      <c r="B41" s="118" t="s">
        <v>710</v>
      </c>
      <c r="C41" s="185"/>
      <c r="D41" s="185"/>
      <c r="E41" s="185"/>
      <c r="F41" s="139" t="s">
        <v>5</v>
      </c>
      <c r="G41" s="360"/>
      <c r="H41" s="360"/>
      <c r="I41" s="446"/>
      <c r="J41" s="190"/>
    </row>
    <row r="42" spans="1:10" x14ac:dyDescent="0.2">
      <c r="A42" s="164">
        <f t="shared" si="0"/>
        <v>32</v>
      </c>
      <c r="B42" s="118" t="s">
        <v>214</v>
      </c>
      <c r="C42" s="119"/>
      <c r="D42" s="119"/>
      <c r="E42" s="119"/>
      <c r="F42" s="139" t="s">
        <v>6</v>
      </c>
      <c r="G42" s="189"/>
      <c r="H42" s="189"/>
      <c r="I42" s="446"/>
      <c r="J42" s="190"/>
    </row>
    <row r="43" spans="1:10" x14ac:dyDescent="0.2">
      <c r="A43" s="164">
        <f t="shared" si="0"/>
        <v>33</v>
      </c>
      <c r="B43" s="537" t="s">
        <v>215</v>
      </c>
      <c r="C43" s="119">
        <v>3</v>
      </c>
      <c r="D43" s="119"/>
      <c r="E43" s="119">
        <f>C43+D43</f>
        <v>3</v>
      </c>
      <c r="F43" s="139" t="s">
        <v>7</v>
      </c>
      <c r="G43" s="189"/>
      <c r="H43" s="189"/>
      <c r="I43" s="446"/>
      <c r="J43" s="190"/>
    </row>
    <row r="44" spans="1:10" x14ac:dyDescent="0.2">
      <c r="A44" s="164">
        <f t="shared" si="0"/>
        <v>34</v>
      </c>
      <c r="B44" s="537" t="s">
        <v>991</v>
      </c>
      <c r="C44" s="119"/>
      <c r="D44" s="119"/>
      <c r="E44" s="119"/>
      <c r="F44" s="139"/>
      <c r="G44" s="189"/>
      <c r="H44" s="189"/>
      <c r="I44" s="446"/>
      <c r="J44" s="190"/>
    </row>
    <row r="45" spans="1:10" x14ac:dyDescent="0.2">
      <c r="A45" s="164">
        <f t="shared" si="0"/>
        <v>35</v>
      </c>
      <c r="B45" s="119" t="s">
        <v>711</v>
      </c>
      <c r="C45" s="119"/>
      <c r="D45" s="119"/>
      <c r="E45" s="119"/>
      <c r="F45" s="139" t="s">
        <v>8</v>
      </c>
      <c r="G45" s="360"/>
      <c r="H45" s="360"/>
      <c r="I45" s="471"/>
      <c r="J45" s="190"/>
    </row>
    <row r="46" spans="1:10" x14ac:dyDescent="0.2">
      <c r="A46" s="164">
        <f t="shared" si="0"/>
        <v>36</v>
      </c>
      <c r="B46" s="119" t="s">
        <v>712</v>
      </c>
      <c r="C46" s="126"/>
      <c r="D46" s="126"/>
      <c r="E46" s="126"/>
      <c r="F46" s="139" t="s">
        <v>9</v>
      </c>
      <c r="G46" s="360"/>
      <c r="H46" s="360"/>
      <c r="I46" s="471"/>
      <c r="J46" s="190"/>
    </row>
    <row r="47" spans="1:10" x14ac:dyDescent="0.2">
      <c r="A47" s="164">
        <f t="shared" si="0"/>
        <v>37</v>
      </c>
      <c r="B47" s="118" t="s">
        <v>218</v>
      </c>
      <c r="C47" s="119"/>
      <c r="D47" s="119"/>
      <c r="E47" s="119"/>
      <c r="F47" s="139" t="s">
        <v>10</v>
      </c>
      <c r="G47" s="292"/>
      <c r="H47" s="292"/>
      <c r="I47" s="471"/>
      <c r="J47" s="190"/>
    </row>
    <row r="48" spans="1:10" x14ac:dyDescent="0.2">
      <c r="A48" s="164">
        <f t="shared" si="0"/>
        <v>38</v>
      </c>
      <c r="B48" s="537" t="s">
        <v>219</v>
      </c>
      <c r="C48" s="119">
        <f>G24-(C34+C43)</f>
        <v>114098</v>
      </c>
      <c r="D48" s="119">
        <f>H24-(D34+D43)</f>
        <v>10517</v>
      </c>
      <c r="E48" s="119">
        <f>I24-(E34+E43)</f>
        <v>124615</v>
      </c>
      <c r="F48" s="139" t="s">
        <v>11</v>
      </c>
      <c r="G48" s="292"/>
      <c r="H48" s="292"/>
      <c r="I48" s="471"/>
      <c r="J48" s="190"/>
    </row>
    <row r="49" spans="1:10" x14ac:dyDescent="0.2">
      <c r="A49" s="164">
        <f t="shared" si="0"/>
        <v>39</v>
      </c>
      <c r="B49" s="537" t="s">
        <v>220</v>
      </c>
      <c r="C49" s="119">
        <f>G33-C33</f>
        <v>2793</v>
      </c>
      <c r="D49" s="119"/>
      <c r="E49" s="119">
        <f>I33-E33</f>
        <v>2793</v>
      </c>
      <c r="F49" s="139" t="s">
        <v>12</v>
      </c>
      <c r="G49" s="292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2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2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2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462</v>
      </c>
      <c r="C53" s="126">
        <f>SUM(C39:C51)</f>
        <v>116894</v>
      </c>
      <c r="D53" s="126">
        <f>SUM(D39:D51)</f>
        <v>10517</v>
      </c>
      <c r="E53" s="126">
        <f>SUM(E39:E51)</f>
        <v>127411</v>
      </c>
      <c r="F53" s="140" t="s">
        <v>455</v>
      </c>
      <c r="G53" s="360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932">
        <f t="shared" si="0"/>
        <v>44</v>
      </c>
      <c r="B54" s="1137" t="s">
        <v>457</v>
      </c>
      <c r="C54" s="304">
        <f>C34+C53</f>
        <v>116912</v>
      </c>
      <c r="D54" s="304">
        <f>D34+D53</f>
        <v>10517</v>
      </c>
      <c r="E54" s="928">
        <f>E34+E53</f>
        <v>127429</v>
      </c>
      <c r="F54" s="507" t="s">
        <v>456</v>
      </c>
      <c r="G54" s="1135">
        <f>G34+G53</f>
        <v>116912</v>
      </c>
      <c r="H54" s="807">
        <f>H34+H53</f>
        <v>10517</v>
      </c>
      <c r="I54" s="808">
        <f>I34+I53</f>
        <v>127429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0" customWidth="1"/>
    <col min="9" max="9" width="13.28515625" style="290" customWidth="1"/>
    <col min="10" max="10" width="9.140625" style="157"/>
    <col min="11" max="16384" width="9.140625" style="10"/>
  </cols>
  <sheetData>
    <row r="1" spans="1:10" ht="12.75" customHeight="1" x14ac:dyDescent="0.2">
      <c r="C1" s="1165" t="s">
        <v>1378</v>
      </c>
      <c r="D1" s="1165"/>
      <c r="E1" s="1165"/>
      <c r="F1" s="1165"/>
      <c r="G1" s="1165"/>
      <c r="H1" s="1165"/>
      <c r="I1" s="1165"/>
    </row>
    <row r="2" spans="1:10" x14ac:dyDescent="0.2">
      <c r="I2" s="355"/>
    </row>
    <row r="3" spans="1:10" x14ac:dyDescent="0.2">
      <c r="I3" s="355"/>
    </row>
    <row r="4" spans="1:10" s="122" customFormat="1" x14ac:dyDescent="0.2">
      <c r="A4" s="160"/>
      <c r="B4" s="1168" t="s">
        <v>78</v>
      </c>
      <c r="C4" s="1168"/>
      <c r="D4" s="1168"/>
      <c r="E4" s="1168"/>
      <c r="F4" s="1168"/>
      <c r="G4" s="1168"/>
      <c r="H4" s="1168"/>
      <c r="I4" s="1168"/>
      <c r="J4" s="160"/>
    </row>
    <row r="5" spans="1:10" s="122" customFormat="1" x14ac:dyDescent="0.2">
      <c r="A5" s="160"/>
      <c r="B5" s="1270" t="s">
        <v>716</v>
      </c>
      <c r="C5" s="1270"/>
      <c r="D5" s="1270"/>
      <c r="E5" s="1270"/>
      <c r="F5" s="1270"/>
      <c r="G5" s="1270"/>
      <c r="H5" s="1270"/>
      <c r="I5" s="1270"/>
      <c r="J5" s="160"/>
    </row>
    <row r="6" spans="1:10" s="122" customFormat="1" ht="12.75" customHeight="1" x14ac:dyDescent="0.2">
      <c r="A6" s="160"/>
      <c r="B6" s="1369" t="s">
        <v>1086</v>
      </c>
      <c r="C6" s="1369"/>
      <c r="D6" s="1369"/>
      <c r="E6" s="1369"/>
      <c r="F6" s="1369"/>
      <c r="G6" s="1369"/>
      <c r="H6" s="1369"/>
      <c r="I6" s="1369"/>
    </row>
    <row r="7" spans="1:10" s="122" customFormat="1" x14ac:dyDescent="0.2">
      <c r="A7" s="160"/>
      <c r="B7" s="1169" t="s">
        <v>310</v>
      </c>
      <c r="C7" s="1169"/>
      <c r="D7" s="1169"/>
      <c r="E7" s="1169"/>
      <c r="F7" s="1169"/>
      <c r="G7" s="1169"/>
      <c r="H7" s="1169"/>
      <c r="I7" s="1169"/>
      <c r="J7" s="160"/>
    </row>
    <row r="8" spans="1:10" s="122" customFormat="1" ht="12.75" customHeight="1" x14ac:dyDescent="0.2">
      <c r="A8" s="1173" t="s">
        <v>56</v>
      </c>
      <c r="B8" s="1174" t="s">
        <v>57</v>
      </c>
      <c r="C8" s="1190" t="s">
        <v>58</v>
      </c>
      <c r="D8" s="1174"/>
      <c r="E8" s="1218"/>
      <c r="F8" s="1370" t="s">
        <v>59</v>
      </c>
      <c r="G8" s="1187" t="s">
        <v>60</v>
      </c>
      <c r="H8" s="1188"/>
      <c r="I8" s="1188"/>
    </row>
    <row r="9" spans="1:10" s="122" customFormat="1" ht="12.75" customHeight="1" x14ac:dyDescent="0.2">
      <c r="A9" s="1173"/>
      <c r="B9" s="1174"/>
      <c r="C9" s="1167" t="s">
        <v>1078</v>
      </c>
      <c r="D9" s="1296"/>
      <c r="E9" s="1366"/>
      <c r="F9" s="1370"/>
      <c r="G9" s="1180" t="s">
        <v>1078</v>
      </c>
      <c r="H9" s="1367"/>
      <c r="I9" s="1368"/>
    </row>
    <row r="10" spans="1:10" s="123" customFormat="1" ht="36.6" customHeight="1" x14ac:dyDescent="0.2">
      <c r="A10" s="1173"/>
      <c r="B10" s="161" t="s">
        <v>61</v>
      </c>
      <c r="C10" s="135" t="s">
        <v>62</v>
      </c>
      <c r="D10" s="135" t="s">
        <v>63</v>
      </c>
      <c r="E10" s="135" t="s">
        <v>64</v>
      </c>
      <c r="F10" s="634" t="s">
        <v>65</v>
      </c>
      <c r="G10" s="135" t="s">
        <v>62</v>
      </c>
      <c r="H10" s="356" t="s">
        <v>63</v>
      </c>
      <c r="I10" s="356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222</v>
      </c>
      <c r="G12" s="285">
        <v>66980</v>
      </c>
      <c r="H12" s="285">
        <v>19687</v>
      </c>
      <c r="I12" s="469">
        <f>SUM(G12:H12)</f>
        <v>86667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223</v>
      </c>
      <c r="G13" s="285">
        <v>14589</v>
      </c>
      <c r="H13" s="285">
        <v>3561</v>
      </c>
      <c r="I13" s="469">
        <f>SUM(G13:H13)</f>
        <v>18150</v>
      </c>
      <c r="J13" s="10"/>
    </row>
    <row r="14" spans="1:10" x14ac:dyDescent="0.2">
      <c r="A14" s="164">
        <f t="shared" si="0"/>
        <v>4</v>
      </c>
      <c r="B14" s="167" t="s">
        <v>37</v>
      </c>
      <c r="C14" s="118">
        <v>0</v>
      </c>
      <c r="D14" s="118">
        <v>247</v>
      </c>
      <c r="E14" s="119">
        <f t="shared" si="1"/>
        <v>247</v>
      </c>
      <c r="F14" s="139" t="s">
        <v>224</v>
      </c>
      <c r="G14" s="285">
        <v>54295</v>
      </c>
      <c r="H14" s="285">
        <v>138041</v>
      </c>
      <c r="I14" s="469">
        <f>SUM(G14:H14)</f>
        <v>192336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7"/>
      <c r="H15" s="297"/>
      <c r="I15" s="470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2"/>
      <c r="I16" s="471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460</v>
      </c>
      <c r="G18" s="169"/>
      <c r="H18" s="292"/>
      <c r="I18" s="471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459</v>
      </c>
      <c r="G19" s="169"/>
      <c r="H19" s="292"/>
      <c r="I19" s="471"/>
      <c r="J19" s="10"/>
    </row>
    <row r="20" spans="1:12" x14ac:dyDescent="0.2">
      <c r="A20" s="164">
        <f t="shared" si="0"/>
        <v>10</v>
      </c>
      <c r="B20" s="116" t="s">
        <v>201</v>
      </c>
      <c r="C20" s="357">
        <v>74613</v>
      </c>
      <c r="D20" s="357">
        <v>33155</v>
      </c>
      <c r="E20" s="168">
        <f>SUM(C20:D20)</f>
        <v>107768</v>
      </c>
      <c r="F20" s="139" t="s">
        <v>958</v>
      </c>
      <c r="G20" s="169"/>
      <c r="H20" s="292"/>
      <c r="I20" s="471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452</v>
      </c>
      <c r="G21" s="169"/>
      <c r="H21" s="292"/>
      <c r="I21" s="471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453</v>
      </c>
      <c r="G22" s="169"/>
      <c r="H22" s="292"/>
      <c r="I22" s="471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135864</v>
      </c>
      <c r="H24" s="358">
        <f>SUM(H12:H22)</f>
        <v>161289</v>
      </c>
      <c r="I24" s="472">
        <f>SUM(I12:I22)</f>
        <v>297153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2"/>
      <c r="I25" s="471"/>
      <c r="J25" s="10"/>
      <c r="L25" s="291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280</v>
      </c>
      <c r="G27" s="169">
        <f>'felhalm. kiad.  '!G139</f>
        <v>0</v>
      </c>
      <c r="H27" s="169">
        <f>'felhalm. kiad.  '!H139</f>
        <v>10570</v>
      </c>
      <c r="I27" s="445">
        <f>'felhalm. kiad.  '!F139</f>
        <v>10570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>
        <v>490</v>
      </c>
      <c r="E29" s="119">
        <f>C29+D29</f>
        <v>490</v>
      </c>
      <c r="F29" s="139" t="s">
        <v>32</v>
      </c>
      <c r="G29" s="169"/>
      <c r="H29" s="292"/>
      <c r="I29" s="471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461</v>
      </c>
      <c r="G30" s="169"/>
      <c r="H30" s="292"/>
      <c r="I30" s="471"/>
      <c r="K30" s="805"/>
    </row>
    <row r="31" spans="1:12" x14ac:dyDescent="0.2">
      <c r="A31" s="164">
        <f t="shared" si="0"/>
        <v>21</v>
      </c>
      <c r="C31" s="119"/>
      <c r="D31" s="119"/>
      <c r="E31" s="119"/>
      <c r="F31" s="139" t="s">
        <v>458</v>
      </c>
      <c r="G31" s="169"/>
      <c r="H31" s="292"/>
      <c r="I31" s="471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74613</v>
      </c>
      <c r="D32" s="168">
        <f>D14+D20+D29</f>
        <v>33892</v>
      </c>
      <c r="E32" s="168">
        <f>E14+E20+E29</f>
        <v>108505</v>
      </c>
      <c r="F32" s="139" t="s">
        <v>454</v>
      </c>
      <c r="G32" s="158"/>
      <c r="H32" s="290"/>
      <c r="I32" s="471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59">
        <f>SUM(H27:H32)</f>
        <v>10570</v>
      </c>
      <c r="I33" s="473">
        <f>SUM(I27:I31)</f>
        <v>10570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74613</v>
      </c>
      <c r="D34" s="173">
        <f>SUM(D32:D33)</f>
        <v>33892</v>
      </c>
      <c r="E34" s="173">
        <f>SUM(C34:D34)</f>
        <v>108505</v>
      </c>
      <c r="F34" s="179" t="s">
        <v>69</v>
      </c>
      <c r="G34" s="173">
        <f>G24+G33</f>
        <v>135864</v>
      </c>
      <c r="H34" s="360">
        <f>H24+H33</f>
        <v>171859</v>
      </c>
      <c r="I34" s="446">
        <f>I24+I33</f>
        <v>307723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</row>
    <row r="39" spans="1:10" s="11" customFormat="1" ht="12" customHeight="1" x14ac:dyDescent="0.2">
      <c r="A39" s="164">
        <f t="shared" si="0"/>
        <v>29</v>
      </c>
      <c r="B39" s="136" t="s">
        <v>708</v>
      </c>
      <c r="C39" s="126"/>
      <c r="D39" s="126"/>
      <c r="E39" s="126"/>
      <c r="F39" s="181" t="s">
        <v>4</v>
      </c>
      <c r="G39" s="182"/>
      <c r="I39" s="474"/>
    </row>
    <row r="40" spans="1:10" s="11" customFormat="1" x14ac:dyDescent="0.2">
      <c r="A40" s="164">
        <f t="shared" si="0"/>
        <v>30</v>
      </c>
      <c r="B40" s="157" t="s">
        <v>996</v>
      </c>
      <c r="C40" s="126"/>
      <c r="D40" s="126"/>
      <c r="E40" s="126"/>
      <c r="F40" s="539" t="s">
        <v>3</v>
      </c>
      <c r="G40" s="173"/>
      <c r="H40" s="360"/>
      <c r="I40" s="446"/>
    </row>
    <row r="41" spans="1:10" x14ac:dyDescent="0.2">
      <c r="A41" s="164">
        <f t="shared" si="0"/>
        <v>31</v>
      </c>
      <c r="B41" s="118" t="s">
        <v>710</v>
      </c>
      <c r="C41" s="185"/>
      <c r="D41" s="185"/>
      <c r="E41" s="185"/>
      <c r="F41" s="139" t="s">
        <v>5</v>
      </c>
      <c r="G41" s="173"/>
      <c r="H41" s="360"/>
      <c r="I41" s="446"/>
      <c r="J41" s="10"/>
    </row>
    <row r="42" spans="1:10" x14ac:dyDescent="0.2">
      <c r="A42" s="164">
        <f t="shared" si="0"/>
        <v>32</v>
      </c>
      <c r="B42" s="118" t="s">
        <v>214</v>
      </c>
      <c r="C42" s="119"/>
      <c r="D42" s="119"/>
      <c r="E42" s="119"/>
      <c r="F42" s="139" t="s">
        <v>6</v>
      </c>
      <c r="G42" s="182"/>
      <c r="H42" s="189"/>
      <c r="I42" s="446"/>
      <c r="J42" s="10"/>
    </row>
    <row r="43" spans="1:10" x14ac:dyDescent="0.2">
      <c r="A43" s="164">
        <f t="shared" si="0"/>
        <v>33</v>
      </c>
      <c r="B43" s="537" t="s">
        <v>215</v>
      </c>
      <c r="C43" s="119">
        <v>3904</v>
      </c>
      <c r="D43" s="119"/>
      <c r="E43" s="119">
        <f>C43+D43</f>
        <v>3904</v>
      </c>
      <c r="F43" s="139" t="s">
        <v>7</v>
      </c>
      <c r="G43" s="182"/>
      <c r="H43" s="189"/>
      <c r="I43" s="446"/>
      <c r="J43" s="10"/>
    </row>
    <row r="44" spans="1:10" x14ac:dyDescent="0.2">
      <c r="A44" s="164">
        <f t="shared" si="0"/>
        <v>34</v>
      </c>
      <c r="B44" s="537" t="s">
        <v>991</v>
      </c>
      <c r="C44" s="119"/>
      <c r="D44" s="119"/>
      <c r="E44" s="119">
        <f>C44+D44</f>
        <v>0</v>
      </c>
      <c r="F44" s="139"/>
      <c r="G44" s="182"/>
      <c r="H44" s="189"/>
      <c r="I44" s="446"/>
      <c r="J44" s="10"/>
    </row>
    <row r="45" spans="1:10" x14ac:dyDescent="0.2">
      <c r="A45" s="164">
        <f t="shared" si="0"/>
        <v>35</v>
      </c>
      <c r="B45" s="119" t="s">
        <v>711</v>
      </c>
      <c r="C45" s="119"/>
      <c r="D45" s="119"/>
      <c r="E45" s="119"/>
      <c r="F45" s="139" t="s">
        <v>8</v>
      </c>
      <c r="G45" s="173"/>
      <c r="H45" s="360"/>
      <c r="I45" s="471"/>
      <c r="J45" s="10"/>
    </row>
    <row r="46" spans="1:10" x14ac:dyDescent="0.2">
      <c r="A46" s="164">
        <f t="shared" si="0"/>
        <v>36</v>
      </c>
      <c r="B46" s="119" t="s">
        <v>712</v>
      </c>
      <c r="C46" s="126"/>
      <c r="D46" s="126"/>
      <c r="E46" s="126"/>
      <c r="F46" s="139" t="s">
        <v>9</v>
      </c>
      <c r="G46" s="173"/>
      <c r="H46" s="360"/>
      <c r="I46" s="471"/>
      <c r="J46" s="10"/>
    </row>
    <row r="47" spans="1:10" x14ac:dyDescent="0.2">
      <c r="A47" s="164">
        <f t="shared" si="0"/>
        <v>37</v>
      </c>
      <c r="B47" s="118" t="s">
        <v>218</v>
      </c>
      <c r="C47" s="119"/>
      <c r="D47" s="119"/>
      <c r="E47" s="119"/>
      <c r="F47" s="139" t="s">
        <v>10</v>
      </c>
      <c r="G47" s="169"/>
      <c r="H47" s="292"/>
      <c r="I47" s="471"/>
      <c r="J47" s="10"/>
    </row>
    <row r="48" spans="1:10" x14ac:dyDescent="0.2">
      <c r="A48" s="164">
        <f t="shared" si="0"/>
        <v>38</v>
      </c>
      <c r="B48" s="537" t="s">
        <v>219</v>
      </c>
      <c r="C48" s="119">
        <f>G24-(C34+C43+C44)</f>
        <v>57347</v>
      </c>
      <c r="D48" s="119">
        <f>H24-(D34+D43+D44)</f>
        <v>127397</v>
      </c>
      <c r="E48" s="119">
        <f>I24-(E34+E43+E44)</f>
        <v>184744</v>
      </c>
      <c r="F48" s="139" t="s">
        <v>11</v>
      </c>
      <c r="G48" s="169"/>
      <c r="H48" s="292"/>
      <c r="I48" s="471"/>
      <c r="J48" s="10"/>
    </row>
    <row r="49" spans="1:10" x14ac:dyDescent="0.2">
      <c r="A49" s="164">
        <f t="shared" si="0"/>
        <v>39</v>
      </c>
      <c r="B49" s="537" t="s">
        <v>220</v>
      </c>
      <c r="C49" s="119">
        <f>G33-C33</f>
        <v>0</v>
      </c>
      <c r="D49" s="119">
        <f>H33-D33</f>
        <v>10570</v>
      </c>
      <c r="E49" s="119">
        <f>I33-E33</f>
        <v>10570</v>
      </c>
      <c r="F49" s="139" t="s">
        <v>12</v>
      </c>
      <c r="G49" s="169"/>
      <c r="H49" s="292"/>
      <c r="I49" s="471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2"/>
      <c r="I50" s="471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2"/>
      <c r="I51" s="471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2"/>
      <c r="I52" s="471"/>
      <c r="J52" s="10"/>
    </row>
    <row r="53" spans="1:10" ht="12" thickBot="1" x14ac:dyDescent="0.25">
      <c r="A53" s="164">
        <f t="shared" si="0"/>
        <v>43</v>
      </c>
      <c r="B53" s="178" t="s">
        <v>462</v>
      </c>
      <c r="C53" s="126">
        <f>SUM(C39:C51)</f>
        <v>61251</v>
      </c>
      <c r="D53" s="126">
        <f>SUM(D39:D51)</f>
        <v>137967</v>
      </c>
      <c r="E53" s="523">
        <f>SUM(E39:E51)</f>
        <v>199218</v>
      </c>
      <c r="F53" s="126" t="s">
        <v>455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0"/>
    </row>
    <row r="54" spans="1:10" ht="12" thickBot="1" x14ac:dyDescent="0.25">
      <c r="A54" s="932">
        <f t="shared" si="0"/>
        <v>44</v>
      </c>
      <c r="B54" s="1136" t="s">
        <v>457</v>
      </c>
      <c r="C54" s="304">
        <f>C34+C53</f>
        <v>135864</v>
      </c>
      <c r="D54" s="304">
        <f>D34+D53</f>
        <v>171859</v>
      </c>
      <c r="E54" s="806">
        <f>E34+E53</f>
        <v>307723</v>
      </c>
      <c r="F54" s="305" t="s">
        <v>456</v>
      </c>
      <c r="G54" s="1094">
        <f>G34+G53</f>
        <v>135864</v>
      </c>
      <c r="H54" s="807">
        <f>H34+H53</f>
        <v>171859</v>
      </c>
      <c r="I54" s="808">
        <f>I34+I53</f>
        <v>307723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56"/>
  <sheetViews>
    <sheetView zoomScale="120" workbookViewId="0">
      <selection activeCell="L22" sqref="L22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90" customWidth="1"/>
    <col min="9" max="9" width="9.42578125" style="290" customWidth="1"/>
    <col min="10" max="10" width="9.140625" style="157"/>
    <col min="11" max="16384" width="9.140625" style="10"/>
  </cols>
  <sheetData>
    <row r="1" spans="1:10" ht="12.75" customHeight="1" x14ac:dyDescent="0.2">
      <c r="B1" s="1371" t="s">
        <v>1379</v>
      </c>
      <c r="C1" s="1302"/>
      <c r="D1" s="1302"/>
      <c r="E1" s="1302"/>
      <c r="F1" s="1302"/>
      <c r="G1" s="1302"/>
      <c r="H1" s="1302"/>
      <c r="I1" s="1302"/>
    </row>
    <row r="2" spans="1:10" x14ac:dyDescent="0.2">
      <c r="I2" s="355"/>
    </row>
    <row r="3" spans="1:10" x14ac:dyDescent="0.2">
      <c r="I3" s="355"/>
    </row>
    <row r="4" spans="1:10" s="122" customFormat="1" ht="12.75" customHeight="1" x14ac:dyDescent="0.2">
      <c r="A4" s="1168" t="s">
        <v>78</v>
      </c>
      <c r="B4" s="1168"/>
      <c r="C4" s="1168"/>
      <c r="D4" s="1168"/>
      <c r="E4" s="1168"/>
      <c r="F4" s="1168"/>
      <c r="G4" s="1168"/>
      <c r="H4" s="1168"/>
      <c r="I4" s="1168"/>
      <c r="J4" s="160"/>
    </row>
    <row r="5" spans="1:10" s="122" customFormat="1" ht="12.75" customHeight="1" x14ac:dyDescent="0.2">
      <c r="A5" s="1270" t="s">
        <v>740</v>
      </c>
      <c r="B5" s="1270"/>
      <c r="C5" s="1270"/>
      <c r="D5" s="1270"/>
      <c r="E5" s="1270"/>
      <c r="F5" s="1270"/>
      <c r="G5" s="1270"/>
      <c r="H5" s="1270"/>
      <c r="I5" s="1270"/>
      <c r="J5" s="160"/>
    </row>
    <row r="6" spans="1:10" s="122" customFormat="1" ht="12.75" customHeight="1" x14ac:dyDescent="0.2">
      <c r="A6" s="1168" t="s">
        <v>1084</v>
      </c>
      <c r="B6" s="1168"/>
      <c r="C6" s="1168"/>
      <c r="D6" s="1168"/>
      <c r="E6" s="1168"/>
      <c r="F6" s="1168"/>
      <c r="G6" s="1168"/>
      <c r="H6" s="1168"/>
      <c r="I6" s="1168"/>
      <c r="J6" s="160"/>
    </row>
    <row r="7" spans="1:10" s="122" customFormat="1" x14ac:dyDescent="0.2">
      <c r="A7" s="160"/>
      <c r="B7" s="1169" t="s">
        <v>314</v>
      </c>
      <c r="C7" s="1169"/>
      <c r="D7" s="1169"/>
      <c r="E7" s="1169"/>
      <c r="F7" s="1169"/>
      <c r="G7" s="1169"/>
      <c r="H7" s="1169"/>
      <c r="I7" s="1169"/>
      <c r="J7" s="160"/>
    </row>
    <row r="8" spans="1:10" s="122" customFormat="1" ht="12.75" customHeight="1" x14ac:dyDescent="0.2">
      <c r="A8" s="1173" t="s">
        <v>56</v>
      </c>
      <c r="B8" s="1174" t="s">
        <v>57</v>
      </c>
      <c r="C8" s="1189" t="s">
        <v>58</v>
      </c>
      <c r="D8" s="1189"/>
      <c r="E8" s="1190"/>
      <c r="F8" s="1269" t="s">
        <v>59</v>
      </c>
      <c r="G8" s="1171" t="s">
        <v>60</v>
      </c>
      <c r="H8" s="1172"/>
      <c r="I8" s="1172"/>
      <c r="J8" s="608"/>
    </row>
    <row r="9" spans="1:10" s="122" customFormat="1" ht="12.75" customHeight="1" x14ac:dyDescent="0.2">
      <c r="A9" s="1173"/>
      <c r="B9" s="1174"/>
      <c r="C9" s="1166" t="s">
        <v>1078</v>
      </c>
      <c r="D9" s="1166"/>
      <c r="E9" s="1167"/>
      <c r="F9" s="1269"/>
      <c r="G9" s="1166" t="s">
        <v>1078</v>
      </c>
      <c r="H9" s="1166"/>
      <c r="I9" s="1166"/>
      <c r="J9" s="608"/>
    </row>
    <row r="10" spans="1:10" s="123" customFormat="1" ht="36.6" customHeight="1" x14ac:dyDescent="0.2">
      <c r="A10" s="1173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6" t="s">
        <v>63</v>
      </c>
      <c r="I10" s="356" t="s">
        <v>64</v>
      </c>
      <c r="J10" s="60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1"/>
      <c r="I11" s="468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222</v>
      </c>
      <c r="G12" s="285">
        <v>87982</v>
      </c>
      <c r="H12" s="285">
        <v>154353</v>
      </c>
      <c r="I12" s="469">
        <f>SUM(G12:H12)</f>
        <v>242335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223</v>
      </c>
      <c r="G13" s="285">
        <v>19063</v>
      </c>
      <c r="H13" s="285">
        <v>30893</v>
      </c>
      <c r="I13" s="469">
        <f>SUM(G13:H13)</f>
        <v>49956</v>
      </c>
      <c r="J13" s="190"/>
    </row>
    <row r="14" spans="1:10" x14ac:dyDescent="0.2">
      <c r="A14" s="164">
        <f t="shared" si="0"/>
        <v>4</v>
      </c>
      <c r="B14" s="167" t="s">
        <v>199</v>
      </c>
      <c r="C14" s="297">
        <f>'tám, végl. pe.átv  '!C82</f>
        <v>20721</v>
      </c>
      <c r="D14" s="297">
        <f>'tám, végl. pe.átv  '!D82</f>
        <v>5745</v>
      </c>
      <c r="E14" s="285">
        <f>SUM(C14:D14)</f>
        <v>26466</v>
      </c>
      <c r="F14" s="139" t="s">
        <v>224</v>
      </c>
      <c r="G14" s="285">
        <v>52042</v>
      </c>
      <c r="H14" s="285">
        <v>86448</v>
      </c>
      <c r="I14" s="469">
        <f>SUM(G14:H14)</f>
        <v>138490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7"/>
      <c r="H15" s="377"/>
      <c r="I15" s="470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2"/>
      <c r="I16" s="471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2"/>
      <c r="I17" s="471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460</v>
      </c>
      <c r="G18" s="169"/>
      <c r="H18" s="292"/>
      <c r="I18" s="471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459</v>
      </c>
      <c r="G19" s="169"/>
      <c r="H19" s="292"/>
      <c r="I19" s="471"/>
      <c r="J19" s="190"/>
    </row>
    <row r="20" spans="1:10" x14ac:dyDescent="0.2">
      <c r="A20" s="164">
        <f t="shared" si="0"/>
        <v>10</v>
      </c>
      <c r="B20" s="116" t="s">
        <v>201</v>
      </c>
      <c r="C20" s="357">
        <v>18446</v>
      </c>
      <c r="D20" s="357">
        <v>67832</v>
      </c>
      <c r="E20" s="168">
        <f>SUM(C20:D20)</f>
        <v>86278</v>
      </c>
      <c r="F20" s="139" t="s">
        <v>957</v>
      </c>
      <c r="G20" s="169"/>
      <c r="H20" s="292"/>
      <c r="I20" s="471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452</v>
      </c>
      <c r="G21" s="169"/>
      <c r="H21" s="292"/>
      <c r="I21" s="471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453</v>
      </c>
      <c r="G22" s="169"/>
      <c r="H22" s="292"/>
      <c r="I22" s="471"/>
      <c r="J22" s="610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2"/>
      <c r="I23" s="471"/>
      <c r="J23" s="610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159087</v>
      </c>
      <c r="H24" s="358">
        <f>SUM(H12:H22)</f>
        <v>271694</v>
      </c>
      <c r="I24" s="472">
        <f>SUM(I12:I22)</f>
        <v>430781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>
        <v>1417</v>
      </c>
      <c r="E25" s="168">
        <f>D25+C25</f>
        <v>1417</v>
      </c>
      <c r="F25" s="171"/>
      <c r="G25" s="169"/>
      <c r="H25" s="292"/>
      <c r="I25" s="471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0"/>
      <c r="I26" s="471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280</v>
      </c>
      <c r="G27" s="169">
        <f>'felhalm. kiad.  '!G146</f>
        <v>665</v>
      </c>
      <c r="H27" s="292">
        <f>'felhalm. kiad.  '!H146</f>
        <v>4937</v>
      </c>
      <c r="I27" s="471">
        <f>SUM(G27:H27)</f>
        <v>5602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2"/>
      <c r="I28" s="471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2"/>
      <c r="I29" s="471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461</v>
      </c>
      <c r="G30" s="169"/>
      <c r="H30" s="292"/>
      <c r="I30" s="471"/>
      <c r="J30" s="610"/>
    </row>
    <row r="31" spans="1:10" x14ac:dyDescent="0.2">
      <c r="A31" s="164">
        <f t="shared" si="0"/>
        <v>21</v>
      </c>
      <c r="C31" s="119"/>
      <c r="D31" s="119"/>
      <c r="E31" s="119"/>
      <c r="F31" s="139" t="s">
        <v>458</v>
      </c>
      <c r="G31" s="169"/>
      <c r="H31" s="292"/>
      <c r="I31" s="471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30">
        <f>C14+C20</f>
        <v>39167</v>
      </c>
      <c r="D32" s="930">
        <f>D14+D20</f>
        <v>73577</v>
      </c>
      <c r="E32" s="930">
        <f>E14+E20</f>
        <v>112744</v>
      </c>
      <c r="F32" s="139" t="s">
        <v>454</v>
      </c>
      <c r="G32" s="158"/>
      <c r="H32" s="290"/>
      <c r="I32" s="471"/>
      <c r="J32" s="513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1417</v>
      </c>
      <c r="E33" s="177">
        <f t="shared" si="1"/>
        <v>1417</v>
      </c>
      <c r="F33" s="176" t="s">
        <v>68</v>
      </c>
      <c r="G33" s="177">
        <f>SUM(G27:G32)</f>
        <v>665</v>
      </c>
      <c r="H33" s="359">
        <f>SUM(H27:H32)</f>
        <v>4937</v>
      </c>
      <c r="I33" s="473">
        <f>SUM(I27:I31)</f>
        <v>5602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39167</v>
      </c>
      <c r="D34" s="173">
        <f>SUM(D32:D33)</f>
        <v>74994</v>
      </c>
      <c r="E34" s="173">
        <f>SUM(C34:D34)</f>
        <v>114161</v>
      </c>
      <c r="F34" s="179" t="s">
        <v>69</v>
      </c>
      <c r="G34" s="173">
        <f>G24+G33</f>
        <v>159752</v>
      </c>
      <c r="H34" s="360">
        <f>H24+H33</f>
        <v>276631</v>
      </c>
      <c r="I34" s="446">
        <f>I24+I33</f>
        <v>436383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2"/>
      <c r="I35" s="471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8"/>
      <c r="I36" s="472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2"/>
      <c r="I37" s="471"/>
      <c r="J37" s="513"/>
    </row>
    <row r="38" spans="1:10" s="11" customFormat="1" x14ac:dyDescent="0.2">
      <c r="A38" s="782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0"/>
      <c r="I38" s="446"/>
      <c r="J38" s="513"/>
    </row>
    <row r="39" spans="1:10" s="11" customFormat="1" x14ac:dyDescent="0.2">
      <c r="A39" s="164">
        <f t="shared" si="0"/>
        <v>29</v>
      </c>
      <c r="B39" s="136" t="s">
        <v>708</v>
      </c>
      <c r="C39" s="126"/>
      <c r="D39" s="126"/>
      <c r="E39" s="126"/>
      <c r="F39" s="181" t="s">
        <v>4</v>
      </c>
      <c r="G39" s="182"/>
      <c r="I39" s="474"/>
      <c r="J39" s="513"/>
    </row>
    <row r="40" spans="1:10" s="11" customFormat="1" x14ac:dyDescent="0.2">
      <c r="A40" s="164">
        <f t="shared" si="0"/>
        <v>30</v>
      </c>
      <c r="B40" s="116" t="s">
        <v>995</v>
      </c>
      <c r="C40" s="126"/>
      <c r="D40" s="126"/>
      <c r="E40" s="126"/>
      <c r="F40" s="539" t="s">
        <v>3</v>
      </c>
      <c r="G40" s="173"/>
      <c r="H40" s="360"/>
      <c r="I40" s="446"/>
      <c r="J40" s="513"/>
    </row>
    <row r="41" spans="1:10" x14ac:dyDescent="0.2">
      <c r="A41" s="164">
        <f t="shared" si="0"/>
        <v>31</v>
      </c>
      <c r="B41" s="118" t="s">
        <v>710</v>
      </c>
      <c r="C41" s="185"/>
      <c r="D41" s="185"/>
      <c r="E41" s="185"/>
      <c r="F41" s="139" t="s">
        <v>5</v>
      </c>
      <c r="G41" s="173"/>
      <c r="H41" s="360"/>
      <c r="I41" s="446"/>
      <c r="J41" s="190"/>
    </row>
    <row r="42" spans="1:10" x14ac:dyDescent="0.2">
      <c r="A42" s="164">
        <f t="shared" si="0"/>
        <v>32</v>
      </c>
      <c r="B42" s="118" t="s">
        <v>214</v>
      </c>
      <c r="C42" s="119"/>
      <c r="D42" s="119"/>
      <c r="E42" s="119"/>
      <c r="F42" s="139" t="s">
        <v>6</v>
      </c>
      <c r="G42" s="182"/>
      <c r="H42" s="189"/>
      <c r="I42" s="446"/>
      <c r="J42" s="190"/>
    </row>
    <row r="43" spans="1:10" x14ac:dyDescent="0.2">
      <c r="A43" s="164">
        <f t="shared" si="0"/>
        <v>33</v>
      </c>
      <c r="B43" s="537" t="s">
        <v>215</v>
      </c>
      <c r="C43" s="119">
        <v>5752</v>
      </c>
      <c r="D43" s="119"/>
      <c r="E43" s="119">
        <f>C43+D43</f>
        <v>5752</v>
      </c>
      <c r="F43" s="139" t="s">
        <v>7</v>
      </c>
      <c r="G43" s="182"/>
      <c r="H43" s="189"/>
      <c r="I43" s="446"/>
      <c r="J43" s="190"/>
    </row>
    <row r="44" spans="1:10" x14ac:dyDescent="0.2">
      <c r="A44" s="164">
        <f t="shared" si="0"/>
        <v>34</v>
      </c>
      <c r="B44" s="537" t="s">
        <v>991</v>
      </c>
      <c r="C44" s="119"/>
      <c r="D44" s="119"/>
      <c r="E44" s="119"/>
      <c r="F44" s="139"/>
      <c r="G44" s="182"/>
      <c r="H44" s="189"/>
      <c r="I44" s="446"/>
      <c r="J44" s="190"/>
    </row>
    <row r="45" spans="1:10" x14ac:dyDescent="0.2">
      <c r="A45" s="164">
        <f t="shared" si="0"/>
        <v>35</v>
      </c>
      <c r="B45" s="119" t="s">
        <v>711</v>
      </c>
      <c r="C45" s="119"/>
      <c r="D45" s="119"/>
      <c r="E45" s="119"/>
      <c r="F45" s="139" t="s">
        <v>8</v>
      </c>
      <c r="G45" s="173"/>
      <c r="H45" s="360"/>
      <c r="I45" s="471"/>
      <c r="J45" s="190"/>
    </row>
    <row r="46" spans="1:10" x14ac:dyDescent="0.2">
      <c r="A46" s="164">
        <f t="shared" si="0"/>
        <v>36</v>
      </c>
      <c r="B46" s="119" t="s">
        <v>712</v>
      </c>
      <c r="C46" s="126"/>
      <c r="D46" s="126"/>
      <c r="E46" s="126"/>
      <c r="F46" s="139" t="s">
        <v>9</v>
      </c>
      <c r="G46" s="173"/>
      <c r="H46" s="360"/>
      <c r="I46" s="471"/>
      <c r="J46" s="190"/>
    </row>
    <row r="47" spans="1:10" x14ac:dyDescent="0.2">
      <c r="A47" s="164">
        <f t="shared" si="0"/>
        <v>37</v>
      </c>
      <c r="B47" s="118" t="s">
        <v>218</v>
      </c>
      <c r="C47" s="119"/>
      <c r="D47" s="119"/>
      <c r="E47" s="119"/>
      <c r="F47" s="139" t="s">
        <v>10</v>
      </c>
      <c r="G47" s="169"/>
      <c r="H47" s="292"/>
      <c r="I47" s="471"/>
      <c r="J47" s="190"/>
    </row>
    <row r="48" spans="1:10" x14ac:dyDescent="0.2">
      <c r="A48" s="164">
        <f t="shared" si="0"/>
        <v>38</v>
      </c>
      <c r="B48" s="537" t="s">
        <v>219</v>
      </c>
      <c r="C48" s="285">
        <f>G24-(C32+C43)</f>
        <v>114168</v>
      </c>
      <c r="D48" s="285">
        <f t="shared" ref="D48:E48" si="2">H24-(D32+D43)</f>
        <v>198117</v>
      </c>
      <c r="E48" s="285">
        <f t="shared" si="2"/>
        <v>312285</v>
      </c>
      <c r="F48" s="139" t="s">
        <v>11</v>
      </c>
      <c r="G48" s="169"/>
      <c r="H48" s="292"/>
      <c r="I48" s="471"/>
      <c r="J48" s="190"/>
    </row>
    <row r="49" spans="1:10" x14ac:dyDescent="0.2">
      <c r="A49" s="164">
        <f t="shared" si="0"/>
        <v>39</v>
      </c>
      <c r="B49" s="537" t="s">
        <v>220</v>
      </c>
      <c r="C49" s="119">
        <f>G33-C33</f>
        <v>665</v>
      </c>
      <c r="D49" s="119">
        <f t="shared" ref="D49:E49" si="3">H33-D33</f>
        <v>3520</v>
      </c>
      <c r="E49" s="119">
        <f t="shared" si="3"/>
        <v>4185</v>
      </c>
      <c r="F49" s="139" t="s">
        <v>12</v>
      </c>
      <c r="G49" s="169"/>
      <c r="H49" s="292"/>
      <c r="I49" s="471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51"/>
      <c r="F50" s="139" t="s">
        <v>13</v>
      </c>
      <c r="G50" s="169"/>
      <c r="H50" s="292"/>
      <c r="I50" s="471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51"/>
      <c r="F51" s="139" t="s">
        <v>14</v>
      </c>
      <c r="G51" s="169"/>
      <c r="H51" s="292"/>
      <c r="I51" s="471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51"/>
      <c r="F52" s="139" t="s">
        <v>15</v>
      </c>
      <c r="G52" s="169"/>
      <c r="H52" s="292"/>
      <c r="I52" s="471"/>
      <c r="J52" s="190"/>
    </row>
    <row r="53" spans="1:10" ht="12" thickBot="1" x14ac:dyDescent="0.25">
      <c r="A53" s="164">
        <f t="shared" si="0"/>
        <v>43</v>
      </c>
      <c r="B53" s="178" t="s">
        <v>462</v>
      </c>
      <c r="C53" s="126">
        <f>SUM(C39:C51)</f>
        <v>120585</v>
      </c>
      <c r="D53" s="126">
        <f>SUM(D39:D51)</f>
        <v>201637</v>
      </c>
      <c r="E53" s="523">
        <f>SUM(E39:E51)</f>
        <v>322222</v>
      </c>
      <c r="F53" s="140" t="s">
        <v>455</v>
      </c>
      <c r="G53" s="173">
        <f>SUM(G39:G52)</f>
        <v>0</v>
      </c>
      <c r="H53" s="360">
        <f>SUM(H39:H52)</f>
        <v>0</v>
      </c>
      <c r="I53" s="446">
        <f>SUM(I39:I52)</f>
        <v>0</v>
      </c>
      <c r="J53" s="190"/>
    </row>
    <row r="54" spans="1:10" ht="12" thickBot="1" x14ac:dyDescent="0.25">
      <c r="A54" s="1138">
        <f t="shared" si="0"/>
        <v>44</v>
      </c>
      <c r="B54" s="507" t="s">
        <v>457</v>
      </c>
      <c r="C54" s="1093">
        <f>C34+C53</f>
        <v>159752</v>
      </c>
      <c r="D54" s="304">
        <f>D34+D53</f>
        <v>276631</v>
      </c>
      <c r="E54" s="806">
        <f>E34+E53</f>
        <v>436383</v>
      </c>
      <c r="F54" s="507" t="s">
        <v>456</v>
      </c>
      <c r="G54" s="1094">
        <f>G34+G53</f>
        <v>159752</v>
      </c>
      <c r="H54" s="1135">
        <f>H34+H53</f>
        <v>276631</v>
      </c>
      <c r="I54" s="938">
        <f>I34+I53</f>
        <v>436383</v>
      </c>
      <c r="J54" s="291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8" customWidth="1"/>
    <col min="5" max="5" width="10.42578125" style="388" bestFit="1" customWidth="1"/>
    <col min="6" max="9" width="9.7109375" style="388" customWidth="1"/>
    <col min="10" max="10" width="10.140625" style="388" customWidth="1"/>
    <col min="11" max="14" width="9.7109375" style="388" customWidth="1"/>
    <col min="15" max="15" width="11.5703125" style="388" customWidth="1"/>
    <col min="16" max="16" width="10.140625" style="16" customWidth="1"/>
    <col min="17" max="16384" width="9.140625" style="16"/>
  </cols>
  <sheetData>
    <row r="1" spans="1:33" ht="12.75" customHeight="1" x14ac:dyDescent="0.25">
      <c r="B1" s="1374" t="s">
        <v>1172</v>
      </c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  <c r="N1" s="1374"/>
      <c r="O1" s="1374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985"/>
      <c r="AC1" s="985"/>
      <c r="AD1" s="985"/>
      <c r="AE1" s="985"/>
      <c r="AF1" s="985"/>
      <c r="AG1" s="985"/>
    </row>
    <row r="2" spans="1:33" ht="14.1" customHeight="1" x14ac:dyDescent="0.25">
      <c r="A2" s="32"/>
      <c r="B2" s="1372" t="s">
        <v>87</v>
      </c>
      <c r="C2" s="1372"/>
      <c r="D2" s="1372"/>
      <c r="E2" s="1372"/>
      <c r="F2" s="1372"/>
      <c r="G2" s="1372"/>
      <c r="H2" s="1372"/>
      <c r="I2" s="1372"/>
      <c r="J2" s="1372"/>
      <c r="K2" s="1372"/>
      <c r="L2" s="1372"/>
      <c r="M2" s="1372"/>
      <c r="N2" s="1372"/>
      <c r="O2" s="1372"/>
    </row>
    <row r="3" spans="1:33" ht="14.1" customHeight="1" x14ac:dyDescent="0.25">
      <c r="A3" s="32"/>
      <c r="B3" s="1372" t="s">
        <v>1116</v>
      </c>
      <c r="C3" s="1372"/>
      <c r="D3" s="1372"/>
      <c r="E3" s="1372"/>
      <c r="F3" s="1372"/>
      <c r="G3" s="1372"/>
      <c r="H3" s="1372"/>
      <c r="I3" s="1372"/>
      <c r="J3" s="1372"/>
      <c r="K3" s="1372"/>
      <c r="L3" s="1372"/>
      <c r="M3" s="1372"/>
      <c r="N3" s="1372"/>
      <c r="O3" s="1372"/>
    </row>
    <row r="4" spans="1:33" ht="14.1" customHeight="1" x14ac:dyDescent="0.25">
      <c r="A4" s="32"/>
      <c r="B4" s="785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</row>
    <row r="5" spans="1:33" ht="15" customHeight="1" x14ac:dyDescent="0.25">
      <c r="A5" s="1373"/>
      <c r="B5" s="787" t="s">
        <v>57</v>
      </c>
      <c r="C5" s="788" t="s">
        <v>58</v>
      </c>
      <c r="D5" s="788" t="s">
        <v>59</v>
      </c>
      <c r="E5" s="788" t="s">
        <v>60</v>
      </c>
      <c r="F5" s="788" t="s">
        <v>484</v>
      </c>
      <c r="G5" s="788" t="s">
        <v>485</v>
      </c>
      <c r="H5" s="788" t="s">
        <v>486</v>
      </c>
      <c r="I5" s="788" t="s">
        <v>613</v>
      </c>
      <c r="J5" s="788" t="s">
        <v>624</v>
      </c>
      <c r="K5" s="788" t="s">
        <v>625</v>
      </c>
      <c r="L5" s="788" t="s">
        <v>626</v>
      </c>
      <c r="M5" s="788" t="s">
        <v>627</v>
      </c>
      <c r="N5" s="788" t="s">
        <v>628</v>
      </c>
      <c r="O5" s="788" t="s">
        <v>629</v>
      </c>
    </row>
    <row r="6" spans="1:33" ht="12.75" customHeight="1" x14ac:dyDescent="0.25">
      <c r="A6" s="1373"/>
      <c r="B6" s="783" t="s">
        <v>86</v>
      </c>
      <c r="C6" s="789" t="s">
        <v>630</v>
      </c>
      <c r="D6" s="789" t="s">
        <v>631</v>
      </c>
      <c r="E6" s="789" t="s">
        <v>632</v>
      </c>
      <c r="F6" s="789" t="s">
        <v>633</v>
      </c>
      <c r="G6" s="789" t="s">
        <v>634</v>
      </c>
      <c r="H6" s="789" t="s">
        <v>635</v>
      </c>
      <c r="I6" s="789" t="s">
        <v>636</v>
      </c>
      <c r="J6" s="789" t="s">
        <v>637</v>
      </c>
      <c r="K6" s="789" t="s">
        <v>638</v>
      </c>
      <c r="L6" s="789" t="s">
        <v>639</v>
      </c>
      <c r="M6" s="789" t="s">
        <v>640</v>
      </c>
      <c r="N6" s="789" t="s">
        <v>641</v>
      </c>
      <c r="O6" s="789" t="s">
        <v>548</v>
      </c>
    </row>
    <row r="7" spans="1:33" s="32" customFormat="1" ht="12.75" customHeight="1" x14ac:dyDescent="0.25">
      <c r="A7" s="21" t="s">
        <v>493</v>
      </c>
      <c r="B7" s="34" t="s">
        <v>670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33" s="32" customFormat="1" ht="15.75" customHeight="1" x14ac:dyDescent="0.25">
      <c r="A8" s="21" t="s">
        <v>501</v>
      </c>
      <c r="B8" s="32" t="s">
        <v>664</v>
      </c>
      <c r="C8" s="266">
        <f>O8/12</f>
        <v>71037.666666666672</v>
      </c>
      <c r="D8" s="266">
        <v>65801</v>
      </c>
      <c r="E8" s="266">
        <v>65796</v>
      </c>
      <c r="F8" s="266">
        <v>65796</v>
      </c>
      <c r="G8" s="266">
        <v>65796</v>
      </c>
      <c r="H8" s="266">
        <v>65796</v>
      </c>
      <c r="I8" s="266">
        <v>65796</v>
      </c>
      <c r="J8" s="266">
        <v>65796</v>
      </c>
      <c r="K8" s="266">
        <v>65796</v>
      </c>
      <c r="L8" s="266">
        <v>65796</v>
      </c>
      <c r="M8" s="266">
        <v>65796</v>
      </c>
      <c r="N8" s="266">
        <v>65796</v>
      </c>
      <c r="O8" s="266">
        <f>Össz.önkor.mérleg.!E11</f>
        <v>852452</v>
      </c>
      <c r="P8" s="35"/>
    </row>
    <row r="9" spans="1:33" s="32" customFormat="1" ht="16.5" customHeight="1" x14ac:dyDescent="0.25">
      <c r="A9" s="21" t="s">
        <v>502</v>
      </c>
      <c r="B9" s="32" t="s">
        <v>665</v>
      </c>
      <c r="C9" s="266">
        <f>O9/12</f>
        <v>4865.75</v>
      </c>
      <c r="D9" s="266">
        <v>2629</v>
      </c>
      <c r="E9" s="266">
        <v>2629</v>
      </c>
      <c r="F9" s="266">
        <v>2629</v>
      </c>
      <c r="G9" s="266">
        <v>2629</v>
      </c>
      <c r="H9" s="266">
        <v>2629</v>
      </c>
      <c r="I9" s="266">
        <v>2629</v>
      </c>
      <c r="J9" s="266">
        <v>2629</v>
      </c>
      <c r="K9" s="266">
        <v>2629</v>
      </c>
      <c r="L9" s="266">
        <v>2629</v>
      </c>
      <c r="M9" s="266">
        <v>2629</v>
      </c>
      <c r="N9" s="266">
        <v>2629</v>
      </c>
      <c r="O9" s="266">
        <f>Össz.önkor.mérleg.!E13</f>
        <v>58389</v>
      </c>
      <c r="P9" s="35"/>
    </row>
    <row r="10" spans="1:33" s="32" customFormat="1" ht="15.75" customHeight="1" x14ac:dyDescent="0.25">
      <c r="A10" s="21" t="s">
        <v>503</v>
      </c>
      <c r="B10" s="32" t="s">
        <v>467</v>
      </c>
      <c r="C10" s="266">
        <f>O10/12</f>
        <v>116762.91666666667</v>
      </c>
      <c r="D10" s="266">
        <v>102947</v>
      </c>
      <c r="E10" s="266">
        <v>102943</v>
      </c>
      <c r="F10" s="266">
        <v>102943</v>
      </c>
      <c r="G10" s="266">
        <v>102943</v>
      </c>
      <c r="H10" s="266">
        <v>102943</v>
      </c>
      <c r="I10" s="266">
        <v>102943</v>
      </c>
      <c r="J10" s="266">
        <v>102943</v>
      </c>
      <c r="K10" s="266">
        <v>102943</v>
      </c>
      <c r="L10" s="266">
        <v>102943</v>
      </c>
      <c r="M10" s="266">
        <v>102943</v>
      </c>
      <c r="N10" s="266">
        <v>102943</v>
      </c>
      <c r="O10" s="266">
        <f>Össz.önkor.mérleg.!E17</f>
        <v>1401155</v>
      </c>
      <c r="P10" s="35"/>
    </row>
    <row r="11" spans="1:33" s="33" customFormat="1" ht="18" customHeight="1" x14ac:dyDescent="0.25">
      <c r="A11" s="21" t="s">
        <v>504</v>
      </c>
      <c r="B11" s="33" t="s">
        <v>666</v>
      </c>
      <c r="C11" s="266">
        <f>O11/12</f>
        <v>37752.583333333336</v>
      </c>
      <c r="D11" s="266">
        <v>29601</v>
      </c>
      <c r="E11" s="266">
        <v>29605</v>
      </c>
      <c r="F11" s="266">
        <v>29605</v>
      </c>
      <c r="G11" s="266">
        <v>29605</v>
      </c>
      <c r="H11" s="266">
        <v>29605</v>
      </c>
      <c r="I11" s="266">
        <v>29605</v>
      </c>
      <c r="J11" s="266">
        <v>29605</v>
      </c>
      <c r="K11" s="266">
        <v>29605</v>
      </c>
      <c r="L11" s="266">
        <v>29605</v>
      </c>
      <c r="M11" s="266">
        <v>29605</v>
      </c>
      <c r="N11" s="266">
        <v>29605</v>
      </c>
      <c r="O11" s="266">
        <f>Össz.önkor.mérleg.!E20</f>
        <v>453031</v>
      </c>
      <c r="P11" s="35"/>
    </row>
    <row r="12" spans="1:33" s="32" customFormat="1" ht="13.5" customHeight="1" x14ac:dyDescent="0.25">
      <c r="A12" s="21" t="s">
        <v>505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>
        <f t="shared" ref="O12:O18" si="0">SUM(C12:N12)</f>
        <v>0</v>
      </c>
      <c r="P12" s="35"/>
    </row>
    <row r="13" spans="1:33" s="32" customFormat="1" ht="15" customHeight="1" x14ac:dyDescent="0.25">
      <c r="A13" s="21" t="s">
        <v>506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>
        <f t="shared" si="0"/>
        <v>0</v>
      </c>
      <c r="P13" s="35"/>
    </row>
    <row r="14" spans="1:33" s="34" customFormat="1" ht="15.75" customHeight="1" x14ac:dyDescent="0.25">
      <c r="A14" s="21" t="s">
        <v>507</v>
      </c>
      <c r="B14" s="790" t="s">
        <v>642</v>
      </c>
      <c r="C14" s="791">
        <f>SUM(C8:C13)</f>
        <v>230418.91666666669</v>
      </c>
      <c r="D14" s="791">
        <f>SUM(D8:D12)</f>
        <v>200978</v>
      </c>
      <c r="E14" s="791">
        <f>SUM(E8:E12)</f>
        <v>200973</v>
      </c>
      <c r="F14" s="791">
        <f>SUM(F8:F13)</f>
        <v>200973</v>
      </c>
      <c r="G14" s="791">
        <f>SUM(G8:G13)</f>
        <v>200973</v>
      </c>
      <c r="H14" s="791">
        <f t="shared" ref="H14:N14" si="1">SUM(H8:H12)</f>
        <v>200973</v>
      </c>
      <c r="I14" s="791">
        <f t="shared" si="1"/>
        <v>200973</v>
      </c>
      <c r="J14" s="791">
        <f t="shared" si="1"/>
        <v>200973</v>
      </c>
      <c r="K14" s="791">
        <f t="shared" si="1"/>
        <v>200973</v>
      </c>
      <c r="L14" s="791">
        <f t="shared" si="1"/>
        <v>200973</v>
      </c>
      <c r="M14" s="791">
        <f t="shared" si="1"/>
        <v>200973</v>
      </c>
      <c r="N14" s="791">
        <f t="shared" si="1"/>
        <v>200973</v>
      </c>
      <c r="O14" s="792">
        <f>SUM(O8:O13)</f>
        <v>2765027</v>
      </c>
      <c r="P14" s="36"/>
    </row>
    <row r="15" spans="1:33" s="32" customFormat="1" ht="15.75" customHeight="1" x14ac:dyDescent="0.25">
      <c r="A15" s="21" t="s">
        <v>508</v>
      </c>
      <c r="B15" s="32" t="s">
        <v>667</v>
      </c>
      <c r="C15" s="266"/>
      <c r="D15" s="266"/>
      <c r="E15" s="266"/>
      <c r="F15" s="266"/>
      <c r="G15" s="793"/>
      <c r="H15" s="793"/>
      <c r="I15" s="793"/>
      <c r="J15" s="793"/>
      <c r="K15" s="793"/>
      <c r="L15" s="793"/>
      <c r="M15" s="793"/>
      <c r="N15" s="793"/>
      <c r="O15" s="268">
        <f>Össz.önkor.mérleg.!E24</f>
        <v>213508</v>
      </c>
      <c r="P15" s="35"/>
    </row>
    <row r="16" spans="1:33" s="32" customFormat="1" ht="15" customHeight="1" x14ac:dyDescent="0.25">
      <c r="A16" s="21" t="s">
        <v>549</v>
      </c>
      <c r="B16" s="32" t="s">
        <v>668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8">
        <v>0</v>
      </c>
      <c r="P16" s="35"/>
    </row>
    <row r="17" spans="1:256" s="32" customFormat="1" ht="16.5" customHeight="1" x14ac:dyDescent="0.25">
      <c r="A17" s="21" t="s">
        <v>550</v>
      </c>
      <c r="B17" s="32" t="s">
        <v>584</v>
      </c>
      <c r="C17" s="266">
        <f>O17/12</f>
        <v>510.08333333333331</v>
      </c>
      <c r="D17" s="266">
        <v>241</v>
      </c>
      <c r="E17" s="266">
        <v>239</v>
      </c>
      <c r="F17" s="266">
        <v>239</v>
      </c>
      <c r="G17" s="266">
        <v>239</v>
      </c>
      <c r="H17" s="266">
        <v>239</v>
      </c>
      <c r="I17" s="266">
        <v>239</v>
      </c>
      <c r="J17" s="266">
        <v>239</v>
      </c>
      <c r="K17" s="266">
        <v>239</v>
      </c>
      <c r="L17" s="266">
        <v>239</v>
      </c>
      <c r="M17" s="266">
        <v>239</v>
      </c>
      <c r="N17" s="266">
        <v>239</v>
      </c>
      <c r="O17" s="268">
        <f>Össz.önkor.mérleg.!E30</f>
        <v>6121</v>
      </c>
      <c r="P17" s="35"/>
    </row>
    <row r="18" spans="1:256" s="33" customFormat="1" ht="15" customHeight="1" x14ac:dyDescent="0.25">
      <c r="A18" s="21" t="s">
        <v>551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8">
        <f t="shared" si="0"/>
        <v>0</v>
      </c>
      <c r="P18" s="35"/>
    </row>
    <row r="19" spans="1:256" s="38" customFormat="1" ht="16.5" customHeight="1" x14ac:dyDescent="0.25">
      <c r="A19" s="21" t="s">
        <v>552</v>
      </c>
      <c r="B19" s="980" t="s">
        <v>643</v>
      </c>
      <c r="C19" s="981">
        <f>SUM(C15:C18)</f>
        <v>510.08333333333331</v>
      </c>
      <c r="D19" s="981">
        <f>SUM(D15:D18)</f>
        <v>241</v>
      </c>
      <c r="E19" s="981">
        <f>SUM(E15:E18)</f>
        <v>239</v>
      </c>
      <c r="F19" s="981">
        <f t="shared" ref="F19:M19" si="2">SUM(F15:F18)</f>
        <v>239</v>
      </c>
      <c r="G19" s="981">
        <f t="shared" si="2"/>
        <v>239</v>
      </c>
      <c r="H19" s="981">
        <f t="shared" si="2"/>
        <v>239</v>
      </c>
      <c r="I19" s="981">
        <f t="shared" si="2"/>
        <v>239</v>
      </c>
      <c r="J19" s="981">
        <f t="shared" si="2"/>
        <v>239</v>
      </c>
      <c r="K19" s="981">
        <f t="shared" si="2"/>
        <v>239</v>
      </c>
      <c r="L19" s="981">
        <f t="shared" si="2"/>
        <v>239</v>
      </c>
      <c r="M19" s="981">
        <f t="shared" si="2"/>
        <v>239</v>
      </c>
      <c r="N19" s="981">
        <f>SUM(N15:N18)</f>
        <v>239</v>
      </c>
      <c r="O19" s="982">
        <f>SUM(O15:O18)</f>
        <v>219629</v>
      </c>
      <c r="P19" s="37"/>
    </row>
    <row r="20" spans="1:256" s="34" customFormat="1" ht="16.5" customHeight="1" x14ac:dyDescent="0.25">
      <c r="A20" s="21" t="s">
        <v>553</v>
      </c>
      <c r="B20" s="38" t="s">
        <v>669</v>
      </c>
      <c r="C20" s="269"/>
      <c r="D20" s="269"/>
      <c r="E20" s="269"/>
      <c r="F20" s="269"/>
      <c r="G20" s="269"/>
      <c r="H20" s="267"/>
      <c r="I20" s="267"/>
      <c r="J20" s="267"/>
      <c r="K20" s="267"/>
      <c r="L20" s="267"/>
      <c r="M20" s="267"/>
      <c r="N20" s="267"/>
      <c r="O20" s="268">
        <f>SUM(C20:N20)</f>
        <v>0</v>
      </c>
      <c r="P20" s="36"/>
    </row>
    <row r="21" spans="1:256" s="32" customFormat="1" ht="15.75" customHeight="1" x14ac:dyDescent="0.25">
      <c r="A21" s="21" t="s">
        <v>554</v>
      </c>
      <c r="B21" s="33" t="s">
        <v>474</v>
      </c>
      <c r="C21" s="267">
        <f>O21/12</f>
        <v>221702.25</v>
      </c>
      <c r="D21" s="267">
        <v>197609</v>
      </c>
      <c r="E21" s="267">
        <v>197615</v>
      </c>
      <c r="F21" s="267">
        <v>197615</v>
      </c>
      <c r="G21" s="267">
        <v>197615</v>
      </c>
      <c r="H21" s="267">
        <v>197615</v>
      </c>
      <c r="I21" s="267">
        <v>197615</v>
      </c>
      <c r="J21" s="267">
        <v>197615</v>
      </c>
      <c r="K21" s="267">
        <v>197615</v>
      </c>
      <c r="L21" s="267">
        <v>197615</v>
      </c>
      <c r="M21" s="267">
        <v>197615</v>
      </c>
      <c r="N21" s="267">
        <v>197615</v>
      </c>
      <c r="O21" s="268">
        <f>Össz.önkor.mérleg.!E54</f>
        <v>2660427</v>
      </c>
      <c r="P21" s="35"/>
    </row>
    <row r="22" spans="1:256" s="34" customFormat="1" ht="16.5" customHeight="1" x14ac:dyDescent="0.25">
      <c r="A22" s="21" t="s">
        <v>555</v>
      </c>
      <c r="B22" s="794" t="s">
        <v>644</v>
      </c>
      <c r="C22" s="795">
        <f t="shared" ref="C22:N22" si="3">C19+C14+C20+C21</f>
        <v>452631.25</v>
      </c>
      <c r="D22" s="795">
        <f t="shared" si="3"/>
        <v>398828</v>
      </c>
      <c r="E22" s="795">
        <f t="shared" si="3"/>
        <v>398827</v>
      </c>
      <c r="F22" s="795">
        <f t="shared" si="3"/>
        <v>398827</v>
      </c>
      <c r="G22" s="795">
        <f t="shared" si="3"/>
        <v>398827</v>
      </c>
      <c r="H22" s="795">
        <f t="shared" si="3"/>
        <v>398827</v>
      </c>
      <c r="I22" s="795">
        <f t="shared" si="3"/>
        <v>398827</v>
      </c>
      <c r="J22" s="795">
        <f t="shared" si="3"/>
        <v>398827</v>
      </c>
      <c r="K22" s="795">
        <f t="shared" si="3"/>
        <v>398827</v>
      </c>
      <c r="L22" s="795">
        <f t="shared" si="3"/>
        <v>398827</v>
      </c>
      <c r="M22" s="795">
        <f t="shared" si="3"/>
        <v>398827</v>
      </c>
      <c r="N22" s="795">
        <f t="shared" si="3"/>
        <v>398827</v>
      </c>
      <c r="O22" s="796">
        <f>O14+O21+O19</f>
        <v>5645083</v>
      </c>
      <c r="P22" s="36"/>
    </row>
    <row r="23" spans="1:256" s="15" customFormat="1" ht="15" customHeight="1" x14ac:dyDescent="0.25">
      <c r="A23" s="21" t="s">
        <v>556</v>
      </c>
      <c r="B23" s="34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256" s="34" customFormat="1" ht="12.75" customHeight="1" x14ac:dyDescent="0.25">
      <c r="A24" s="21" t="s">
        <v>558</v>
      </c>
      <c r="B24" s="34" t="s">
        <v>65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256" s="32" customFormat="1" ht="15.75" customHeight="1" x14ac:dyDescent="0.25">
      <c r="A25" s="21" t="s">
        <v>559</v>
      </c>
      <c r="B25" s="32" t="s">
        <v>475</v>
      </c>
      <c r="C25" s="266">
        <f t="shared" ref="C25:C32" si="4">O25/12</f>
        <v>80859.083333333328</v>
      </c>
      <c r="D25" s="266">
        <v>75820</v>
      </c>
      <c r="E25" s="266">
        <v>75817</v>
      </c>
      <c r="F25" s="266">
        <v>75817</v>
      </c>
      <c r="G25" s="266">
        <v>75817</v>
      </c>
      <c r="H25" s="266">
        <v>75817</v>
      </c>
      <c r="I25" s="266">
        <v>75817</v>
      </c>
      <c r="J25" s="266">
        <v>75817</v>
      </c>
      <c r="K25" s="266">
        <v>75817</v>
      </c>
      <c r="L25" s="266">
        <v>75817</v>
      </c>
      <c r="M25" s="266">
        <v>75817</v>
      </c>
      <c r="N25" s="266">
        <v>75817</v>
      </c>
      <c r="O25" s="268">
        <f>Össz.önkor.mérleg.!I10</f>
        <v>970309</v>
      </c>
      <c r="P25" s="35"/>
    </row>
    <row r="26" spans="1:256" s="32" customFormat="1" ht="17.25" customHeight="1" x14ac:dyDescent="0.25">
      <c r="A26" s="21" t="s">
        <v>560</v>
      </c>
      <c r="B26" s="32" t="s">
        <v>476</v>
      </c>
      <c r="C26" s="266">
        <f t="shared" si="4"/>
        <v>18020.5</v>
      </c>
      <c r="D26" s="266">
        <v>17473</v>
      </c>
      <c r="E26" s="266">
        <v>17479</v>
      </c>
      <c r="F26" s="266">
        <v>17479</v>
      </c>
      <c r="G26" s="266">
        <v>17479</v>
      </c>
      <c r="H26" s="266">
        <v>17479</v>
      </c>
      <c r="I26" s="266">
        <v>17479</v>
      </c>
      <c r="J26" s="266">
        <v>17479</v>
      </c>
      <c r="K26" s="266">
        <v>17479</v>
      </c>
      <c r="L26" s="266">
        <v>17479</v>
      </c>
      <c r="M26" s="266">
        <v>17479</v>
      </c>
      <c r="N26" s="266">
        <v>17479</v>
      </c>
      <c r="O26" s="268">
        <f>Össz.önkor.mérleg.!I11</f>
        <v>216246</v>
      </c>
      <c r="P26" s="35"/>
    </row>
    <row r="27" spans="1:256" s="32" customFormat="1" ht="13.5" customHeight="1" x14ac:dyDescent="0.25">
      <c r="A27" s="21" t="s">
        <v>561</v>
      </c>
      <c r="B27" s="32" t="s">
        <v>477</v>
      </c>
      <c r="C27" s="266">
        <f t="shared" si="4"/>
        <v>120533.33333333333</v>
      </c>
      <c r="D27" s="266">
        <v>78841</v>
      </c>
      <c r="E27" s="266">
        <v>78839</v>
      </c>
      <c r="F27" s="266">
        <v>78839</v>
      </c>
      <c r="G27" s="266">
        <v>78839</v>
      </c>
      <c r="H27" s="266">
        <v>78839</v>
      </c>
      <c r="I27" s="266">
        <v>78839</v>
      </c>
      <c r="J27" s="266">
        <v>78839</v>
      </c>
      <c r="K27" s="266">
        <v>78839</v>
      </c>
      <c r="L27" s="266">
        <v>78839</v>
      </c>
      <c r="M27" s="266">
        <v>78839</v>
      </c>
      <c r="N27" s="266">
        <v>78839</v>
      </c>
      <c r="O27" s="268">
        <f>Össz.önkor.mérleg.!I12</f>
        <v>1446400</v>
      </c>
      <c r="P27" s="35"/>
    </row>
    <row r="28" spans="1:256" s="32" customFormat="1" ht="15" customHeight="1" x14ac:dyDescent="0.25">
      <c r="A28" s="21" t="s">
        <v>562</v>
      </c>
      <c r="B28" s="32" t="s">
        <v>645</v>
      </c>
      <c r="C28" s="266">
        <f t="shared" si="4"/>
        <v>1149.3333333333333</v>
      </c>
      <c r="D28" s="266">
        <v>1175</v>
      </c>
      <c r="E28" s="266">
        <v>1175</v>
      </c>
      <c r="F28" s="266">
        <v>1175</v>
      </c>
      <c r="G28" s="266">
        <v>1175</v>
      </c>
      <c r="H28" s="266">
        <v>1175</v>
      </c>
      <c r="I28" s="266">
        <v>1175</v>
      </c>
      <c r="J28" s="266">
        <v>1175</v>
      </c>
      <c r="K28" s="266">
        <v>1175</v>
      </c>
      <c r="L28" s="266">
        <v>1175</v>
      </c>
      <c r="M28" s="266">
        <v>1175</v>
      </c>
      <c r="N28" s="266">
        <v>1175</v>
      </c>
      <c r="O28" s="268">
        <f>Össz.önkor.mérleg.!I14</f>
        <v>13792</v>
      </c>
      <c r="P28" s="35"/>
      <c r="IV28" s="35"/>
    </row>
    <row r="29" spans="1:256" s="32" customFormat="1" ht="15" customHeight="1" x14ac:dyDescent="0.25">
      <c r="A29" s="21" t="s">
        <v>563</v>
      </c>
      <c r="B29" s="32" t="s">
        <v>273</v>
      </c>
      <c r="C29" s="266">
        <v>38</v>
      </c>
      <c r="D29" s="266">
        <v>33</v>
      </c>
      <c r="E29" s="266">
        <v>38</v>
      </c>
      <c r="F29" s="266">
        <v>38</v>
      </c>
      <c r="G29" s="266">
        <v>38</v>
      </c>
      <c r="H29" s="266">
        <v>38</v>
      </c>
      <c r="I29" s="266">
        <v>38</v>
      </c>
      <c r="J29" s="266">
        <v>38</v>
      </c>
      <c r="K29" s="266">
        <v>38</v>
      </c>
      <c r="L29" s="266">
        <v>38</v>
      </c>
      <c r="M29" s="266">
        <v>38</v>
      </c>
      <c r="N29" s="266">
        <v>38</v>
      </c>
      <c r="O29" s="268">
        <f>Össz.önkor.mérleg.!I19</f>
        <v>451</v>
      </c>
      <c r="P29" s="35"/>
    </row>
    <row r="30" spans="1:256" s="32" customFormat="1" ht="12.75" customHeight="1" x14ac:dyDescent="0.25">
      <c r="A30" s="21" t="s">
        <v>564</v>
      </c>
      <c r="B30" s="32" t="s">
        <v>478</v>
      </c>
      <c r="C30" s="266">
        <v>3993</v>
      </c>
      <c r="D30" s="266">
        <v>3989</v>
      </c>
      <c r="E30" s="266">
        <v>3993</v>
      </c>
      <c r="F30" s="266">
        <v>3993</v>
      </c>
      <c r="G30" s="266">
        <v>3993</v>
      </c>
      <c r="H30" s="266">
        <v>3993</v>
      </c>
      <c r="I30" s="266">
        <v>3993</v>
      </c>
      <c r="J30" s="266">
        <v>3993</v>
      </c>
      <c r="K30" s="266">
        <v>3993</v>
      </c>
      <c r="L30" s="266">
        <v>3993</v>
      </c>
      <c r="M30" s="266">
        <v>3993</v>
      </c>
      <c r="N30" s="266">
        <v>3993</v>
      </c>
      <c r="O30" s="268">
        <f>Össz.önkor.mérleg.!I17</f>
        <v>118862</v>
      </c>
      <c r="P30" s="35"/>
    </row>
    <row r="31" spans="1:256" s="32" customFormat="1" ht="15.75" customHeight="1" x14ac:dyDescent="0.25">
      <c r="A31" s="21" t="s">
        <v>565</v>
      </c>
      <c r="B31" s="32" t="s">
        <v>479</v>
      </c>
      <c r="C31" s="266">
        <f t="shared" si="4"/>
        <v>29731.916666666668</v>
      </c>
      <c r="D31" s="266">
        <v>22360</v>
      </c>
      <c r="E31" s="266">
        <v>22360</v>
      </c>
      <c r="F31" s="266">
        <v>22360</v>
      </c>
      <c r="G31" s="266">
        <v>22360</v>
      </c>
      <c r="H31" s="266">
        <v>22360</v>
      </c>
      <c r="I31" s="266">
        <v>22360</v>
      </c>
      <c r="J31" s="266">
        <v>22360</v>
      </c>
      <c r="K31" s="266">
        <v>22360</v>
      </c>
      <c r="L31" s="266">
        <v>22360</v>
      </c>
      <c r="M31" s="266">
        <v>22360</v>
      </c>
      <c r="N31" s="266">
        <v>22360</v>
      </c>
      <c r="O31" s="268">
        <f>Össz.önkor.mérleg.!I18</f>
        <v>356783</v>
      </c>
      <c r="P31" s="35"/>
    </row>
    <row r="32" spans="1:256" s="32" customFormat="1" ht="15" customHeight="1" x14ac:dyDescent="0.25">
      <c r="A32" s="21" t="s">
        <v>585</v>
      </c>
      <c r="B32" s="32" t="s">
        <v>673</v>
      </c>
      <c r="C32" s="266">
        <f t="shared" si="4"/>
        <v>17944.083333333332</v>
      </c>
      <c r="D32" s="266">
        <v>7087</v>
      </c>
      <c r="E32" s="266">
        <v>7091</v>
      </c>
      <c r="F32" s="266">
        <v>7091</v>
      </c>
      <c r="G32" s="266">
        <v>7091</v>
      </c>
      <c r="H32" s="266">
        <v>7091</v>
      </c>
      <c r="I32" s="266">
        <v>7091</v>
      </c>
      <c r="J32" s="266">
        <v>7091</v>
      </c>
      <c r="K32" s="266">
        <v>7091</v>
      </c>
      <c r="L32" s="266">
        <v>7091</v>
      </c>
      <c r="M32" s="266">
        <v>7091</v>
      </c>
      <c r="N32" s="266">
        <v>7091</v>
      </c>
      <c r="O32" s="268">
        <f>Össz.önkor.mérleg.!I20+Össz.önkor.mérleg.!I21</f>
        <v>215329</v>
      </c>
      <c r="P32" s="35"/>
    </row>
    <row r="33" spans="1:16" s="33" customFormat="1" ht="15.75" customHeight="1" x14ac:dyDescent="0.25">
      <c r="A33" s="21" t="s">
        <v>586</v>
      </c>
      <c r="B33" s="983" t="s">
        <v>646</v>
      </c>
      <c r="C33" s="981">
        <f>SUM(C25:C32)</f>
        <v>272269.25</v>
      </c>
      <c r="D33" s="981">
        <f>SUM(D25:D32)</f>
        <v>206778</v>
      </c>
      <c r="E33" s="981">
        <f t="shared" ref="E33:N33" si="5">SUM(E25:E32)</f>
        <v>206792</v>
      </c>
      <c r="F33" s="981">
        <f t="shared" si="5"/>
        <v>206792</v>
      </c>
      <c r="G33" s="981">
        <f t="shared" si="5"/>
        <v>206792</v>
      </c>
      <c r="H33" s="981">
        <f t="shared" si="5"/>
        <v>206792</v>
      </c>
      <c r="I33" s="981">
        <f t="shared" si="5"/>
        <v>206792</v>
      </c>
      <c r="J33" s="981">
        <f t="shared" si="5"/>
        <v>206792</v>
      </c>
      <c r="K33" s="981">
        <f t="shared" si="5"/>
        <v>206792</v>
      </c>
      <c r="L33" s="981">
        <f t="shared" si="5"/>
        <v>206792</v>
      </c>
      <c r="M33" s="981">
        <f t="shared" si="5"/>
        <v>206792</v>
      </c>
      <c r="N33" s="981">
        <f t="shared" si="5"/>
        <v>206792</v>
      </c>
      <c r="O33" s="982">
        <f>SUM(O25:O32)</f>
        <v>3338172</v>
      </c>
      <c r="P33" s="627"/>
    </row>
    <row r="34" spans="1:16" s="33" customFormat="1" ht="15" customHeight="1" x14ac:dyDescent="0.25">
      <c r="A34" s="21" t="s">
        <v>587</v>
      </c>
      <c r="B34" s="33" t="s">
        <v>647</v>
      </c>
      <c r="C34" s="267">
        <f t="shared" ref="C34:C39" si="6">O34/12</f>
        <v>136493.91666666666</v>
      </c>
      <c r="D34" s="267">
        <v>167754</v>
      </c>
      <c r="E34" s="267">
        <v>167757</v>
      </c>
      <c r="F34" s="267">
        <v>167757</v>
      </c>
      <c r="G34" s="267">
        <v>167757</v>
      </c>
      <c r="H34" s="267">
        <v>167757</v>
      </c>
      <c r="I34" s="267">
        <v>167757</v>
      </c>
      <c r="J34" s="267">
        <v>167757</v>
      </c>
      <c r="K34" s="267">
        <v>167757</v>
      </c>
      <c r="L34" s="267">
        <v>167757</v>
      </c>
      <c r="M34" s="267">
        <v>167757</v>
      </c>
      <c r="N34" s="267">
        <v>167757</v>
      </c>
      <c r="O34" s="269">
        <f>Össz.önkor.mérleg.!I27</f>
        <v>1637927</v>
      </c>
      <c r="P34" s="627"/>
    </row>
    <row r="35" spans="1:16" s="33" customFormat="1" ht="15" customHeight="1" x14ac:dyDescent="0.25">
      <c r="A35" s="21" t="s">
        <v>588</v>
      </c>
      <c r="B35" s="33" t="s">
        <v>497</v>
      </c>
      <c r="C35" s="267">
        <f t="shared" si="6"/>
        <v>912.5</v>
      </c>
      <c r="D35" s="267">
        <v>837</v>
      </c>
      <c r="E35" s="267">
        <v>833</v>
      </c>
      <c r="F35" s="267">
        <v>833</v>
      </c>
      <c r="G35" s="267">
        <v>833</v>
      </c>
      <c r="H35" s="267">
        <v>833</v>
      </c>
      <c r="I35" s="267">
        <v>833</v>
      </c>
      <c r="J35" s="267">
        <v>833</v>
      </c>
      <c r="K35" s="267">
        <v>833</v>
      </c>
      <c r="L35" s="267">
        <v>833</v>
      </c>
      <c r="M35" s="267">
        <v>833</v>
      </c>
      <c r="N35" s="267">
        <v>833</v>
      </c>
      <c r="O35" s="269">
        <f>Össz.önkor.mérleg.!I28</f>
        <v>10950</v>
      </c>
      <c r="P35" s="627"/>
    </row>
    <row r="36" spans="1:16" s="33" customFormat="1" ht="15.75" customHeight="1" x14ac:dyDescent="0.25">
      <c r="A36" s="21" t="s">
        <v>589</v>
      </c>
      <c r="B36" s="33" t="s">
        <v>480</v>
      </c>
      <c r="C36" s="267">
        <f t="shared" si="6"/>
        <v>0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9">
        <f>Össz.önkor.mérleg.!I29</f>
        <v>0</v>
      </c>
    </row>
    <row r="37" spans="1:16" s="33" customFormat="1" ht="15.75" customHeight="1" x14ac:dyDescent="0.25">
      <c r="A37" s="21" t="s">
        <v>590</v>
      </c>
      <c r="B37" s="32" t="s">
        <v>671</v>
      </c>
      <c r="C37" s="267">
        <f t="shared" si="6"/>
        <v>50670.75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9">
        <f>Össz.önkor.mérleg.!I30</f>
        <v>608049</v>
      </c>
    </row>
    <row r="38" spans="1:16" s="33" customFormat="1" ht="16.5" customHeight="1" x14ac:dyDescent="0.25">
      <c r="A38" s="21" t="s">
        <v>591</v>
      </c>
      <c r="B38" s="32" t="s">
        <v>672</v>
      </c>
      <c r="C38" s="267">
        <f t="shared" si="6"/>
        <v>6788.333333333333</v>
      </c>
      <c r="D38" s="267">
        <v>8272</v>
      </c>
      <c r="E38" s="267">
        <v>8276</v>
      </c>
      <c r="F38" s="267">
        <v>8276</v>
      </c>
      <c r="G38" s="267">
        <v>8276</v>
      </c>
      <c r="H38" s="267">
        <v>8276</v>
      </c>
      <c r="I38" s="267">
        <v>8276</v>
      </c>
      <c r="J38" s="267">
        <v>8276</v>
      </c>
      <c r="K38" s="267">
        <v>8276</v>
      </c>
      <c r="L38" s="267">
        <v>8276</v>
      </c>
      <c r="M38" s="267">
        <v>8276</v>
      </c>
      <c r="N38" s="267">
        <v>8276</v>
      </c>
      <c r="O38" s="269">
        <f>Össz.önkor.mérleg.!I32</f>
        <v>81460</v>
      </c>
      <c r="P38" s="627"/>
    </row>
    <row r="39" spans="1:16" s="33" customFormat="1" ht="15" customHeight="1" x14ac:dyDescent="0.25">
      <c r="A39" s="21" t="s">
        <v>592</v>
      </c>
      <c r="B39" s="32" t="s">
        <v>674</v>
      </c>
      <c r="C39" s="267">
        <f t="shared" si="6"/>
        <v>12738.75</v>
      </c>
      <c r="D39" s="267">
        <v>12915</v>
      </c>
      <c r="E39" s="267">
        <v>12913</v>
      </c>
      <c r="F39" s="267">
        <v>12913</v>
      </c>
      <c r="G39" s="267">
        <v>12913</v>
      </c>
      <c r="H39" s="267">
        <v>12913</v>
      </c>
      <c r="I39" s="267">
        <v>12913</v>
      </c>
      <c r="J39" s="267">
        <v>12913</v>
      </c>
      <c r="K39" s="267">
        <v>12913</v>
      </c>
      <c r="L39" s="267">
        <v>12913</v>
      </c>
      <c r="M39" s="267">
        <v>12913</v>
      </c>
      <c r="N39" s="267">
        <v>12913</v>
      </c>
      <c r="O39" s="269">
        <f>Össz.önkor.mérleg.!I33</f>
        <v>152865</v>
      </c>
      <c r="P39" s="627"/>
    </row>
    <row r="40" spans="1:16" s="38" customFormat="1" ht="15" customHeight="1" x14ac:dyDescent="0.25">
      <c r="A40" s="21" t="s">
        <v>593</v>
      </c>
      <c r="B40" s="790" t="s">
        <v>675</v>
      </c>
      <c r="C40" s="791">
        <f t="shared" ref="C40:O40" si="7">SUM(C34:C39)</f>
        <v>207604.25</v>
      </c>
      <c r="D40" s="791">
        <f t="shared" si="7"/>
        <v>189778</v>
      </c>
      <c r="E40" s="791">
        <f t="shared" si="7"/>
        <v>189779</v>
      </c>
      <c r="F40" s="791">
        <f t="shared" si="7"/>
        <v>189779</v>
      </c>
      <c r="G40" s="791">
        <f t="shared" si="7"/>
        <v>189779</v>
      </c>
      <c r="H40" s="791">
        <f t="shared" si="7"/>
        <v>189779</v>
      </c>
      <c r="I40" s="791">
        <f t="shared" si="7"/>
        <v>189779</v>
      </c>
      <c r="J40" s="791">
        <f t="shared" si="7"/>
        <v>189779</v>
      </c>
      <c r="K40" s="791">
        <f t="shared" si="7"/>
        <v>189779</v>
      </c>
      <c r="L40" s="791">
        <f t="shared" si="7"/>
        <v>189779</v>
      </c>
      <c r="M40" s="791">
        <f t="shared" si="7"/>
        <v>189779</v>
      </c>
      <c r="N40" s="791">
        <f t="shared" si="7"/>
        <v>189779</v>
      </c>
      <c r="O40" s="791">
        <f t="shared" si="7"/>
        <v>2491251</v>
      </c>
      <c r="P40" s="37"/>
    </row>
    <row r="41" spans="1:16" s="38" customFormat="1" ht="15" customHeight="1" x14ac:dyDescent="0.25">
      <c r="A41" s="21" t="s">
        <v>648</v>
      </c>
      <c r="B41" s="977" t="s">
        <v>1118</v>
      </c>
      <c r="C41" s="978">
        <f>O41/12</f>
        <v>2865.5</v>
      </c>
      <c r="D41" s="978">
        <v>2261</v>
      </c>
      <c r="E41" s="978">
        <v>2257</v>
      </c>
      <c r="F41" s="978">
        <v>2257</v>
      </c>
      <c r="G41" s="978">
        <v>2257</v>
      </c>
      <c r="H41" s="978">
        <v>2257</v>
      </c>
      <c r="I41" s="978">
        <v>2257</v>
      </c>
      <c r="J41" s="978">
        <v>2257</v>
      </c>
      <c r="K41" s="978">
        <v>2257</v>
      </c>
      <c r="L41" s="978">
        <v>2257</v>
      </c>
      <c r="M41" s="978">
        <v>2257</v>
      </c>
      <c r="N41" s="978">
        <v>2257</v>
      </c>
      <c r="O41" s="976">
        <f>Össz.önkor.mérleg.!I47</f>
        <v>34386</v>
      </c>
      <c r="P41" s="37"/>
    </row>
    <row r="42" spans="1:16" s="32" customFormat="1" ht="15.75" customHeight="1" x14ac:dyDescent="0.25">
      <c r="A42" s="21" t="s">
        <v>649</v>
      </c>
      <c r="B42" s="975" t="s">
        <v>1117</v>
      </c>
      <c r="C42" s="266">
        <f>SUM(C41)</f>
        <v>2865.5</v>
      </c>
      <c r="D42" s="266">
        <f>SUM(D41)</f>
        <v>2261</v>
      </c>
      <c r="E42" s="266">
        <f t="shared" ref="E42:N42" si="8">SUM(E41)</f>
        <v>2257</v>
      </c>
      <c r="F42" s="266">
        <f t="shared" si="8"/>
        <v>2257</v>
      </c>
      <c r="G42" s="266">
        <f t="shared" si="8"/>
        <v>2257</v>
      </c>
      <c r="H42" s="266">
        <f t="shared" si="8"/>
        <v>2257</v>
      </c>
      <c r="I42" s="266">
        <f t="shared" si="8"/>
        <v>2257</v>
      </c>
      <c r="J42" s="266">
        <f t="shared" si="8"/>
        <v>2257</v>
      </c>
      <c r="K42" s="266">
        <f t="shared" si="8"/>
        <v>2257</v>
      </c>
      <c r="L42" s="266">
        <f t="shared" si="8"/>
        <v>2257</v>
      </c>
      <c r="M42" s="266">
        <f t="shared" si="8"/>
        <v>2257</v>
      </c>
      <c r="N42" s="266">
        <f t="shared" si="8"/>
        <v>2257</v>
      </c>
      <c r="O42" s="268">
        <f>SUM(C42:N42)</f>
        <v>27696.5</v>
      </c>
    </row>
    <row r="43" spans="1:16" s="34" customFormat="1" ht="16.5" customHeight="1" x14ac:dyDescent="0.25">
      <c r="A43" s="21" t="s">
        <v>650</v>
      </c>
      <c r="B43" s="794" t="s">
        <v>678</v>
      </c>
      <c r="C43" s="795">
        <f t="shared" ref="C43:N43" si="9">C40+C33+C42</f>
        <v>482739</v>
      </c>
      <c r="D43" s="795">
        <f t="shared" si="9"/>
        <v>398817</v>
      </c>
      <c r="E43" s="795">
        <f t="shared" si="9"/>
        <v>398828</v>
      </c>
      <c r="F43" s="795">
        <f t="shared" si="9"/>
        <v>398828</v>
      </c>
      <c r="G43" s="795">
        <f t="shared" si="9"/>
        <v>398828</v>
      </c>
      <c r="H43" s="795">
        <f t="shared" si="9"/>
        <v>398828</v>
      </c>
      <c r="I43" s="795">
        <f t="shared" si="9"/>
        <v>398828</v>
      </c>
      <c r="J43" s="795">
        <f t="shared" si="9"/>
        <v>398828</v>
      </c>
      <c r="K43" s="795">
        <f t="shared" si="9"/>
        <v>398828</v>
      </c>
      <c r="L43" s="795">
        <f t="shared" si="9"/>
        <v>398828</v>
      </c>
      <c r="M43" s="795">
        <f t="shared" si="9"/>
        <v>398828</v>
      </c>
      <c r="N43" s="795">
        <f t="shared" si="9"/>
        <v>398828</v>
      </c>
      <c r="O43" s="796">
        <f>SUM(C43:N43)</f>
        <v>4869836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P110"/>
  <sheetViews>
    <sheetView zoomScale="90" zoomScaleNormal="90" workbookViewId="0">
      <pane xSplit="2" ySplit="9" topLeftCell="C95" activePane="bottomRight" state="frozen"/>
      <selection activeCell="B65" sqref="B65"/>
      <selection pane="topRight" activeCell="B65" sqref="B65"/>
      <selection pane="bottomLeft" activeCell="B65" sqref="B65"/>
      <selection pane="bottomRight" sqref="A1:AF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8" width="4.7109375" style="17" customWidth="1"/>
    <col min="9" max="9" width="5.42578125" style="17" customWidth="1"/>
    <col min="10" max="11" width="4" style="17" customWidth="1"/>
    <col min="12" max="12" width="5.85546875" style="17" customWidth="1"/>
    <col min="13" max="13" width="5.7109375" style="17" customWidth="1"/>
    <col min="14" max="14" width="4" style="17" customWidth="1"/>
    <col min="15" max="15" width="5.7109375" style="17" customWidth="1"/>
    <col min="16" max="16" width="7.28515625" style="17" customWidth="1"/>
    <col min="17" max="17" width="6.7109375" style="17" customWidth="1"/>
    <col min="18" max="18" width="5.140625" style="17" customWidth="1"/>
    <col min="19" max="19" width="5.7109375" style="17" customWidth="1"/>
    <col min="20" max="21" width="6.7109375" style="17" customWidth="1"/>
    <col min="22" max="22" width="6.42578125" style="17" customWidth="1"/>
    <col min="23" max="23" width="6.7109375" style="17" customWidth="1"/>
    <col min="24" max="26" width="6.85546875" style="17" customWidth="1"/>
    <col min="27" max="27" width="6.5703125" style="17" customWidth="1"/>
    <col min="28" max="30" width="7.140625" style="17" customWidth="1"/>
    <col min="31" max="31" width="6" style="17" customWidth="1"/>
    <col min="32" max="32" width="7.5703125" style="17" customWidth="1"/>
    <col min="33" max="16384" width="9.140625" style="16"/>
  </cols>
  <sheetData>
    <row r="1" spans="1:33" ht="15.75" customHeight="1" x14ac:dyDescent="0.25">
      <c r="A1" s="1374" t="s">
        <v>1318</v>
      </c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  <c r="N1" s="1374"/>
      <c r="O1" s="1374"/>
      <c r="P1" s="1374"/>
      <c r="Q1" s="1374"/>
      <c r="R1" s="1374"/>
      <c r="S1" s="1374"/>
      <c r="T1" s="1374"/>
      <c r="U1" s="1374"/>
      <c r="V1" s="1374"/>
      <c r="W1" s="1374"/>
      <c r="X1" s="1374"/>
      <c r="Y1" s="1374"/>
      <c r="Z1" s="1374"/>
      <c r="AA1" s="1374"/>
      <c r="AB1" s="1374"/>
      <c r="AC1" s="1374"/>
      <c r="AD1" s="1374"/>
      <c r="AE1" s="1374"/>
      <c r="AF1" s="1374"/>
    </row>
    <row r="2" spans="1:33" ht="15.75" customHeight="1" x14ac:dyDescent="0.25">
      <c r="A2" s="1375" t="s">
        <v>54</v>
      </c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  <c r="T2" s="1375"/>
      <c r="U2" s="1375"/>
      <c r="V2" s="1375"/>
      <c r="W2" s="1375"/>
      <c r="X2" s="1375"/>
      <c r="Y2" s="1375"/>
      <c r="Z2" s="1375"/>
      <c r="AA2" s="1375"/>
      <c r="AB2" s="1375"/>
      <c r="AC2" s="1375"/>
      <c r="AD2" s="1375"/>
      <c r="AE2" s="1375"/>
      <c r="AF2" s="1375"/>
    </row>
    <row r="3" spans="1:33" ht="15.75" customHeight="1" x14ac:dyDescent="0.25">
      <c r="A3" s="1375" t="s">
        <v>1087</v>
      </c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</row>
    <row r="4" spans="1:33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 t="s">
        <v>679</v>
      </c>
    </row>
    <row r="5" spans="1:33" ht="27.75" customHeight="1" x14ac:dyDescent="0.25">
      <c r="A5" s="1378" t="s">
        <v>70</v>
      </c>
      <c r="B5" s="42" t="s">
        <v>57</v>
      </c>
      <c r="C5" s="1376" t="s">
        <v>58</v>
      </c>
      <c r="D5" s="1376"/>
      <c r="E5" s="1376"/>
      <c r="F5" s="1376" t="s">
        <v>59</v>
      </c>
      <c r="G5" s="1376"/>
      <c r="H5" s="1376"/>
      <c r="I5" s="1376"/>
      <c r="J5" s="1376" t="s">
        <v>60</v>
      </c>
      <c r="K5" s="1376"/>
      <c r="L5" s="1376"/>
      <c r="M5" s="1376"/>
      <c r="N5" s="1379" t="s">
        <v>484</v>
      </c>
      <c r="O5" s="1379"/>
      <c r="P5" s="1376" t="s">
        <v>485</v>
      </c>
      <c r="Q5" s="1376"/>
      <c r="R5" s="1376" t="s">
        <v>486</v>
      </c>
      <c r="S5" s="1376"/>
      <c r="T5" s="1377" t="s">
        <v>613</v>
      </c>
      <c r="U5" s="1377"/>
      <c r="V5" s="1377"/>
      <c r="W5" s="1377"/>
      <c r="X5" s="1376" t="s">
        <v>624</v>
      </c>
      <c r="Y5" s="1376"/>
      <c r="Z5" s="1376"/>
      <c r="AA5" s="1376"/>
      <c r="AB5" s="1376" t="s">
        <v>625</v>
      </c>
      <c r="AC5" s="1376"/>
      <c r="AD5" s="1376"/>
      <c r="AE5" s="1376"/>
      <c r="AF5" s="1376"/>
    </row>
    <row r="6" spans="1:33" s="4" customFormat="1" ht="30.75" customHeight="1" x14ac:dyDescent="0.2">
      <c r="A6" s="1378"/>
      <c r="B6" s="1347" t="s">
        <v>680</v>
      </c>
      <c r="C6" s="1382" t="s">
        <v>681</v>
      </c>
      <c r="D6" s="1382"/>
      <c r="E6" s="1382"/>
      <c r="F6" s="1382"/>
      <c r="G6" s="1382"/>
      <c r="H6" s="1382"/>
      <c r="I6" s="1382"/>
      <c r="J6" s="1382" t="s">
        <v>682</v>
      </c>
      <c r="K6" s="1382"/>
      <c r="L6" s="1382"/>
      <c r="M6" s="1382"/>
      <c r="N6" s="1382"/>
      <c r="O6" s="1382"/>
      <c r="P6" s="1383" t="s">
        <v>683</v>
      </c>
      <c r="Q6" s="1383"/>
      <c r="R6" s="1383"/>
      <c r="S6" s="1383"/>
      <c r="T6" s="1383" t="s">
        <v>548</v>
      </c>
      <c r="U6" s="1383"/>
      <c r="V6" s="1383"/>
      <c r="W6" s="1383"/>
      <c r="X6" s="1383"/>
      <c r="Y6" s="1383"/>
      <c r="Z6" s="1383"/>
      <c r="AA6" s="1383"/>
      <c r="AB6" s="1230" t="s">
        <v>684</v>
      </c>
      <c r="AC6" s="1230"/>
      <c r="AD6" s="1230"/>
      <c r="AE6" s="1230"/>
      <c r="AF6" s="1230"/>
    </row>
    <row r="7" spans="1:33" s="4" customFormat="1" ht="40.5" customHeight="1" x14ac:dyDescent="0.2">
      <c r="A7" s="1378"/>
      <c r="B7" s="1347"/>
      <c r="C7" s="1380" t="s">
        <v>685</v>
      </c>
      <c r="D7" s="1380"/>
      <c r="E7" s="1380"/>
      <c r="F7" s="1173" t="s">
        <v>686</v>
      </c>
      <c r="G7" s="1173"/>
      <c r="H7" s="1173"/>
      <c r="I7" s="1173"/>
      <c r="J7" s="1380" t="s">
        <v>687</v>
      </c>
      <c r="K7" s="1380"/>
      <c r="L7" s="1380"/>
      <c r="M7" s="1380"/>
      <c r="N7" s="1380" t="s">
        <v>686</v>
      </c>
      <c r="O7" s="1380"/>
      <c r="P7" s="1384" t="s">
        <v>687</v>
      </c>
      <c r="Q7" s="1384"/>
      <c r="R7" s="1380" t="s">
        <v>686</v>
      </c>
      <c r="S7" s="1380"/>
      <c r="T7" s="1384" t="s">
        <v>687</v>
      </c>
      <c r="U7" s="1384"/>
      <c r="V7" s="1384"/>
      <c r="W7" s="1384"/>
      <c r="X7" s="1384" t="s">
        <v>688</v>
      </c>
      <c r="Y7" s="1384"/>
      <c r="Z7" s="1384"/>
      <c r="AA7" s="1384"/>
      <c r="AB7" s="1230"/>
      <c r="AC7" s="1230"/>
      <c r="AD7" s="1230"/>
      <c r="AE7" s="1230"/>
      <c r="AF7" s="1230"/>
    </row>
    <row r="8" spans="1:33" s="4" customFormat="1" ht="27" customHeight="1" x14ac:dyDescent="0.2">
      <c r="A8" s="1378"/>
      <c r="B8" s="1347"/>
      <c r="C8" s="43">
        <v>42736</v>
      </c>
      <c r="D8" s="43">
        <v>43009</v>
      </c>
      <c r="E8" s="43">
        <v>43100</v>
      </c>
      <c r="F8" s="43">
        <v>42736</v>
      </c>
      <c r="G8" s="43">
        <v>43252</v>
      </c>
      <c r="H8" s="43">
        <v>43374</v>
      </c>
      <c r="I8" s="43">
        <v>43100</v>
      </c>
      <c r="J8" s="43">
        <v>42736</v>
      </c>
      <c r="K8" s="43">
        <v>43221</v>
      </c>
      <c r="L8" s="43">
        <v>43374</v>
      </c>
      <c r="M8" s="43">
        <v>43100</v>
      </c>
      <c r="N8" s="43">
        <v>42736</v>
      </c>
      <c r="O8" s="43">
        <v>43100</v>
      </c>
      <c r="P8" s="43">
        <v>42736</v>
      </c>
      <c r="Q8" s="43">
        <v>43100</v>
      </c>
      <c r="R8" s="43">
        <v>42736</v>
      </c>
      <c r="S8" s="43">
        <v>43100</v>
      </c>
      <c r="T8" s="43">
        <v>42736</v>
      </c>
      <c r="U8" s="43">
        <v>43221</v>
      </c>
      <c r="V8" s="43">
        <v>43009</v>
      </c>
      <c r="W8" s="43">
        <v>43100</v>
      </c>
      <c r="X8" s="43">
        <v>42736</v>
      </c>
      <c r="Y8" s="43">
        <v>43252</v>
      </c>
      <c r="Z8" s="43">
        <v>43374</v>
      </c>
      <c r="AA8" s="43">
        <v>43100</v>
      </c>
      <c r="AB8" s="43">
        <v>42736</v>
      </c>
      <c r="AC8" s="43">
        <v>43221</v>
      </c>
      <c r="AD8" s="43">
        <v>43252</v>
      </c>
      <c r="AE8" s="860">
        <v>43009</v>
      </c>
      <c r="AF8" s="43">
        <v>43100</v>
      </c>
    </row>
    <row r="9" spans="1:33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3" s="4" customFormat="1" ht="13.9" customHeight="1" x14ac:dyDescent="0.25">
      <c r="A10" s="44" t="s">
        <v>493</v>
      </c>
      <c r="B10" s="46" t="s">
        <v>87</v>
      </c>
      <c r="C10" s="1095" t="s">
        <v>311</v>
      </c>
      <c r="D10" s="1097">
        <v>0</v>
      </c>
      <c r="E10" s="1095">
        <f>D10+C10</f>
        <v>4</v>
      </c>
      <c r="F10" s="1097" t="s">
        <v>512</v>
      </c>
      <c r="G10" s="1097" t="s">
        <v>512</v>
      </c>
      <c r="H10" s="1095">
        <v>-2</v>
      </c>
      <c r="I10" s="1095">
        <f>H10+G10+F10</f>
        <v>0</v>
      </c>
      <c r="J10" s="47">
        <v>2</v>
      </c>
      <c r="K10" s="47"/>
      <c r="L10" s="47"/>
      <c r="M10" s="47" t="s">
        <v>689</v>
      </c>
      <c r="N10" s="47"/>
      <c r="O10" s="47"/>
      <c r="P10" s="47" t="s">
        <v>582</v>
      </c>
      <c r="Q10" s="47" t="s">
        <v>582</v>
      </c>
      <c r="R10" s="47" t="s">
        <v>582</v>
      </c>
      <c r="S10" s="47" t="s">
        <v>582</v>
      </c>
      <c r="T10" s="1095">
        <f>C10+J10</f>
        <v>6</v>
      </c>
      <c r="U10" s="1095"/>
      <c r="V10" s="1095">
        <v>0</v>
      </c>
      <c r="W10" s="1095">
        <f>E10+M10</f>
        <v>6</v>
      </c>
      <c r="X10" s="1095">
        <v>1</v>
      </c>
      <c r="Y10" s="1095">
        <v>1</v>
      </c>
      <c r="Z10" s="1095">
        <v>-2</v>
      </c>
      <c r="AA10" s="1095">
        <f>Z10+Y10+X10</f>
        <v>0</v>
      </c>
      <c r="AB10" s="1098">
        <f>C10+F10/2+N10/2+R10/2+J10+P10</f>
        <v>6.5</v>
      </c>
      <c r="AC10" s="512"/>
      <c r="AD10" s="512">
        <f>G10/2</f>
        <v>0.5</v>
      </c>
      <c r="AE10" s="512">
        <f>H10/2</f>
        <v>-1</v>
      </c>
      <c r="AF10" s="512">
        <f>AB10+AE10+AD10</f>
        <v>6</v>
      </c>
    </row>
    <row r="11" spans="1:33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s="17" customFormat="1" ht="14.45" customHeight="1" x14ac:dyDescent="0.25">
      <c r="A12" s="5" t="s">
        <v>501</v>
      </c>
      <c r="B12" s="49" t="s">
        <v>690</v>
      </c>
      <c r="C12" s="50">
        <v>3</v>
      </c>
      <c r="D12" s="50"/>
      <c r="E12" s="51">
        <f>C12+D12</f>
        <v>3</v>
      </c>
      <c r="F12" s="51"/>
      <c r="G12" s="51"/>
      <c r="H12" s="51"/>
      <c r="I12" s="51"/>
      <c r="J12" s="51">
        <v>36</v>
      </c>
      <c r="K12" s="1004">
        <v>2</v>
      </c>
      <c r="L12" s="1004">
        <v>-2</v>
      </c>
      <c r="M12" s="51">
        <f>J12</f>
        <v>36</v>
      </c>
      <c r="N12" s="51"/>
      <c r="O12" s="51"/>
      <c r="P12" s="51">
        <v>0</v>
      </c>
      <c r="Q12" s="51">
        <v>0</v>
      </c>
      <c r="R12" s="51">
        <v>0</v>
      </c>
      <c r="S12" s="51">
        <v>0</v>
      </c>
      <c r="T12" s="51">
        <f>C12+J12+P12</f>
        <v>39</v>
      </c>
      <c r="U12" s="51">
        <v>2</v>
      </c>
      <c r="V12" s="861">
        <v>-2</v>
      </c>
      <c r="W12" s="51">
        <f>SUM(T12:V12)</f>
        <v>39</v>
      </c>
      <c r="X12" s="51">
        <v>0</v>
      </c>
      <c r="Y12" s="51"/>
      <c r="Z12" s="51"/>
      <c r="AA12" s="51">
        <v>0</v>
      </c>
      <c r="AB12" s="53">
        <f>T12</f>
        <v>39</v>
      </c>
      <c r="AC12" s="979">
        <v>2</v>
      </c>
      <c r="AD12" s="53"/>
      <c r="AE12" s="979">
        <f>V12</f>
        <v>-2</v>
      </c>
      <c r="AF12" s="53">
        <f>AB12+AC12+AE12</f>
        <v>39</v>
      </c>
    </row>
    <row r="13" spans="1:33" s="17" customFormat="1" ht="14.45" customHeight="1" x14ac:dyDescent="0.25">
      <c r="A13" s="5"/>
    </row>
    <row r="14" spans="1:33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3" s="17" customFormat="1" ht="14.45" customHeight="1" x14ac:dyDescent="0.25">
      <c r="A15" s="5" t="s">
        <v>502</v>
      </c>
      <c r="B15" s="59" t="s">
        <v>691</v>
      </c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1:33" s="17" customFormat="1" ht="14.45" customHeight="1" x14ac:dyDescent="0.25">
      <c r="A16" s="5" t="s">
        <v>503</v>
      </c>
      <c r="B16" s="64" t="s">
        <v>692</v>
      </c>
      <c r="C16" s="973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1003">
        <v>22.5</v>
      </c>
      <c r="Q16" s="1004">
        <f t="shared" ref="Q16:Q23" si="0">P16</f>
        <v>22.5</v>
      </c>
      <c r="R16" s="1003"/>
      <c r="S16" s="1003"/>
      <c r="T16" s="1004">
        <f t="shared" ref="T16:T24" si="1">C16+J16+P16</f>
        <v>22.5</v>
      </c>
      <c r="U16" s="1004"/>
      <c r="V16" s="1004"/>
      <c r="W16" s="1004">
        <f t="shared" ref="W16:W23" si="2">E16+M16+Q16</f>
        <v>22.5</v>
      </c>
      <c r="X16" s="1004"/>
      <c r="Y16" s="1004"/>
      <c r="Z16" s="1004"/>
      <c r="AA16" s="1004"/>
      <c r="AB16" s="1004">
        <f t="shared" ref="AB16:AB21" si="3">T16+X16/2</f>
        <v>22.5</v>
      </c>
      <c r="AC16" s="1004"/>
      <c r="AD16" s="1004"/>
      <c r="AE16" s="1004"/>
      <c r="AF16" s="1004">
        <f t="shared" ref="AF16:AF23" si="4">W16+AA16/2</f>
        <v>22.5</v>
      </c>
      <c r="AG16" s="974"/>
    </row>
    <row r="17" spans="1:33" s="17" customFormat="1" ht="14.45" customHeight="1" x14ac:dyDescent="0.25">
      <c r="A17" s="5" t="s">
        <v>504</v>
      </c>
      <c r="B17" s="64" t="s">
        <v>982</v>
      </c>
      <c r="C17" s="65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>
        <v>20</v>
      </c>
      <c r="Q17" s="51">
        <f t="shared" si="0"/>
        <v>20</v>
      </c>
      <c r="R17" s="66"/>
      <c r="S17" s="66"/>
      <c r="T17" s="51">
        <f t="shared" si="1"/>
        <v>20</v>
      </c>
      <c r="U17" s="51"/>
      <c r="V17" s="51"/>
      <c r="W17" s="51">
        <f t="shared" si="2"/>
        <v>20</v>
      </c>
      <c r="X17" s="51"/>
      <c r="Y17" s="51"/>
      <c r="Z17" s="51"/>
      <c r="AA17" s="51"/>
      <c r="AB17" s="51">
        <f t="shared" si="3"/>
        <v>20</v>
      </c>
      <c r="AC17" s="51"/>
      <c r="AD17" s="51"/>
      <c r="AE17" s="51"/>
      <c r="AF17" s="51">
        <f t="shared" si="4"/>
        <v>20</v>
      </c>
    </row>
    <row r="18" spans="1:33" s="17" customFormat="1" ht="14.45" customHeight="1" x14ac:dyDescent="0.25">
      <c r="A18" s="5" t="s">
        <v>505</v>
      </c>
      <c r="B18" s="64" t="s">
        <v>983</v>
      </c>
      <c r="C18" s="65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>
        <v>9</v>
      </c>
      <c r="Q18" s="51">
        <f t="shared" si="0"/>
        <v>9</v>
      </c>
      <c r="R18" s="66"/>
      <c r="S18" s="66"/>
      <c r="T18" s="51">
        <f t="shared" si="1"/>
        <v>9</v>
      </c>
      <c r="U18" s="51"/>
      <c r="V18" s="51"/>
      <c r="W18" s="51">
        <f t="shared" si="2"/>
        <v>9</v>
      </c>
      <c r="X18" s="51"/>
      <c r="Y18" s="51"/>
      <c r="Z18" s="51"/>
      <c r="AA18" s="51"/>
      <c r="AB18" s="51">
        <f t="shared" si="3"/>
        <v>9</v>
      </c>
      <c r="AC18" s="51"/>
      <c r="AD18" s="51"/>
      <c r="AE18" s="51"/>
      <c r="AF18" s="51">
        <f t="shared" si="4"/>
        <v>9</v>
      </c>
    </row>
    <row r="19" spans="1:33" s="17" customFormat="1" ht="14.45" customHeight="1" x14ac:dyDescent="0.25">
      <c r="A19" s="5" t="s">
        <v>506</v>
      </c>
      <c r="B19" s="64" t="s">
        <v>984</v>
      </c>
      <c r="C19" s="6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>
        <v>11</v>
      </c>
      <c r="Q19" s="51">
        <f t="shared" si="0"/>
        <v>11</v>
      </c>
      <c r="R19" s="66"/>
      <c r="S19" s="66"/>
      <c r="T19" s="51">
        <f t="shared" si="1"/>
        <v>11</v>
      </c>
      <c r="U19" s="51"/>
      <c r="V19" s="51"/>
      <c r="W19" s="51">
        <f t="shared" si="2"/>
        <v>11</v>
      </c>
      <c r="X19" s="51"/>
      <c r="Y19" s="51"/>
      <c r="Z19" s="51"/>
      <c r="AA19" s="51"/>
      <c r="AB19" s="51">
        <f t="shared" si="3"/>
        <v>11</v>
      </c>
      <c r="AC19" s="51"/>
      <c r="AD19" s="51"/>
      <c r="AE19" s="51"/>
      <c r="AF19" s="51">
        <f t="shared" si="4"/>
        <v>11</v>
      </c>
    </row>
    <row r="20" spans="1:33" s="17" customFormat="1" ht="14.45" customHeight="1" x14ac:dyDescent="0.25">
      <c r="A20" s="5" t="s">
        <v>507</v>
      </c>
      <c r="B20" s="64" t="s">
        <v>693</v>
      </c>
      <c r="C20" s="65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>
        <v>1</v>
      </c>
      <c r="Q20" s="51">
        <f t="shared" si="0"/>
        <v>1</v>
      </c>
      <c r="R20" s="66"/>
      <c r="S20" s="66"/>
      <c r="T20" s="51">
        <f t="shared" si="1"/>
        <v>1</v>
      </c>
      <c r="U20" s="51"/>
      <c r="V20" s="51"/>
      <c r="W20" s="51">
        <f t="shared" si="2"/>
        <v>1</v>
      </c>
      <c r="X20" s="51"/>
      <c r="Y20" s="51"/>
      <c r="Z20" s="51"/>
      <c r="AA20" s="51"/>
      <c r="AB20" s="51">
        <f t="shared" si="3"/>
        <v>1</v>
      </c>
      <c r="AC20" s="51"/>
      <c r="AD20" s="51"/>
      <c r="AE20" s="51"/>
      <c r="AF20" s="51">
        <f t="shared" si="4"/>
        <v>1</v>
      </c>
    </row>
    <row r="21" spans="1:33" s="17" customFormat="1" ht="14.45" customHeight="1" x14ac:dyDescent="0.25">
      <c r="A21" s="5" t="s">
        <v>508</v>
      </c>
      <c r="B21" s="64" t="s">
        <v>694</v>
      </c>
      <c r="C21" s="65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>
        <v>5</v>
      </c>
      <c r="Q21" s="51">
        <f t="shared" si="0"/>
        <v>5</v>
      </c>
      <c r="R21" s="66"/>
      <c r="S21" s="66"/>
      <c r="T21" s="51">
        <f t="shared" si="1"/>
        <v>5</v>
      </c>
      <c r="U21" s="51"/>
      <c r="V21" s="51"/>
      <c r="W21" s="51">
        <f t="shared" si="2"/>
        <v>5</v>
      </c>
      <c r="X21" s="51"/>
      <c r="Y21" s="51"/>
      <c r="Z21" s="51"/>
      <c r="AA21" s="51"/>
      <c r="AB21" s="51">
        <f t="shared" si="3"/>
        <v>5</v>
      </c>
      <c r="AC21" s="51"/>
      <c r="AD21" s="51"/>
      <c r="AE21" s="51"/>
      <c r="AF21" s="51">
        <f t="shared" si="4"/>
        <v>5</v>
      </c>
    </row>
    <row r="22" spans="1:33" s="17" customFormat="1" ht="14.45" customHeight="1" x14ac:dyDescent="0.25">
      <c r="A22" s="5" t="s">
        <v>550</v>
      </c>
      <c r="B22" s="64" t="s">
        <v>964</v>
      </c>
      <c r="C22" s="65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>
        <v>3</v>
      </c>
      <c r="Q22" s="51">
        <f t="shared" si="0"/>
        <v>3</v>
      </c>
      <c r="R22" s="66"/>
      <c r="S22" s="66"/>
      <c r="T22" s="51">
        <f t="shared" si="1"/>
        <v>3</v>
      </c>
      <c r="U22" s="51"/>
      <c r="V22" s="51"/>
      <c r="W22" s="51">
        <f t="shared" si="2"/>
        <v>3</v>
      </c>
      <c r="X22" s="51"/>
      <c r="Y22" s="51"/>
      <c r="Z22" s="51"/>
      <c r="AA22" s="51"/>
      <c r="AB22" s="51">
        <v>3</v>
      </c>
      <c r="AC22" s="51"/>
      <c r="AD22" s="51"/>
      <c r="AE22" s="51"/>
      <c r="AF22" s="51">
        <f t="shared" si="4"/>
        <v>3</v>
      </c>
    </row>
    <row r="23" spans="1:33" s="17" customFormat="1" ht="14.45" customHeight="1" x14ac:dyDescent="0.25">
      <c r="A23" s="5" t="s">
        <v>551</v>
      </c>
      <c r="B23" s="64" t="s">
        <v>696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>
        <v>4</v>
      </c>
      <c r="Q23" s="51">
        <f t="shared" si="0"/>
        <v>4</v>
      </c>
      <c r="R23" s="66"/>
      <c r="S23" s="66"/>
      <c r="T23" s="51">
        <f t="shared" si="1"/>
        <v>4</v>
      </c>
      <c r="U23" s="51"/>
      <c r="V23" s="51"/>
      <c r="W23" s="51">
        <f t="shared" si="2"/>
        <v>4</v>
      </c>
      <c r="X23" s="51"/>
      <c r="Y23" s="51"/>
      <c r="Z23" s="51"/>
      <c r="AA23" s="51"/>
      <c r="AB23" s="51">
        <f>T23+X23/2</f>
        <v>4</v>
      </c>
      <c r="AC23" s="51"/>
      <c r="AD23" s="51"/>
      <c r="AE23" s="51"/>
      <c r="AF23" s="51">
        <f t="shared" si="4"/>
        <v>4</v>
      </c>
    </row>
    <row r="24" spans="1:33" s="17" customFormat="1" ht="14.45" customHeight="1" x14ac:dyDescent="0.25">
      <c r="A24" s="5" t="s">
        <v>552</v>
      </c>
      <c r="B24" s="49" t="s">
        <v>697</v>
      </c>
      <c r="C24" s="50"/>
      <c r="D24" s="50"/>
      <c r="E24" s="67"/>
      <c r="F24" s="67"/>
      <c r="G24" s="67"/>
      <c r="H24" s="67"/>
      <c r="I24" s="67"/>
      <c r="J24" s="67"/>
      <c r="K24" s="67"/>
      <c r="L24" s="67"/>
      <c r="M24" s="66"/>
      <c r="N24" s="66"/>
      <c r="O24" s="66"/>
      <c r="P24" s="51">
        <f>SUM(P16:P23)</f>
        <v>75.5</v>
      </c>
      <c r="Q24" s="51">
        <f>SUM(Q16:Q23)</f>
        <v>75.5</v>
      </c>
      <c r="R24" s="51">
        <v>0</v>
      </c>
      <c r="S24" s="51">
        <v>0</v>
      </c>
      <c r="T24" s="51">
        <f t="shared" si="1"/>
        <v>75.5</v>
      </c>
      <c r="U24" s="51"/>
      <c r="V24" s="51"/>
      <c r="W24" s="51">
        <f>SUM(W16:W23)</f>
        <v>75.5</v>
      </c>
      <c r="X24" s="51">
        <v>0</v>
      </c>
      <c r="Y24" s="51"/>
      <c r="Z24" s="51"/>
      <c r="AA24" s="51">
        <v>0</v>
      </c>
      <c r="AB24" s="272">
        <f>T24+X24/2</f>
        <v>75.5</v>
      </c>
      <c r="AC24" s="272"/>
      <c r="AD24" s="272"/>
      <c r="AE24" s="861">
        <v>0</v>
      </c>
      <c r="AF24" s="51">
        <f>SUM(AF16:AF23)</f>
        <v>75.5</v>
      </c>
      <c r="AG24" s="809"/>
    </row>
    <row r="25" spans="1:33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3"/>
      <c r="J25" s="133"/>
      <c r="K25" s="133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33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56"/>
      <c r="J26" s="56"/>
      <c r="K26" s="56"/>
      <c r="L26" s="56"/>
      <c r="M26" s="74"/>
      <c r="N26" s="74"/>
      <c r="O26" s="74"/>
      <c r="P26" s="74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33" s="17" customFormat="1" ht="27" customHeight="1" x14ac:dyDescent="0.25">
      <c r="A27" s="5" t="s">
        <v>553</v>
      </c>
      <c r="B27" s="59" t="s">
        <v>698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61"/>
    </row>
    <row r="28" spans="1:33" s="17" customFormat="1" ht="14.45" customHeight="1" x14ac:dyDescent="0.25">
      <c r="A28" s="5" t="s">
        <v>554</v>
      </c>
      <c r="B28" s="64" t="s">
        <v>615</v>
      </c>
      <c r="C28" s="65"/>
      <c r="D28" s="65"/>
      <c r="E28" s="66"/>
      <c r="F28" s="66"/>
      <c r="G28" s="66"/>
      <c r="H28" s="66"/>
      <c r="I28" s="66"/>
      <c r="J28" s="66"/>
      <c r="K28" s="66"/>
      <c r="L28" s="66"/>
      <c r="M28" s="51"/>
      <c r="N28" s="51"/>
      <c r="O28" s="51"/>
      <c r="P28" s="66">
        <v>7</v>
      </c>
      <c r="Q28" s="51">
        <f t="shared" ref="Q28:Q38" si="5">P28</f>
        <v>7</v>
      </c>
      <c r="R28" s="66"/>
      <c r="S28" s="66"/>
      <c r="T28" s="51">
        <f>C28+J28+P28</f>
        <v>7</v>
      </c>
      <c r="U28" s="51"/>
      <c r="V28" s="51"/>
      <c r="W28" s="51">
        <f t="shared" ref="W28:W40" si="6">E28+M28+Q28</f>
        <v>7</v>
      </c>
      <c r="X28" s="51"/>
      <c r="Y28" s="51"/>
      <c r="Z28" s="51"/>
      <c r="AA28" s="51"/>
      <c r="AB28" s="51">
        <f t="shared" ref="AB28:AB40" si="7">C28+J28+P28+R28/2</f>
        <v>7</v>
      </c>
      <c r="AC28" s="51"/>
      <c r="AD28" s="51"/>
      <c r="AE28" s="66"/>
      <c r="AF28" s="51">
        <f t="shared" ref="AF28:AF40" si="8">E28+M28+Q28+S28/2</f>
        <v>7</v>
      </c>
      <c r="AG28" s="29"/>
    </row>
    <row r="29" spans="1:33" s="17" customFormat="1" ht="14.45" customHeight="1" x14ac:dyDescent="0.25">
      <c r="A29" s="5" t="s">
        <v>555</v>
      </c>
      <c r="B29" s="64" t="s">
        <v>699</v>
      </c>
      <c r="C29" s="65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>
        <v>1</v>
      </c>
      <c r="Q29" s="51">
        <f t="shared" si="5"/>
        <v>1</v>
      </c>
      <c r="R29" s="66"/>
      <c r="S29" s="66"/>
      <c r="T29" s="51">
        <f>C29+J29+P29</f>
        <v>1</v>
      </c>
      <c r="U29" s="51"/>
      <c r="V29" s="51"/>
      <c r="W29" s="51">
        <f t="shared" si="6"/>
        <v>1</v>
      </c>
      <c r="X29" s="51"/>
      <c r="Y29" s="51"/>
      <c r="Z29" s="51"/>
      <c r="AA29" s="51"/>
      <c r="AB29" s="51">
        <f t="shared" si="7"/>
        <v>1</v>
      </c>
      <c r="AC29" s="51"/>
      <c r="AD29" s="51"/>
      <c r="AE29" s="66"/>
      <c r="AF29" s="51">
        <f t="shared" si="8"/>
        <v>1</v>
      </c>
      <c r="AG29" s="29"/>
    </row>
    <row r="30" spans="1:33" s="17" customFormat="1" ht="28.5" customHeight="1" x14ac:dyDescent="0.25">
      <c r="A30" s="5" t="s">
        <v>556</v>
      </c>
      <c r="B30" s="64" t="s">
        <v>1043</v>
      </c>
      <c r="C30" s="65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>
        <v>31</v>
      </c>
      <c r="Q30" s="51">
        <f t="shared" si="5"/>
        <v>31</v>
      </c>
      <c r="R30" s="66">
        <v>1</v>
      </c>
      <c r="S30" s="66">
        <v>1</v>
      </c>
      <c r="T30" s="51">
        <v>31</v>
      </c>
      <c r="U30" s="51"/>
      <c r="V30" s="51"/>
      <c r="W30" s="51">
        <f t="shared" si="6"/>
        <v>31</v>
      </c>
      <c r="X30" s="1004">
        <f>R30+N30+F30</f>
        <v>1</v>
      </c>
      <c r="Y30" s="1004"/>
      <c r="Z30" s="1004"/>
      <c r="AA30" s="1004">
        <f>I30+O30+S30</f>
        <v>1</v>
      </c>
      <c r="AB30" s="1004">
        <f t="shared" si="7"/>
        <v>31.5</v>
      </c>
      <c r="AC30" s="1004"/>
      <c r="AD30" s="1004"/>
      <c r="AE30" s="1003"/>
      <c r="AF30" s="1004">
        <f t="shared" si="8"/>
        <v>31.5</v>
      </c>
      <c r="AG30" s="29"/>
    </row>
    <row r="31" spans="1:33" s="17" customFormat="1" ht="14.45" customHeight="1" x14ac:dyDescent="0.25">
      <c r="A31" s="5" t="s">
        <v>558</v>
      </c>
      <c r="B31" s="64" t="s">
        <v>700</v>
      </c>
      <c r="C31" s="65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>
        <v>2</v>
      </c>
      <c r="Q31" s="51">
        <f t="shared" si="5"/>
        <v>2</v>
      </c>
      <c r="R31" s="66"/>
      <c r="S31" s="66"/>
      <c r="T31" s="51">
        <f>C31+J31+P31</f>
        <v>2</v>
      </c>
      <c r="U31" s="51"/>
      <c r="V31" s="51"/>
      <c r="W31" s="51">
        <f t="shared" si="6"/>
        <v>2</v>
      </c>
      <c r="X31" s="51"/>
      <c r="Y31" s="51"/>
      <c r="Z31" s="51"/>
      <c r="AA31" s="51"/>
      <c r="AB31" s="51">
        <f t="shared" si="7"/>
        <v>2</v>
      </c>
      <c r="AC31" s="51"/>
      <c r="AD31" s="51"/>
      <c r="AE31" s="66"/>
      <c r="AF31" s="51">
        <f t="shared" si="8"/>
        <v>2</v>
      </c>
      <c r="AG31" s="29"/>
    </row>
    <row r="32" spans="1:33" s="17" customFormat="1" ht="14.45" customHeight="1" x14ac:dyDescent="0.25">
      <c r="A32" s="5" t="s">
        <v>559</v>
      </c>
      <c r="B32" s="64" t="s">
        <v>715</v>
      </c>
      <c r="C32" s="65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>
        <v>2</v>
      </c>
      <c r="Q32" s="51">
        <f t="shared" si="5"/>
        <v>2</v>
      </c>
      <c r="R32" s="66"/>
      <c r="S32" s="66"/>
      <c r="T32" s="51">
        <f>C32+J32+P32</f>
        <v>2</v>
      </c>
      <c r="U32" s="51"/>
      <c r="V32" s="51"/>
      <c r="W32" s="51">
        <f t="shared" si="6"/>
        <v>2</v>
      </c>
      <c r="X32" s="51"/>
      <c r="Y32" s="51"/>
      <c r="Z32" s="51"/>
      <c r="AA32" s="51"/>
      <c r="AB32" s="51">
        <f t="shared" si="7"/>
        <v>2</v>
      </c>
      <c r="AC32" s="51"/>
      <c r="AD32" s="51"/>
      <c r="AE32" s="51"/>
      <c r="AF32" s="51">
        <f t="shared" si="8"/>
        <v>2</v>
      </c>
      <c r="AG32" s="29"/>
    </row>
    <row r="33" spans="1:35" s="17" customFormat="1" ht="14.45" customHeight="1" x14ac:dyDescent="0.25">
      <c r="A33" s="5" t="s">
        <v>560</v>
      </c>
      <c r="B33" s="64" t="s">
        <v>701</v>
      </c>
      <c r="C33" s="65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>
        <v>2</v>
      </c>
      <c r="Q33" s="51">
        <f t="shared" si="5"/>
        <v>2</v>
      </c>
      <c r="R33" s="66"/>
      <c r="S33" s="66"/>
      <c r="T33" s="51">
        <v>2</v>
      </c>
      <c r="U33" s="51"/>
      <c r="V33" s="51"/>
      <c r="W33" s="51">
        <f t="shared" si="6"/>
        <v>2</v>
      </c>
      <c r="X33" s="51"/>
      <c r="Y33" s="51"/>
      <c r="Z33" s="51"/>
      <c r="AA33" s="51"/>
      <c r="AB33" s="51">
        <f t="shared" si="7"/>
        <v>2</v>
      </c>
      <c r="AC33" s="51"/>
      <c r="AD33" s="51"/>
      <c r="AE33" s="66"/>
      <c r="AF33" s="51">
        <f t="shared" si="8"/>
        <v>2</v>
      </c>
      <c r="AG33" s="29"/>
      <c r="AI33" s="587"/>
    </row>
    <row r="34" spans="1:35" s="17" customFormat="1" ht="14.45" customHeight="1" x14ac:dyDescent="0.25">
      <c r="A34" s="5" t="s">
        <v>561</v>
      </c>
      <c r="B34" s="64" t="s">
        <v>702</v>
      </c>
      <c r="C34" s="65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>
        <v>5</v>
      </c>
      <c r="Q34" s="51">
        <f t="shared" si="5"/>
        <v>5</v>
      </c>
      <c r="R34" s="66"/>
      <c r="S34" s="66"/>
      <c r="T34" s="51">
        <f>P34+R34</f>
        <v>5</v>
      </c>
      <c r="U34" s="51"/>
      <c r="V34" s="51"/>
      <c r="W34" s="51">
        <f t="shared" si="6"/>
        <v>5</v>
      </c>
      <c r="X34" s="51"/>
      <c r="Y34" s="51"/>
      <c r="Z34" s="51"/>
      <c r="AA34" s="51"/>
      <c r="AB34" s="51">
        <f t="shared" si="7"/>
        <v>5</v>
      </c>
      <c r="AC34" s="51"/>
      <c r="AD34" s="51"/>
      <c r="AE34" s="66"/>
      <c r="AF34" s="51">
        <f t="shared" si="8"/>
        <v>5</v>
      </c>
      <c r="AG34" s="29"/>
    </row>
    <row r="35" spans="1:35" s="17" customFormat="1" ht="14.45" customHeight="1" x14ac:dyDescent="0.25">
      <c r="A35" s="5" t="s">
        <v>562</v>
      </c>
      <c r="B35" s="64" t="s">
        <v>695</v>
      </c>
      <c r="C35" s="65"/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>
        <v>4</v>
      </c>
      <c r="Q35" s="51">
        <f t="shared" si="5"/>
        <v>4</v>
      </c>
      <c r="R35" s="66"/>
      <c r="S35" s="66"/>
      <c r="T35" s="51">
        <v>4</v>
      </c>
      <c r="U35" s="51"/>
      <c r="V35" s="51"/>
      <c r="W35" s="51">
        <f t="shared" si="6"/>
        <v>4</v>
      </c>
      <c r="X35" s="51"/>
      <c r="Y35" s="51"/>
      <c r="Z35" s="51"/>
      <c r="AA35" s="51"/>
      <c r="AB35" s="51">
        <f t="shared" si="7"/>
        <v>4</v>
      </c>
      <c r="AC35" s="51"/>
      <c r="AD35" s="51"/>
      <c r="AE35" s="66"/>
      <c r="AF35" s="51">
        <f t="shared" si="8"/>
        <v>4</v>
      </c>
    </row>
    <row r="36" spans="1:35" s="17" customFormat="1" ht="14.45" customHeight="1" x14ac:dyDescent="0.25">
      <c r="A36" s="5" t="s">
        <v>563</v>
      </c>
      <c r="B36" s="64" t="s">
        <v>532</v>
      </c>
      <c r="C36" s="65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>
        <v>1</v>
      </c>
      <c r="Q36" s="51">
        <f t="shared" si="5"/>
        <v>1</v>
      </c>
      <c r="R36" s="66"/>
      <c r="S36" s="66"/>
      <c r="T36" s="51">
        <v>1</v>
      </c>
      <c r="U36" s="51"/>
      <c r="V36" s="51"/>
      <c r="W36" s="51">
        <f t="shared" si="6"/>
        <v>1</v>
      </c>
      <c r="X36" s="51"/>
      <c r="Y36" s="51"/>
      <c r="Z36" s="51"/>
      <c r="AA36" s="51"/>
      <c r="AB36" s="51">
        <f t="shared" si="7"/>
        <v>1</v>
      </c>
      <c r="AC36" s="51"/>
      <c r="AD36" s="51"/>
      <c r="AE36" s="66"/>
      <c r="AF36" s="51">
        <f t="shared" si="8"/>
        <v>1</v>
      </c>
    </row>
    <row r="37" spans="1:35" s="17" customFormat="1" ht="14.45" customHeight="1" x14ac:dyDescent="0.25">
      <c r="A37" s="5" t="s">
        <v>564</v>
      </c>
      <c r="B37" s="64" t="s">
        <v>533</v>
      </c>
      <c r="C37" s="65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>
        <v>4</v>
      </c>
      <c r="Q37" s="51">
        <f t="shared" si="5"/>
        <v>4</v>
      </c>
      <c r="R37" s="66"/>
      <c r="S37" s="66"/>
      <c r="T37" s="51">
        <v>4</v>
      </c>
      <c r="U37" s="51"/>
      <c r="V37" s="51"/>
      <c r="W37" s="51">
        <f t="shared" si="6"/>
        <v>4</v>
      </c>
      <c r="X37" s="51"/>
      <c r="Y37" s="51"/>
      <c r="Z37" s="51"/>
      <c r="AA37" s="51"/>
      <c r="AB37" s="51">
        <f t="shared" si="7"/>
        <v>4</v>
      </c>
      <c r="AC37" s="51"/>
      <c r="AD37" s="51"/>
      <c r="AE37" s="66"/>
      <c r="AF37" s="51">
        <f t="shared" si="8"/>
        <v>4</v>
      </c>
    </row>
    <row r="38" spans="1:35" s="17" customFormat="1" ht="14.25" customHeight="1" x14ac:dyDescent="0.25">
      <c r="A38" s="5" t="s">
        <v>565</v>
      </c>
      <c r="B38" s="64" t="s">
        <v>534</v>
      </c>
      <c r="C38" s="65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>
        <v>4</v>
      </c>
      <c r="Q38" s="51">
        <f t="shared" si="5"/>
        <v>4</v>
      </c>
      <c r="R38" s="66"/>
      <c r="S38" s="66"/>
      <c r="T38" s="51">
        <v>4</v>
      </c>
      <c r="U38" s="51"/>
      <c r="V38" s="51"/>
      <c r="W38" s="51">
        <f t="shared" si="6"/>
        <v>4</v>
      </c>
      <c r="X38" s="51"/>
      <c r="Y38" s="51"/>
      <c r="Z38" s="51"/>
      <c r="AA38" s="51"/>
      <c r="AB38" s="51">
        <f t="shared" si="7"/>
        <v>4</v>
      </c>
      <c r="AC38" s="51"/>
      <c r="AD38" s="51"/>
      <c r="AE38" s="66"/>
      <c r="AF38" s="51">
        <f t="shared" si="8"/>
        <v>4</v>
      </c>
    </row>
    <row r="39" spans="1:35" s="17" customFormat="1" ht="14.25" customHeight="1" x14ac:dyDescent="0.25">
      <c r="A39" s="5" t="s">
        <v>585</v>
      </c>
      <c r="B39" s="64" t="s">
        <v>992</v>
      </c>
      <c r="C39" s="65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>
        <v>1</v>
      </c>
      <c r="Q39" s="51">
        <f>SUM(P39:P39)</f>
        <v>1</v>
      </c>
      <c r="R39" s="66"/>
      <c r="S39" s="66"/>
      <c r="T39" s="51">
        <f>P39</f>
        <v>1</v>
      </c>
      <c r="U39" s="51"/>
      <c r="V39" s="51"/>
      <c r="W39" s="51">
        <f t="shared" si="6"/>
        <v>1</v>
      </c>
      <c r="X39" s="51"/>
      <c r="Y39" s="51"/>
      <c r="Z39" s="51"/>
      <c r="AA39" s="51"/>
      <c r="AB39" s="51">
        <f t="shared" si="7"/>
        <v>1</v>
      </c>
      <c r="AC39" s="51"/>
      <c r="AD39" s="51"/>
      <c r="AE39" s="66"/>
      <c r="AF39" s="51">
        <f t="shared" si="8"/>
        <v>1</v>
      </c>
    </row>
    <row r="40" spans="1:35" s="17" customFormat="1" ht="14.25" customHeight="1" x14ac:dyDescent="0.25">
      <c r="A40" s="5" t="s">
        <v>586</v>
      </c>
      <c r="B40" s="49" t="s">
        <v>703</v>
      </c>
      <c r="C40" s="50"/>
      <c r="D40" s="50"/>
      <c r="E40" s="67"/>
      <c r="F40" s="67"/>
      <c r="G40" s="67"/>
      <c r="H40" s="67"/>
      <c r="I40" s="67"/>
      <c r="J40" s="67"/>
      <c r="K40" s="67"/>
      <c r="L40" s="67"/>
      <c r="M40" s="51"/>
      <c r="N40" s="51"/>
      <c r="O40" s="51"/>
      <c r="P40" s="51">
        <f>SUM(P28:P39)</f>
        <v>64</v>
      </c>
      <c r="Q40" s="51">
        <f>SUM(Q28:Q39)</f>
        <v>64</v>
      </c>
      <c r="R40" s="51">
        <f>SUM(R28:R38)</f>
        <v>1</v>
      </c>
      <c r="S40" s="51">
        <f>SUM(S28:S38)</f>
        <v>1</v>
      </c>
      <c r="T40" s="51">
        <f>SUM(T28:T39)</f>
        <v>64</v>
      </c>
      <c r="U40" s="51"/>
      <c r="V40" s="51"/>
      <c r="W40" s="51">
        <f t="shared" si="6"/>
        <v>64</v>
      </c>
      <c r="X40" s="51">
        <f>R40+N40+F40</f>
        <v>1</v>
      </c>
      <c r="Y40" s="51"/>
      <c r="Z40" s="51"/>
      <c r="AA40" s="51">
        <f>I40+O40+S40</f>
        <v>1</v>
      </c>
      <c r="AB40" s="272">
        <f t="shared" si="7"/>
        <v>64.5</v>
      </c>
      <c r="AC40" s="272"/>
      <c r="AD40" s="272"/>
      <c r="AE40" s="51">
        <v>0</v>
      </c>
      <c r="AF40" s="51">
        <f t="shared" si="8"/>
        <v>64.5</v>
      </c>
    </row>
    <row r="41" spans="1:35" ht="12.75" hidden="1" customHeight="1" x14ac:dyDescent="0.25">
      <c r="A41" s="5" t="s">
        <v>587</v>
      </c>
      <c r="B41" s="68"/>
      <c r="C41" s="69"/>
      <c r="D41" s="69"/>
      <c r="E41" s="70"/>
      <c r="F41" s="70"/>
      <c r="G41" s="70"/>
      <c r="H41" s="70"/>
      <c r="I41" s="70"/>
      <c r="J41" s="70"/>
      <c r="K41" s="70"/>
      <c r="L41" s="70"/>
      <c r="M41" s="71"/>
      <c r="N41" s="71"/>
      <c r="O41" s="71"/>
      <c r="P41" s="71"/>
      <c r="Q41" s="51">
        <f>P41</f>
        <v>0</v>
      </c>
      <c r="R41" s="71">
        <f>SUM(R28:R40)</f>
        <v>2</v>
      </c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7"/>
      <c r="AF41" s="588"/>
      <c r="AG41" s="511"/>
    </row>
    <row r="42" spans="1:35" s="32" customFormat="1" ht="14.25" hidden="1" customHeight="1" x14ac:dyDescent="0.25">
      <c r="A42" s="5" t="s">
        <v>588</v>
      </c>
      <c r="B42" s="59"/>
      <c r="C42" s="73"/>
      <c r="D42" s="73"/>
      <c r="E42" s="57"/>
      <c r="F42" s="57"/>
      <c r="G42" s="57"/>
      <c r="H42" s="57"/>
      <c r="I42" s="57"/>
      <c r="J42" s="57"/>
      <c r="K42" s="57"/>
      <c r="L42" s="57"/>
      <c r="M42" s="74"/>
      <c r="N42" s="74"/>
      <c r="O42" s="74"/>
      <c r="P42" s="74"/>
      <c r="Q42" s="57"/>
      <c r="R42" s="57"/>
      <c r="S42" s="57"/>
      <c r="T42" s="57"/>
      <c r="U42" s="57"/>
      <c r="V42" s="57"/>
      <c r="W42" s="74"/>
      <c r="X42" s="74"/>
      <c r="Y42" s="74"/>
      <c r="Z42" s="74"/>
      <c r="AA42" s="57"/>
      <c r="AB42" s="57"/>
      <c r="AC42" s="57"/>
      <c r="AD42" s="57"/>
      <c r="AE42" s="57"/>
      <c r="AF42" s="57"/>
    </row>
    <row r="43" spans="1:35" s="32" customFormat="1" ht="14.45" hidden="1" customHeight="1" x14ac:dyDescent="0.25">
      <c r="A43" s="5" t="s">
        <v>589</v>
      </c>
      <c r="B43" s="75"/>
      <c r="C43" s="76"/>
      <c r="D43" s="76"/>
      <c r="E43" s="51"/>
      <c r="F43" s="51"/>
      <c r="G43" s="51"/>
      <c r="H43" s="51"/>
      <c r="I43" s="51"/>
      <c r="J43" s="51"/>
      <c r="K43" s="51"/>
      <c r="L43" s="51"/>
      <c r="M43" s="66"/>
      <c r="N43" s="66"/>
      <c r="O43" s="66"/>
      <c r="P43" s="66"/>
      <c r="Q43" s="51"/>
      <c r="R43" s="51"/>
      <c r="S43" s="51"/>
      <c r="T43" s="51"/>
      <c r="U43" s="51"/>
      <c r="V43" s="51"/>
      <c r="W43" s="66"/>
      <c r="X43" s="66"/>
      <c r="Y43" s="66"/>
      <c r="Z43" s="66"/>
      <c r="AA43" s="51"/>
      <c r="AB43" s="51"/>
      <c r="AC43" s="51"/>
      <c r="AD43" s="51"/>
      <c r="AE43" s="51"/>
      <c r="AF43" s="51"/>
    </row>
    <row r="44" spans="1:35" s="32" customFormat="1" ht="14.25" hidden="1" customHeight="1" x14ac:dyDescent="0.25">
      <c r="A44" s="5" t="s">
        <v>590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51"/>
      <c r="AB44" s="51"/>
      <c r="AC44" s="51"/>
      <c r="AD44" s="51"/>
      <c r="AE44" s="51"/>
      <c r="AF44" s="51"/>
    </row>
    <row r="45" spans="1:35" s="32" customFormat="1" ht="14.25" hidden="1" customHeight="1" x14ac:dyDescent="0.25">
      <c r="A45" s="5" t="s">
        <v>591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51"/>
      <c r="AB45" s="51"/>
      <c r="AC45" s="51"/>
      <c r="AD45" s="51"/>
      <c r="AE45" s="51"/>
      <c r="AF45" s="51"/>
    </row>
    <row r="46" spans="1:35" s="32" customFormat="1" ht="14.25" hidden="1" customHeight="1" x14ac:dyDescent="0.25">
      <c r="A46" s="5" t="s">
        <v>592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51"/>
      <c r="AB46" s="51"/>
      <c r="AC46" s="51"/>
      <c r="AD46" s="51"/>
      <c r="AE46" s="51"/>
      <c r="AF46" s="51"/>
    </row>
    <row r="47" spans="1:35" s="32" customFormat="1" ht="14.25" hidden="1" customHeight="1" x14ac:dyDescent="0.25">
      <c r="A47" s="5" t="s">
        <v>593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51"/>
      <c r="AB47" s="51"/>
      <c r="AC47" s="51"/>
      <c r="AD47" s="51"/>
      <c r="AE47" s="51"/>
      <c r="AF47" s="51"/>
    </row>
    <row r="48" spans="1:35" s="32" customFormat="1" ht="14.25" hidden="1" customHeight="1" x14ac:dyDescent="0.25">
      <c r="A48" s="5" t="s">
        <v>648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51"/>
      <c r="AB48" s="51"/>
      <c r="AC48" s="51"/>
      <c r="AD48" s="51"/>
      <c r="AE48" s="51"/>
      <c r="AF48" s="51"/>
    </row>
    <row r="49" spans="1:32" s="32" customFormat="1" ht="14.25" hidden="1" customHeight="1" x14ac:dyDescent="0.25">
      <c r="A49" s="5" t="s">
        <v>649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51"/>
      <c r="AB49" s="51"/>
      <c r="AC49" s="51"/>
      <c r="AD49" s="51"/>
      <c r="AE49" s="51"/>
      <c r="AF49" s="51"/>
    </row>
    <row r="50" spans="1:32" s="32" customFormat="1" ht="14.25" hidden="1" customHeight="1" x14ac:dyDescent="0.25">
      <c r="A50" s="5" t="s">
        <v>650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51"/>
      <c r="AC50" s="51"/>
      <c r="AD50" s="51"/>
      <c r="AE50" s="66"/>
      <c r="AF50" s="51"/>
    </row>
    <row r="51" spans="1:32" s="32" customFormat="1" ht="14.25" hidden="1" customHeight="1" x14ac:dyDescent="0.25">
      <c r="A51" s="5" t="s">
        <v>651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51"/>
      <c r="AC51" s="51"/>
      <c r="AD51" s="51"/>
      <c r="AE51" s="66"/>
      <c r="AF51" s="51"/>
    </row>
    <row r="52" spans="1:32" s="32" customFormat="1" ht="14.25" hidden="1" customHeight="1" x14ac:dyDescent="0.25">
      <c r="A52" s="5" t="s">
        <v>121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51"/>
      <c r="AC52" s="51"/>
      <c r="AD52" s="51"/>
      <c r="AE52" s="66"/>
      <c r="AF52" s="51"/>
    </row>
    <row r="53" spans="1:32" s="32" customFormat="1" ht="14.25" hidden="1" customHeight="1" x14ac:dyDescent="0.25">
      <c r="A53" s="5" t="s">
        <v>676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51"/>
      <c r="AB53" s="51"/>
      <c r="AC53" s="51"/>
      <c r="AD53" s="51"/>
      <c r="AE53" s="51"/>
      <c r="AF53" s="51"/>
    </row>
    <row r="54" spans="1:32" s="32" customFormat="1" ht="14.25" hidden="1" customHeight="1" x14ac:dyDescent="0.25">
      <c r="A54" s="5" t="s">
        <v>677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51"/>
      <c r="AB54" s="51"/>
      <c r="AC54" s="51"/>
      <c r="AD54" s="51"/>
      <c r="AE54" s="51"/>
      <c r="AF54" s="51"/>
    </row>
    <row r="55" spans="1:32" s="32" customFormat="1" ht="14.25" hidden="1" customHeight="1" x14ac:dyDescent="0.25">
      <c r="A55" s="5" t="s">
        <v>124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51"/>
      <c r="AB55" s="51"/>
      <c r="AC55" s="51"/>
      <c r="AD55" s="51"/>
      <c r="AE55" s="51"/>
      <c r="AF55" s="51"/>
    </row>
    <row r="56" spans="1:32" s="32" customFormat="1" ht="14.25" hidden="1" customHeight="1" x14ac:dyDescent="0.25">
      <c r="A56" s="5" t="s">
        <v>125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51"/>
      <c r="AB56" s="51"/>
      <c r="AC56" s="51"/>
      <c r="AD56" s="51"/>
      <c r="AE56" s="51"/>
      <c r="AF56" s="51"/>
    </row>
    <row r="57" spans="1:32" s="32" customFormat="1" ht="14.25" hidden="1" customHeight="1" x14ac:dyDescent="0.25">
      <c r="A57" s="5" t="s">
        <v>126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51"/>
      <c r="AB57" s="51"/>
      <c r="AC57" s="51"/>
      <c r="AD57" s="51"/>
      <c r="AE57" s="51"/>
      <c r="AF57" s="51"/>
    </row>
    <row r="58" spans="1:32" s="32" customFormat="1" ht="14.25" hidden="1" customHeight="1" x14ac:dyDescent="0.25">
      <c r="A58" s="5" t="s">
        <v>129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51"/>
      <c r="AB58" s="51"/>
      <c r="AC58" s="51"/>
      <c r="AD58" s="51"/>
      <c r="AE58" s="51"/>
      <c r="AF58" s="51"/>
    </row>
    <row r="59" spans="1:32" s="32" customFormat="1" ht="14.25" hidden="1" customHeight="1" x14ac:dyDescent="0.25">
      <c r="A59" s="5" t="s">
        <v>132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51"/>
      <c r="AB59" s="51"/>
      <c r="AC59" s="51"/>
      <c r="AD59" s="51"/>
      <c r="AE59" s="51"/>
      <c r="AF59" s="51"/>
    </row>
    <row r="60" spans="1:32" s="32" customFormat="1" ht="14.45" hidden="1" customHeight="1" x14ac:dyDescent="0.25">
      <c r="A60" s="5" t="s">
        <v>133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51"/>
      <c r="AB60" s="51"/>
      <c r="AC60" s="51"/>
      <c r="AD60" s="51"/>
      <c r="AE60" s="51"/>
      <c r="AF60" s="51"/>
    </row>
    <row r="61" spans="1:32" s="32" customFormat="1" ht="14.45" hidden="1" customHeight="1" x14ac:dyDescent="0.25">
      <c r="A61" s="5" t="s">
        <v>134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51"/>
      <c r="AB61" s="51"/>
      <c r="AC61" s="51"/>
      <c r="AD61" s="51"/>
      <c r="AE61" s="51"/>
      <c r="AF61" s="51"/>
    </row>
    <row r="62" spans="1:32" s="32" customFormat="1" ht="14.45" hidden="1" customHeight="1" x14ac:dyDescent="0.25">
      <c r="A62" s="5" t="s">
        <v>135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51"/>
      <c r="AB62" s="51"/>
      <c r="AC62" s="51"/>
      <c r="AD62" s="51"/>
      <c r="AE62" s="51"/>
      <c r="AF62" s="51"/>
    </row>
    <row r="63" spans="1:32" s="32" customFormat="1" ht="14.45" hidden="1" customHeight="1" x14ac:dyDescent="0.25">
      <c r="A63" s="5" t="s">
        <v>138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51"/>
      <c r="AB63" s="51"/>
      <c r="AC63" s="51"/>
      <c r="AD63" s="51"/>
      <c r="AE63" s="51"/>
      <c r="AF63" s="51"/>
    </row>
    <row r="64" spans="1:32" s="32" customFormat="1" ht="14.45" hidden="1" customHeight="1" x14ac:dyDescent="0.25">
      <c r="A64" s="5" t="s">
        <v>141</v>
      </c>
      <c r="B64" s="49"/>
      <c r="C64" s="50"/>
      <c r="D64" s="50"/>
      <c r="E64" s="67"/>
      <c r="F64" s="67"/>
      <c r="G64" s="67"/>
      <c r="H64" s="67"/>
      <c r="I64" s="67"/>
      <c r="J64" s="67"/>
      <c r="K64" s="67"/>
      <c r="L64" s="67"/>
      <c r="M64" s="66"/>
      <c r="N64" s="66"/>
      <c r="O64" s="66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52"/>
      <c r="AD64" s="52"/>
      <c r="AE64" s="51"/>
      <c r="AF64" s="51"/>
    </row>
    <row r="65" spans="1:32" s="32" customFormat="1" ht="14.45" customHeight="1" x14ac:dyDescent="0.25">
      <c r="A65" s="5"/>
      <c r="B65" s="636"/>
      <c r="C65" s="637"/>
      <c r="D65" s="637"/>
      <c r="E65" s="133"/>
      <c r="F65" s="133"/>
      <c r="G65" s="133"/>
      <c r="H65" s="133"/>
      <c r="I65" s="133"/>
      <c r="J65" s="133"/>
      <c r="K65" s="133"/>
      <c r="L65" s="133"/>
      <c r="M65" s="638"/>
      <c r="N65" s="638"/>
      <c r="O65" s="638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639"/>
      <c r="AC65" s="639"/>
      <c r="AD65" s="639"/>
      <c r="AE65" s="134"/>
      <c r="AF65" s="134"/>
    </row>
    <row r="66" spans="1:32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56"/>
      <c r="J66" s="56"/>
      <c r="K66" s="56"/>
      <c r="L66" s="56"/>
      <c r="M66" s="74"/>
      <c r="N66" s="74"/>
      <c r="O66" s="74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275"/>
      <c r="AC66" s="275"/>
      <c r="AD66" s="275"/>
      <c r="AE66" s="57"/>
      <c r="AF66" s="57"/>
    </row>
    <row r="67" spans="1:32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56"/>
      <c r="J67" s="56"/>
      <c r="K67" s="56"/>
      <c r="L67" s="56"/>
      <c r="M67" s="74"/>
      <c r="N67" s="74"/>
      <c r="O67" s="74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275"/>
      <c r="AC67" s="275"/>
      <c r="AD67" s="275"/>
      <c r="AE67" s="57"/>
      <c r="AF67" s="57"/>
    </row>
    <row r="68" spans="1:32" s="32" customFormat="1" ht="14.45" customHeight="1" x14ac:dyDescent="0.25">
      <c r="A68" s="5" t="s">
        <v>587</v>
      </c>
      <c r="B68" s="34" t="s">
        <v>718</v>
      </c>
      <c r="C68" s="73"/>
      <c r="D68" s="73"/>
      <c r="E68" s="56"/>
      <c r="F68" s="56"/>
      <c r="G68" s="56"/>
      <c r="H68" s="56"/>
      <c r="I68" s="56"/>
      <c r="J68" s="56"/>
      <c r="K68" s="56"/>
      <c r="L68" s="56"/>
      <c r="M68" s="74"/>
      <c r="N68" s="74"/>
      <c r="O68" s="74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275"/>
      <c r="AC68" s="275"/>
      <c r="AD68" s="275"/>
      <c r="AE68" s="57"/>
      <c r="AF68" s="57"/>
    </row>
    <row r="69" spans="1:32" s="32" customFormat="1" ht="14.45" customHeight="1" x14ac:dyDescent="0.25">
      <c r="A69" s="5" t="s">
        <v>588</v>
      </c>
      <c r="B69" s="641" t="s">
        <v>719</v>
      </c>
      <c r="C69" s="277"/>
      <c r="D69" s="277"/>
      <c r="E69" s="278"/>
      <c r="F69" s="278"/>
      <c r="G69" s="278"/>
      <c r="H69" s="278"/>
      <c r="I69" s="278"/>
      <c r="J69" s="278"/>
      <c r="K69" s="278"/>
      <c r="L69" s="278"/>
      <c r="M69" s="279"/>
      <c r="N69" s="279"/>
      <c r="O69" s="279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640"/>
      <c r="AC69" s="640"/>
      <c r="AD69" s="640"/>
      <c r="AE69" s="640"/>
      <c r="AF69" s="640"/>
    </row>
    <row r="70" spans="1:32" s="32" customFormat="1" ht="14.45" customHeight="1" x14ac:dyDescent="0.25">
      <c r="A70" s="5" t="s">
        <v>589</v>
      </c>
      <c r="B70" s="635" t="s">
        <v>720</v>
      </c>
      <c r="C70" s="277"/>
      <c r="D70" s="277"/>
      <c r="E70" s="278"/>
      <c r="F70" s="278"/>
      <c r="G70" s="278"/>
      <c r="H70" s="278"/>
      <c r="I70" s="278"/>
      <c r="J70" s="278"/>
      <c r="K70" s="278"/>
      <c r="L70" s="278"/>
      <c r="M70" s="279"/>
      <c r="N70" s="279"/>
      <c r="O70" s="279"/>
      <c r="P70" s="280">
        <v>1</v>
      </c>
      <c r="Q70" s="280">
        <f t="shared" ref="Q70:Q78" si="9">P70</f>
        <v>1</v>
      </c>
      <c r="R70" s="280"/>
      <c r="S70" s="280"/>
      <c r="T70" s="280">
        <v>1</v>
      </c>
      <c r="U70" s="280"/>
      <c r="V70" s="280"/>
      <c r="W70" s="280">
        <f t="shared" ref="W70:W78" si="10">E70+M70+Q70</f>
        <v>1</v>
      </c>
      <c r="X70" s="280"/>
      <c r="Y70" s="280"/>
      <c r="Z70" s="280"/>
      <c r="AA70" s="280"/>
      <c r="AB70" s="640">
        <f t="shared" ref="AB70:AB78" si="11">T70+X70/2</f>
        <v>1</v>
      </c>
      <c r="AC70" s="640"/>
      <c r="AD70" s="640"/>
      <c r="AE70" s="640"/>
      <c r="AF70" s="640">
        <f t="shared" ref="AF70:AF78" si="12">W70+AA70/2</f>
        <v>1</v>
      </c>
    </row>
    <row r="71" spans="1:32" s="32" customFormat="1" ht="14.45" customHeight="1" x14ac:dyDescent="0.25">
      <c r="A71" s="5" t="s">
        <v>590</v>
      </c>
      <c r="B71" s="635" t="s">
        <v>721</v>
      </c>
      <c r="C71" s="277"/>
      <c r="D71" s="277"/>
      <c r="E71" s="278"/>
      <c r="F71" s="278"/>
      <c r="G71" s="278"/>
      <c r="H71" s="278"/>
      <c r="I71" s="278"/>
      <c r="J71" s="278"/>
      <c r="K71" s="278"/>
      <c r="L71" s="278"/>
      <c r="M71" s="279"/>
      <c r="N71" s="279"/>
      <c r="O71" s="279"/>
      <c r="P71" s="280">
        <v>1</v>
      </c>
      <c r="Q71" s="280">
        <f t="shared" si="9"/>
        <v>1</v>
      </c>
      <c r="R71" s="280"/>
      <c r="S71" s="280"/>
      <c r="T71" s="280">
        <v>1</v>
      </c>
      <c r="U71" s="280"/>
      <c r="V71" s="280"/>
      <c r="W71" s="280">
        <f t="shared" si="10"/>
        <v>1</v>
      </c>
      <c r="X71" s="280"/>
      <c r="Y71" s="280"/>
      <c r="Z71" s="280"/>
      <c r="AA71" s="280"/>
      <c r="AB71" s="640">
        <f t="shared" si="11"/>
        <v>1</v>
      </c>
      <c r="AC71" s="640"/>
      <c r="AD71" s="640"/>
      <c r="AE71" s="640"/>
      <c r="AF71" s="640">
        <f t="shared" si="12"/>
        <v>1</v>
      </c>
    </row>
    <row r="72" spans="1:32" s="32" customFormat="1" ht="14.45" customHeight="1" x14ac:dyDescent="0.25">
      <c r="A72" s="5" t="s">
        <v>591</v>
      </c>
      <c r="B72" s="635" t="s">
        <v>722</v>
      </c>
      <c r="C72" s="277"/>
      <c r="D72" s="277"/>
      <c r="E72" s="278"/>
      <c r="F72" s="278"/>
      <c r="G72" s="278"/>
      <c r="H72" s="278"/>
      <c r="I72" s="278"/>
      <c r="J72" s="278"/>
      <c r="K72" s="278"/>
      <c r="L72" s="278"/>
      <c r="M72" s="279"/>
      <c r="N72" s="279"/>
      <c r="O72" s="279"/>
      <c r="P72" s="280">
        <v>2</v>
      </c>
      <c r="Q72" s="280">
        <f t="shared" si="9"/>
        <v>2</v>
      </c>
      <c r="R72" s="280"/>
      <c r="S72" s="280"/>
      <c r="T72" s="280">
        <v>2</v>
      </c>
      <c r="U72" s="280"/>
      <c r="V72" s="280"/>
      <c r="W72" s="280">
        <f t="shared" si="10"/>
        <v>2</v>
      </c>
      <c r="X72" s="280"/>
      <c r="Y72" s="280"/>
      <c r="Z72" s="280"/>
      <c r="AA72" s="280"/>
      <c r="AB72" s="640">
        <f t="shared" si="11"/>
        <v>2</v>
      </c>
      <c r="AC72" s="640"/>
      <c r="AD72" s="640"/>
      <c r="AE72" s="640"/>
      <c r="AF72" s="640">
        <f t="shared" si="12"/>
        <v>2</v>
      </c>
    </row>
    <row r="73" spans="1:32" s="32" customFormat="1" ht="14.45" customHeight="1" x14ac:dyDescent="0.25">
      <c r="A73" s="5" t="s">
        <v>592</v>
      </c>
      <c r="B73" s="635" t="s">
        <v>723</v>
      </c>
      <c r="C73" s="277"/>
      <c r="D73" s="277"/>
      <c r="E73" s="278"/>
      <c r="F73" s="278"/>
      <c r="G73" s="278"/>
      <c r="H73" s="278"/>
      <c r="I73" s="278"/>
      <c r="J73" s="278"/>
      <c r="K73" s="278"/>
      <c r="L73" s="278"/>
      <c r="M73" s="279"/>
      <c r="N73" s="279"/>
      <c r="O73" s="279"/>
      <c r="P73" s="280">
        <v>1</v>
      </c>
      <c r="Q73" s="280">
        <f t="shared" si="9"/>
        <v>1</v>
      </c>
      <c r="R73" s="280"/>
      <c r="S73" s="280"/>
      <c r="T73" s="280">
        <v>1</v>
      </c>
      <c r="U73" s="280"/>
      <c r="V73" s="280"/>
      <c r="W73" s="280">
        <f t="shared" si="10"/>
        <v>1</v>
      </c>
      <c r="X73" s="280"/>
      <c r="Y73" s="280"/>
      <c r="Z73" s="280"/>
      <c r="AA73" s="280"/>
      <c r="AB73" s="640">
        <f t="shared" si="11"/>
        <v>1</v>
      </c>
      <c r="AC73" s="640"/>
      <c r="AD73" s="640"/>
      <c r="AE73" s="640"/>
      <c r="AF73" s="640">
        <f t="shared" si="12"/>
        <v>1</v>
      </c>
    </row>
    <row r="74" spans="1:32" s="32" customFormat="1" ht="14.45" customHeight="1" x14ac:dyDescent="0.25">
      <c r="A74" s="5" t="s">
        <v>593</v>
      </c>
      <c r="B74" s="635" t="s">
        <v>724</v>
      </c>
      <c r="C74" s="277"/>
      <c r="D74" s="277"/>
      <c r="E74" s="278"/>
      <c r="F74" s="278"/>
      <c r="G74" s="278"/>
      <c r="H74" s="278"/>
      <c r="I74" s="278"/>
      <c r="J74" s="278"/>
      <c r="K74" s="278"/>
      <c r="L74" s="278"/>
      <c r="M74" s="279"/>
      <c r="N74" s="279"/>
      <c r="O74" s="279"/>
      <c r="P74" s="280">
        <v>1</v>
      </c>
      <c r="Q74" s="280">
        <f t="shared" si="9"/>
        <v>1</v>
      </c>
      <c r="R74" s="280"/>
      <c r="S74" s="280"/>
      <c r="T74" s="280">
        <v>1</v>
      </c>
      <c r="U74" s="280"/>
      <c r="V74" s="280"/>
      <c r="W74" s="280">
        <f t="shared" si="10"/>
        <v>1</v>
      </c>
      <c r="X74" s="280"/>
      <c r="Y74" s="280"/>
      <c r="Z74" s="280"/>
      <c r="AA74" s="280"/>
      <c r="AB74" s="640">
        <f t="shared" si="11"/>
        <v>1</v>
      </c>
      <c r="AC74" s="640"/>
      <c r="AD74" s="640"/>
      <c r="AE74" s="640"/>
      <c r="AF74" s="640">
        <f t="shared" si="12"/>
        <v>1</v>
      </c>
    </row>
    <row r="75" spans="1:32" s="32" customFormat="1" ht="14.45" customHeight="1" x14ac:dyDescent="0.25">
      <c r="A75" s="5" t="s">
        <v>648</v>
      </c>
      <c r="B75" s="635" t="s">
        <v>1110</v>
      </c>
      <c r="C75" s="277"/>
      <c r="D75" s="277"/>
      <c r="E75" s="278"/>
      <c r="F75" s="278"/>
      <c r="G75" s="278"/>
      <c r="H75" s="278"/>
      <c r="I75" s="278"/>
      <c r="J75" s="278"/>
      <c r="K75" s="278"/>
      <c r="L75" s="278"/>
      <c r="M75" s="279"/>
      <c r="N75" s="279"/>
      <c r="O75" s="279"/>
      <c r="P75" s="280">
        <v>1</v>
      </c>
      <c r="Q75" s="280">
        <f t="shared" si="9"/>
        <v>1</v>
      </c>
      <c r="R75" s="280"/>
      <c r="S75" s="280"/>
      <c r="T75" s="280">
        <v>1</v>
      </c>
      <c r="U75" s="280"/>
      <c r="V75" s="280"/>
      <c r="W75" s="280">
        <f t="shared" si="10"/>
        <v>1</v>
      </c>
      <c r="X75" s="280"/>
      <c r="Y75" s="280"/>
      <c r="Z75" s="280"/>
      <c r="AA75" s="280"/>
      <c r="AB75" s="640">
        <f t="shared" si="11"/>
        <v>1</v>
      </c>
      <c r="AC75" s="640"/>
      <c r="AD75" s="640"/>
      <c r="AE75" s="640"/>
      <c r="AF75" s="640">
        <f t="shared" si="12"/>
        <v>1</v>
      </c>
    </row>
    <row r="76" spans="1:32" s="32" customFormat="1" ht="14.45" customHeight="1" x14ac:dyDescent="0.25">
      <c r="A76" s="5" t="s">
        <v>649</v>
      </c>
      <c r="B76" s="635" t="s">
        <v>1111</v>
      </c>
      <c r="C76" s="277"/>
      <c r="D76" s="277"/>
      <c r="E76" s="278"/>
      <c r="F76" s="278"/>
      <c r="G76" s="278"/>
      <c r="H76" s="278"/>
      <c r="I76" s="278"/>
      <c r="J76" s="278"/>
      <c r="K76" s="278"/>
      <c r="L76" s="278"/>
      <c r="M76" s="279"/>
      <c r="N76" s="279"/>
      <c r="O76" s="279"/>
      <c r="P76" s="280">
        <v>1</v>
      </c>
      <c r="Q76" s="280">
        <f t="shared" si="9"/>
        <v>1</v>
      </c>
      <c r="R76" s="280"/>
      <c r="S76" s="280"/>
      <c r="T76" s="280">
        <v>1</v>
      </c>
      <c r="U76" s="280"/>
      <c r="V76" s="280"/>
      <c r="W76" s="280">
        <f t="shared" si="10"/>
        <v>1</v>
      </c>
      <c r="X76" s="280"/>
      <c r="Y76" s="280"/>
      <c r="Z76" s="280"/>
      <c r="AA76" s="280"/>
      <c r="AB76" s="640">
        <f t="shared" si="11"/>
        <v>1</v>
      </c>
      <c r="AC76" s="640"/>
      <c r="AD76" s="640"/>
      <c r="AE76" s="640"/>
      <c r="AF76" s="640">
        <f t="shared" si="12"/>
        <v>1</v>
      </c>
    </row>
    <row r="77" spans="1:32" s="32" customFormat="1" ht="14.45" customHeight="1" x14ac:dyDescent="0.25">
      <c r="A77" s="5" t="s">
        <v>650</v>
      </c>
      <c r="B77" s="635" t="s">
        <v>725</v>
      </c>
      <c r="C77" s="277"/>
      <c r="D77" s="277"/>
      <c r="E77" s="278"/>
      <c r="F77" s="278"/>
      <c r="G77" s="278"/>
      <c r="H77" s="278"/>
      <c r="I77" s="278"/>
      <c r="J77" s="278"/>
      <c r="K77" s="278"/>
      <c r="L77" s="278"/>
      <c r="M77" s="279"/>
      <c r="N77" s="279"/>
      <c r="O77" s="279"/>
      <c r="P77" s="280">
        <v>1</v>
      </c>
      <c r="Q77" s="280">
        <f t="shared" si="9"/>
        <v>1</v>
      </c>
      <c r="R77" s="280"/>
      <c r="S77" s="280"/>
      <c r="T77" s="280">
        <v>1</v>
      </c>
      <c r="U77" s="280"/>
      <c r="V77" s="280"/>
      <c r="W77" s="280">
        <f t="shared" si="10"/>
        <v>1</v>
      </c>
      <c r="X77" s="280"/>
      <c r="Y77" s="280"/>
      <c r="Z77" s="280"/>
      <c r="AA77" s="280"/>
      <c r="AB77" s="640">
        <f t="shared" si="11"/>
        <v>1</v>
      </c>
      <c r="AC77" s="640"/>
      <c r="AD77" s="640"/>
      <c r="AE77" s="640"/>
      <c r="AF77" s="640">
        <f t="shared" si="12"/>
        <v>1</v>
      </c>
    </row>
    <row r="78" spans="1:32" s="32" customFormat="1" ht="14.45" customHeight="1" x14ac:dyDescent="0.25">
      <c r="A78" s="5" t="s">
        <v>651</v>
      </c>
      <c r="B78" s="635" t="s">
        <v>726</v>
      </c>
      <c r="C78" s="277"/>
      <c r="D78" s="277"/>
      <c r="E78" s="278"/>
      <c r="F78" s="278"/>
      <c r="G78" s="278"/>
      <c r="H78" s="278"/>
      <c r="I78" s="278"/>
      <c r="J78" s="278"/>
      <c r="K78" s="278"/>
      <c r="L78" s="278"/>
      <c r="M78" s="279"/>
      <c r="N78" s="279"/>
      <c r="O78" s="279"/>
      <c r="P78" s="280">
        <v>1</v>
      </c>
      <c r="Q78" s="280">
        <f t="shared" si="9"/>
        <v>1</v>
      </c>
      <c r="R78" s="280"/>
      <c r="S78" s="280"/>
      <c r="T78" s="280">
        <v>1</v>
      </c>
      <c r="U78" s="280"/>
      <c r="V78" s="280"/>
      <c r="W78" s="280">
        <f t="shared" si="10"/>
        <v>1</v>
      </c>
      <c r="X78" s="280"/>
      <c r="Y78" s="280"/>
      <c r="Z78" s="280"/>
      <c r="AA78" s="280"/>
      <c r="AB78" s="640">
        <f t="shared" si="11"/>
        <v>1</v>
      </c>
      <c r="AC78" s="640"/>
      <c r="AD78" s="640"/>
      <c r="AE78" s="640"/>
      <c r="AF78" s="640">
        <f t="shared" si="12"/>
        <v>1</v>
      </c>
    </row>
    <row r="79" spans="1:32" s="32" customFormat="1" ht="14.45" customHeight="1" x14ac:dyDescent="0.25">
      <c r="A79" s="5" t="s">
        <v>121</v>
      </c>
      <c r="B79" s="641" t="s">
        <v>727</v>
      </c>
      <c r="C79" s="277"/>
      <c r="D79" s="277"/>
      <c r="E79" s="278"/>
      <c r="F79" s="278"/>
      <c r="G79" s="278"/>
      <c r="H79" s="278"/>
      <c r="I79" s="278"/>
      <c r="J79" s="278"/>
      <c r="K79" s="278"/>
      <c r="L79" s="278"/>
      <c r="M79" s="279"/>
      <c r="N79" s="279"/>
      <c r="O79" s="279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640"/>
      <c r="AC79" s="640"/>
      <c r="AD79" s="640"/>
      <c r="AE79" s="640"/>
      <c r="AF79" s="640"/>
    </row>
    <row r="80" spans="1:32" s="32" customFormat="1" ht="14.45" customHeight="1" x14ac:dyDescent="0.25">
      <c r="A80" s="5" t="s">
        <v>676</v>
      </c>
      <c r="B80" s="635" t="s">
        <v>728</v>
      </c>
      <c r="C80" s="277"/>
      <c r="D80" s="277"/>
      <c r="E80" s="278"/>
      <c r="F80" s="278"/>
      <c r="G80" s="278"/>
      <c r="H80" s="278"/>
      <c r="I80" s="278"/>
      <c r="J80" s="278"/>
      <c r="K80" s="278"/>
      <c r="L80" s="278"/>
      <c r="M80" s="279"/>
      <c r="N80" s="279"/>
      <c r="O80" s="279"/>
      <c r="P80" s="280">
        <v>1</v>
      </c>
      <c r="Q80" s="280">
        <f t="shared" ref="Q80:Q87" si="13">P80</f>
        <v>1</v>
      </c>
      <c r="R80" s="280"/>
      <c r="S80" s="280"/>
      <c r="T80" s="280">
        <v>1</v>
      </c>
      <c r="U80" s="280"/>
      <c r="V80" s="280"/>
      <c r="W80" s="280">
        <f t="shared" ref="W80:W87" si="14">E80+M80+Q80</f>
        <v>1</v>
      </c>
      <c r="X80" s="280"/>
      <c r="Y80" s="280"/>
      <c r="Z80" s="280"/>
      <c r="AA80" s="280"/>
      <c r="AB80" s="640">
        <f t="shared" ref="AB80:AB87" si="15">T80+X80/2</f>
        <v>1</v>
      </c>
      <c r="AC80" s="640"/>
      <c r="AD80" s="640"/>
      <c r="AE80" s="640"/>
      <c r="AF80" s="640">
        <f t="shared" ref="AF80:AF87" si="16">W80+AA80/2</f>
        <v>1</v>
      </c>
    </row>
    <row r="81" spans="1:32" s="32" customFormat="1" ht="14.45" customHeight="1" x14ac:dyDescent="0.25">
      <c r="A81" s="5" t="s">
        <v>677</v>
      </c>
      <c r="B81" s="635" t="s">
        <v>729</v>
      </c>
      <c r="C81" s="277"/>
      <c r="D81" s="277"/>
      <c r="E81" s="278"/>
      <c r="F81" s="278"/>
      <c r="G81" s="278"/>
      <c r="H81" s="278"/>
      <c r="I81" s="278"/>
      <c r="J81" s="278"/>
      <c r="K81" s="278"/>
      <c r="L81" s="278"/>
      <c r="M81" s="279"/>
      <c r="N81" s="279"/>
      <c r="O81" s="279"/>
      <c r="P81" s="280">
        <v>1</v>
      </c>
      <c r="Q81" s="280">
        <f t="shared" si="13"/>
        <v>1</v>
      </c>
      <c r="R81" s="280"/>
      <c r="S81" s="280"/>
      <c r="T81" s="280">
        <v>1</v>
      </c>
      <c r="U81" s="280"/>
      <c r="V81" s="280"/>
      <c r="W81" s="280">
        <f t="shared" si="14"/>
        <v>1</v>
      </c>
      <c r="X81" s="280"/>
      <c r="Y81" s="280"/>
      <c r="Z81" s="280"/>
      <c r="AA81" s="280"/>
      <c r="AB81" s="640">
        <f t="shared" si="15"/>
        <v>1</v>
      </c>
      <c r="AC81" s="640"/>
      <c r="AD81" s="640"/>
      <c r="AE81" s="640"/>
      <c r="AF81" s="640">
        <f t="shared" si="16"/>
        <v>1</v>
      </c>
    </row>
    <row r="82" spans="1:32" s="32" customFormat="1" ht="14.45" customHeight="1" x14ac:dyDescent="0.25">
      <c r="A82" s="5" t="s">
        <v>124</v>
      </c>
      <c r="B82" s="635" t="s">
        <v>730</v>
      </c>
      <c r="C82" s="277"/>
      <c r="D82" s="277"/>
      <c r="E82" s="278"/>
      <c r="F82" s="278"/>
      <c r="G82" s="278"/>
      <c r="H82" s="278"/>
      <c r="I82" s="278"/>
      <c r="J82" s="278"/>
      <c r="K82" s="278"/>
      <c r="L82" s="278"/>
      <c r="M82" s="279"/>
      <c r="N82" s="279"/>
      <c r="O82" s="279"/>
      <c r="P82" s="280">
        <v>1</v>
      </c>
      <c r="Q82" s="280">
        <f t="shared" si="13"/>
        <v>1</v>
      </c>
      <c r="R82" s="280"/>
      <c r="S82" s="280"/>
      <c r="T82" s="280">
        <v>1</v>
      </c>
      <c r="U82" s="280"/>
      <c r="V82" s="280"/>
      <c r="W82" s="280">
        <f t="shared" si="14"/>
        <v>1</v>
      </c>
      <c r="X82" s="280"/>
      <c r="Y82" s="280"/>
      <c r="Z82" s="280"/>
      <c r="AA82" s="280"/>
      <c r="AB82" s="640">
        <f t="shared" si="15"/>
        <v>1</v>
      </c>
      <c r="AC82" s="640"/>
      <c r="AD82" s="640"/>
      <c r="AE82" s="640"/>
      <c r="AF82" s="640">
        <f t="shared" si="16"/>
        <v>1</v>
      </c>
    </row>
    <row r="83" spans="1:32" s="32" customFormat="1" ht="14.45" customHeight="1" x14ac:dyDescent="0.25">
      <c r="A83" s="5" t="s">
        <v>125</v>
      </c>
      <c r="B83" s="641" t="s">
        <v>731</v>
      </c>
      <c r="C83" s="277"/>
      <c r="D83" s="277"/>
      <c r="E83" s="278"/>
      <c r="F83" s="278"/>
      <c r="G83" s="278"/>
      <c r="H83" s="278"/>
      <c r="I83" s="278"/>
      <c r="J83" s="278"/>
      <c r="K83" s="278"/>
      <c r="L83" s="278"/>
      <c r="M83" s="279"/>
      <c r="N83" s="279"/>
      <c r="O83" s="279"/>
      <c r="P83" s="280"/>
      <c r="Q83" s="280">
        <f t="shared" si="13"/>
        <v>0</v>
      </c>
      <c r="R83" s="280"/>
      <c r="S83" s="280"/>
      <c r="T83" s="280"/>
      <c r="U83" s="280"/>
      <c r="V83" s="280"/>
      <c r="W83" s="280">
        <f t="shared" si="14"/>
        <v>0</v>
      </c>
      <c r="X83" s="280"/>
      <c r="Y83" s="280"/>
      <c r="Z83" s="280"/>
      <c r="AA83" s="280"/>
      <c r="AB83" s="640">
        <f t="shared" si="15"/>
        <v>0</v>
      </c>
      <c r="AC83" s="640"/>
      <c r="AD83" s="640"/>
      <c r="AE83" s="640"/>
      <c r="AF83" s="640">
        <f t="shared" si="16"/>
        <v>0</v>
      </c>
    </row>
    <row r="84" spans="1:32" s="32" customFormat="1" ht="14.45" customHeight="1" x14ac:dyDescent="0.25">
      <c r="A84" s="5" t="s">
        <v>126</v>
      </c>
      <c r="B84" s="635" t="s">
        <v>732</v>
      </c>
      <c r="C84" s="277"/>
      <c r="D84" s="277"/>
      <c r="E84" s="278"/>
      <c r="F84" s="278"/>
      <c r="G84" s="278"/>
      <c r="H84" s="278"/>
      <c r="I84" s="278"/>
      <c r="J84" s="278"/>
      <c r="K84" s="278"/>
      <c r="L84" s="278"/>
      <c r="M84" s="279"/>
      <c r="N84" s="279"/>
      <c r="O84" s="279"/>
      <c r="P84" s="280">
        <v>1</v>
      </c>
      <c r="Q84" s="280">
        <f t="shared" si="13"/>
        <v>1</v>
      </c>
      <c r="R84" s="280"/>
      <c r="S84" s="280"/>
      <c r="T84" s="280">
        <v>1</v>
      </c>
      <c r="U84" s="280"/>
      <c r="V84" s="280"/>
      <c r="W84" s="280">
        <f t="shared" si="14"/>
        <v>1</v>
      </c>
      <c r="X84" s="280"/>
      <c r="Y84" s="280"/>
      <c r="Z84" s="280"/>
      <c r="AA84" s="280"/>
      <c r="AB84" s="640">
        <f t="shared" si="15"/>
        <v>1</v>
      </c>
      <c r="AC84" s="640"/>
      <c r="AD84" s="640"/>
      <c r="AE84" s="640"/>
      <c r="AF84" s="640">
        <f t="shared" si="16"/>
        <v>1</v>
      </c>
    </row>
    <row r="85" spans="1:32" s="32" customFormat="1" ht="14.45" customHeight="1" x14ac:dyDescent="0.25">
      <c r="A85" s="5" t="s">
        <v>129</v>
      </c>
      <c r="B85" s="635" t="s">
        <v>733</v>
      </c>
      <c r="C85" s="277"/>
      <c r="D85" s="277"/>
      <c r="E85" s="278"/>
      <c r="F85" s="278"/>
      <c r="G85" s="278"/>
      <c r="H85" s="278"/>
      <c r="I85" s="278"/>
      <c r="J85" s="278"/>
      <c r="K85" s="278"/>
      <c r="L85" s="278"/>
      <c r="M85" s="279"/>
      <c r="N85" s="279"/>
      <c r="O85" s="279"/>
      <c r="P85" s="280">
        <v>1</v>
      </c>
      <c r="Q85" s="280">
        <f t="shared" si="13"/>
        <v>1</v>
      </c>
      <c r="R85" s="280"/>
      <c r="S85" s="280"/>
      <c r="T85" s="280">
        <v>1</v>
      </c>
      <c r="U85" s="280"/>
      <c r="V85" s="280"/>
      <c r="W85" s="280">
        <f t="shared" si="14"/>
        <v>1</v>
      </c>
      <c r="X85" s="280"/>
      <c r="Y85" s="280"/>
      <c r="Z85" s="280"/>
      <c r="AA85" s="280"/>
      <c r="AB85" s="640">
        <f t="shared" si="15"/>
        <v>1</v>
      </c>
      <c r="AC85" s="640"/>
      <c r="AD85" s="640"/>
      <c r="AE85" s="640"/>
      <c r="AF85" s="640">
        <f t="shared" si="16"/>
        <v>1</v>
      </c>
    </row>
    <row r="86" spans="1:32" s="32" customFormat="1" ht="14.45" customHeight="1" x14ac:dyDescent="0.25">
      <c r="A86" s="5" t="s">
        <v>132</v>
      </c>
      <c r="B86" s="635" t="s">
        <v>734</v>
      </c>
      <c r="C86" s="277"/>
      <c r="D86" s="277"/>
      <c r="E86" s="278"/>
      <c r="F86" s="278"/>
      <c r="G86" s="278"/>
      <c r="H86" s="278"/>
      <c r="I86" s="278"/>
      <c r="J86" s="278"/>
      <c r="K86" s="278"/>
      <c r="L86" s="278"/>
      <c r="M86" s="279"/>
      <c r="N86" s="279"/>
      <c r="O86" s="279"/>
      <c r="P86" s="280">
        <v>3</v>
      </c>
      <c r="Q86" s="280">
        <f t="shared" si="13"/>
        <v>3</v>
      </c>
      <c r="R86" s="280"/>
      <c r="S86" s="280"/>
      <c r="T86" s="280">
        <v>3</v>
      </c>
      <c r="U86" s="280"/>
      <c r="V86" s="280"/>
      <c r="W86" s="280">
        <f t="shared" si="14"/>
        <v>3</v>
      </c>
      <c r="X86" s="280"/>
      <c r="Y86" s="280"/>
      <c r="Z86" s="280"/>
      <c r="AA86" s="280"/>
      <c r="AB86" s="640">
        <f t="shared" si="15"/>
        <v>3</v>
      </c>
      <c r="AC86" s="640"/>
      <c r="AD86" s="640"/>
      <c r="AE86" s="640"/>
      <c r="AF86" s="640">
        <f t="shared" si="16"/>
        <v>3</v>
      </c>
    </row>
    <row r="87" spans="1:32" s="32" customFormat="1" ht="14.45" customHeight="1" x14ac:dyDescent="0.25">
      <c r="A87" s="5" t="s">
        <v>133</v>
      </c>
      <c r="B87" s="635" t="s">
        <v>939</v>
      </c>
      <c r="C87" s="277"/>
      <c r="D87" s="277"/>
      <c r="E87" s="278"/>
      <c r="F87" s="278"/>
      <c r="G87" s="278"/>
      <c r="H87" s="278"/>
      <c r="I87" s="278"/>
      <c r="J87" s="278"/>
      <c r="K87" s="278"/>
      <c r="L87" s="278"/>
      <c r="M87" s="279"/>
      <c r="N87" s="279"/>
      <c r="O87" s="279"/>
      <c r="P87" s="280">
        <v>1</v>
      </c>
      <c r="Q87" s="280">
        <f t="shared" si="13"/>
        <v>1</v>
      </c>
      <c r="R87" s="280"/>
      <c r="S87" s="280"/>
      <c r="T87" s="280">
        <v>1</v>
      </c>
      <c r="U87" s="280"/>
      <c r="V87" s="280"/>
      <c r="W87" s="280">
        <f t="shared" si="14"/>
        <v>1</v>
      </c>
      <c r="X87" s="280"/>
      <c r="Y87" s="280"/>
      <c r="Z87" s="280"/>
      <c r="AA87" s="280"/>
      <c r="AB87" s="640">
        <f t="shared" si="15"/>
        <v>1</v>
      </c>
      <c r="AC87" s="640"/>
      <c r="AD87" s="640"/>
      <c r="AE87" s="640"/>
      <c r="AF87" s="640">
        <f t="shared" si="16"/>
        <v>1</v>
      </c>
    </row>
    <row r="88" spans="1:32" s="32" customFormat="1" ht="14.45" customHeight="1" x14ac:dyDescent="0.25">
      <c r="A88" s="5" t="s">
        <v>134</v>
      </c>
      <c r="B88" s="641" t="s">
        <v>735</v>
      </c>
      <c r="C88" s="277"/>
      <c r="D88" s="277"/>
      <c r="E88" s="278"/>
      <c r="F88" s="278"/>
      <c r="G88" s="278"/>
      <c r="H88" s="278"/>
      <c r="I88" s="278"/>
      <c r="J88" s="278"/>
      <c r="K88" s="278"/>
      <c r="L88" s="278"/>
      <c r="M88" s="279"/>
      <c r="N88" s="279"/>
      <c r="O88" s="279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640"/>
      <c r="AC88" s="640"/>
      <c r="AD88" s="640"/>
      <c r="AE88" s="640"/>
      <c r="AF88" s="640"/>
    </row>
    <row r="89" spans="1:32" s="32" customFormat="1" ht="14.45" customHeight="1" x14ac:dyDescent="0.25">
      <c r="A89" s="5" t="s">
        <v>135</v>
      </c>
      <c r="B89" s="635" t="s">
        <v>736</v>
      </c>
      <c r="C89" s="277"/>
      <c r="D89" s="277"/>
      <c r="E89" s="278"/>
      <c r="F89" s="278"/>
      <c r="G89" s="278"/>
      <c r="H89" s="278"/>
      <c r="I89" s="278"/>
      <c r="J89" s="278"/>
      <c r="K89" s="278"/>
      <c r="L89" s="278"/>
      <c r="M89" s="279"/>
      <c r="N89" s="279"/>
      <c r="O89" s="279"/>
      <c r="P89" s="280">
        <v>1</v>
      </c>
      <c r="Q89" s="280">
        <f>P89</f>
        <v>1</v>
      </c>
      <c r="R89" s="280"/>
      <c r="S89" s="280"/>
      <c r="T89" s="280">
        <v>1</v>
      </c>
      <c r="U89" s="280"/>
      <c r="V89" s="280"/>
      <c r="W89" s="280">
        <f>E89+M89+Q89</f>
        <v>1</v>
      </c>
      <c r="X89" s="280"/>
      <c r="Y89" s="280"/>
      <c r="Z89" s="280"/>
      <c r="AA89" s="280"/>
      <c r="AB89" s="640">
        <f>T89+X89/2</f>
        <v>1</v>
      </c>
      <c r="AC89" s="640"/>
      <c r="AD89" s="640"/>
      <c r="AE89" s="640"/>
      <c r="AF89" s="640">
        <f>W89+AA89/2</f>
        <v>1</v>
      </c>
    </row>
    <row r="90" spans="1:32" s="32" customFormat="1" ht="14.45" customHeight="1" x14ac:dyDescent="0.25">
      <c r="A90" s="5" t="s">
        <v>138</v>
      </c>
      <c r="B90" s="635" t="s">
        <v>737</v>
      </c>
      <c r="C90" s="277"/>
      <c r="D90" s="277"/>
      <c r="E90" s="278"/>
      <c r="F90" s="278"/>
      <c r="G90" s="278"/>
      <c r="H90" s="278"/>
      <c r="I90" s="278"/>
      <c r="J90" s="278"/>
      <c r="K90" s="278"/>
      <c r="L90" s="278"/>
      <c r="M90" s="279"/>
      <c r="N90" s="279"/>
      <c r="O90" s="279"/>
      <c r="P90" s="280">
        <v>2</v>
      </c>
      <c r="Q90" s="280">
        <f>P90</f>
        <v>2</v>
      </c>
      <c r="R90" s="280"/>
      <c r="S90" s="280"/>
      <c r="T90" s="280">
        <v>2</v>
      </c>
      <c r="U90" s="280"/>
      <c r="V90" s="280"/>
      <c r="W90" s="280">
        <f>E90+M90+Q90</f>
        <v>2</v>
      </c>
      <c r="X90" s="280"/>
      <c r="Y90" s="280"/>
      <c r="Z90" s="280"/>
      <c r="AA90" s="280"/>
      <c r="AB90" s="640">
        <f>T90+X90/2</f>
        <v>2</v>
      </c>
      <c r="AC90" s="640"/>
      <c r="AD90" s="640"/>
      <c r="AE90" s="640"/>
      <c r="AF90" s="640">
        <f>W90+AA90/2</f>
        <v>2</v>
      </c>
    </row>
    <row r="91" spans="1:32" s="32" customFormat="1" ht="14.45" customHeight="1" x14ac:dyDescent="0.25">
      <c r="A91" s="5" t="s">
        <v>141</v>
      </c>
      <c r="B91" s="635" t="s">
        <v>738</v>
      </c>
      <c r="C91" s="277"/>
      <c r="D91" s="277"/>
      <c r="E91" s="278"/>
      <c r="F91" s="278"/>
      <c r="G91" s="278"/>
      <c r="H91" s="278"/>
      <c r="I91" s="278"/>
      <c r="J91" s="278"/>
      <c r="K91" s="278"/>
      <c r="L91" s="278"/>
      <c r="M91" s="279"/>
      <c r="N91" s="279"/>
      <c r="O91" s="279"/>
      <c r="P91" s="280">
        <v>1</v>
      </c>
      <c r="Q91" s="280">
        <f>P91</f>
        <v>1</v>
      </c>
      <c r="R91" s="280"/>
      <c r="S91" s="280"/>
      <c r="T91" s="280">
        <v>1</v>
      </c>
      <c r="U91" s="280"/>
      <c r="V91" s="280"/>
      <c r="W91" s="280">
        <f>E91+M91+Q91</f>
        <v>1</v>
      </c>
      <c r="X91" s="280"/>
      <c r="Y91" s="280"/>
      <c r="Z91" s="280"/>
      <c r="AA91" s="280"/>
      <c r="AB91" s="640">
        <f>T91+X91/2</f>
        <v>1</v>
      </c>
      <c r="AC91" s="640"/>
      <c r="AD91" s="640"/>
      <c r="AE91" s="640"/>
      <c r="AF91" s="640">
        <f>W91+AA91/2</f>
        <v>1</v>
      </c>
    </row>
    <row r="92" spans="1:32" s="32" customFormat="1" ht="14.45" customHeight="1" x14ac:dyDescent="0.25">
      <c r="A92" s="5" t="s">
        <v>144</v>
      </c>
      <c r="B92" s="1050" t="s">
        <v>1145</v>
      </c>
      <c r="C92" s="1051"/>
      <c r="D92" s="1051"/>
      <c r="E92" s="1052"/>
      <c r="F92" s="1052"/>
      <c r="G92" s="1052"/>
      <c r="H92" s="1052"/>
      <c r="I92" s="1052"/>
      <c r="J92" s="1052"/>
      <c r="K92" s="1052"/>
      <c r="L92" s="1052"/>
      <c r="M92" s="1053"/>
      <c r="N92" s="1053"/>
      <c r="O92" s="1053"/>
      <c r="P92" s="1054">
        <v>0.5</v>
      </c>
      <c r="Q92" s="1054">
        <f>P92</f>
        <v>0.5</v>
      </c>
      <c r="R92" s="1054"/>
      <c r="S92" s="1054"/>
      <c r="T92" s="1054">
        <f>P92+R92</f>
        <v>0.5</v>
      </c>
      <c r="U92" s="1054"/>
      <c r="V92" s="1054"/>
      <c r="W92" s="1054">
        <f>E92+M92+Q92</f>
        <v>0.5</v>
      </c>
      <c r="X92" s="1054"/>
      <c r="Y92" s="1054"/>
      <c r="Z92" s="1054"/>
      <c r="AA92" s="1054"/>
      <c r="AB92" s="1055">
        <f>T92+X92</f>
        <v>0.5</v>
      </c>
      <c r="AC92" s="1055"/>
      <c r="AD92" s="1055"/>
      <c r="AE92" s="1056"/>
      <c r="AF92" s="1057">
        <f>W92+AA92/2</f>
        <v>0.5</v>
      </c>
    </row>
    <row r="93" spans="1:32" s="32" customFormat="1" ht="14.45" customHeight="1" x14ac:dyDescent="0.25">
      <c r="A93" s="5" t="s">
        <v>145</v>
      </c>
      <c r="B93" s="273" t="s">
        <v>739</v>
      </c>
      <c r="C93" s="277"/>
      <c r="D93" s="277"/>
      <c r="E93" s="278"/>
      <c r="F93" s="278"/>
      <c r="G93" s="278"/>
      <c r="H93" s="278"/>
      <c r="I93" s="278"/>
      <c r="J93" s="278"/>
      <c r="K93" s="278"/>
      <c r="L93" s="278"/>
      <c r="M93" s="279"/>
      <c r="N93" s="279"/>
      <c r="O93" s="279"/>
      <c r="P93" s="280">
        <f>SUM(P70:P92)</f>
        <v>23.5</v>
      </c>
      <c r="Q93" s="280">
        <f>P93</f>
        <v>23.5</v>
      </c>
      <c r="R93" s="280">
        <f>SUM(R70:R91)</f>
        <v>0</v>
      </c>
      <c r="S93" s="280">
        <f>SUM(S70:S91)</f>
        <v>0</v>
      </c>
      <c r="T93" s="280">
        <f>SUM(T70:T92)</f>
        <v>23.5</v>
      </c>
      <c r="U93" s="280"/>
      <c r="V93" s="280"/>
      <c r="W93" s="280">
        <f>E93+M93+Q93</f>
        <v>23.5</v>
      </c>
      <c r="X93" s="280">
        <f>SUM(X70:X91)</f>
        <v>0</v>
      </c>
      <c r="Y93" s="280"/>
      <c r="Z93" s="280"/>
      <c r="AA93" s="280">
        <f>SUM(AA70:AA91)</f>
        <v>0</v>
      </c>
      <c r="AB93" s="740">
        <f>T93+X93/2</f>
        <v>23.5</v>
      </c>
      <c r="AC93" s="740"/>
      <c r="AD93" s="740"/>
      <c r="AE93" s="912">
        <v>0</v>
      </c>
      <c r="AF93" s="740">
        <f>SUM(AF70:AF92)</f>
        <v>23.5</v>
      </c>
    </row>
    <row r="94" spans="1:32" s="32" customFormat="1" ht="14.45" customHeight="1" x14ac:dyDescent="0.25">
      <c r="A94" s="5"/>
      <c r="B94" s="636"/>
      <c r="C94" s="721"/>
      <c r="D94" s="721"/>
      <c r="E94" s="722"/>
      <c r="F94" s="722"/>
      <c r="G94" s="722"/>
      <c r="H94" s="722"/>
      <c r="I94" s="722"/>
      <c r="J94" s="722"/>
      <c r="K94" s="722"/>
      <c r="L94" s="722"/>
      <c r="M94" s="723"/>
      <c r="N94" s="723"/>
      <c r="O94" s="723"/>
      <c r="P94" s="724"/>
      <c r="Q94" s="724"/>
      <c r="R94" s="724"/>
      <c r="S94" s="724"/>
      <c r="T94" s="724"/>
      <c r="U94" s="724"/>
      <c r="V94" s="724"/>
      <c r="W94" s="724"/>
      <c r="X94" s="724"/>
      <c r="Y94" s="724"/>
      <c r="Z94" s="724"/>
      <c r="AA94" s="724"/>
      <c r="AB94" s="725"/>
      <c r="AC94" s="725"/>
      <c r="AD94" s="725"/>
      <c r="AE94" s="724"/>
      <c r="AF94" s="724"/>
    </row>
    <row r="95" spans="1:32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56"/>
      <c r="J95" s="56"/>
      <c r="K95" s="56"/>
      <c r="L95" s="56"/>
      <c r="M95" s="74"/>
      <c r="N95" s="74"/>
      <c r="O95" s="74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275"/>
      <c r="AC95" s="275"/>
      <c r="AD95" s="275"/>
      <c r="AE95" s="57"/>
      <c r="AF95" s="57"/>
    </row>
    <row r="96" spans="1:32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56"/>
      <c r="J96" s="56"/>
      <c r="K96" s="56"/>
      <c r="L96" s="56"/>
      <c r="M96" s="74"/>
      <c r="N96" s="74"/>
      <c r="O96" s="74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275"/>
      <c r="AC96" s="275"/>
      <c r="AD96" s="275"/>
      <c r="AE96" s="57"/>
      <c r="AF96" s="57"/>
    </row>
    <row r="97" spans="1:250" s="32" customFormat="1" ht="14.45" customHeight="1" x14ac:dyDescent="0.25">
      <c r="A97" s="274" t="s">
        <v>148</v>
      </c>
      <c r="B97" s="79" t="s">
        <v>531</v>
      </c>
      <c r="C97" s="73"/>
      <c r="D97" s="73"/>
      <c r="E97" s="56"/>
      <c r="F97" s="56"/>
      <c r="G97" s="56"/>
      <c r="H97" s="56"/>
      <c r="I97" s="56"/>
      <c r="J97" s="56"/>
      <c r="K97" s="56"/>
      <c r="L97" s="56"/>
      <c r="M97" s="74"/>
      <c r="N97" s="74"/>
      <c r="O97" s="74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275"/>
      <c r="AC97" s="275"/>
      <c r="AD97" s="275"/>
      <c r="AE97" s="57"/>
      <c r="AF97" s="57"/>
    </row>
    <row r="98" spans="1:250" s="32" customFormat="1" ht="14.45" customHeight="1" x14ac:dyDescent="0.25">
      <c r="A98" s="274" t="s">
        <v>149</v>
      </c>
      <c r="B98" s="276" t="s">
        <v>535</v>
      </c>
      <c r="C98" s="277"/>
      <c r="D98" s="277"/>
      <c r="E98" s="278"/>
      <c r="F98" s="278"/>
      <c r="G98" s="278"/>
      <c r="H98" s="278"/>
      <c r="I98" s="278"/>
      <c r="J98" s="278"/>
      <c r="K98" s="278"/>
      <c r="L98" s="278"/>
      <c r="M98" s="279"/>
      <c r="N98" s="279"/>
      <c r="O98" s="279"/>
      <c r="P98" s="279">
        <v>13</v>
      </c>
      <c r="Q98" s="279">
        <f>P98</f>
        <v>13</v>
      </c>
      <c r="R98" s="280"/>
      <c r="S98" s="280"/>
      <c r="T98" s="279">
        <f>P98</f>
        <v>13</v>
      </c>
      <c r="U98" s="279"/>
      <c r="V98" s="280"/>
      <c r="W98" s="280">
        <f>Q98+M98+E98</f>
        <v>13</v>
      </c>
      <c r="X98" s="280"/>
      <c r="Y98" s="280"/>
      <c r="Z98" s="280"/>
      <c r="AA98" s="280"/>
      <c r="AB98" s="279">
        <f>T98+X98/2</f>
        <v>13</v>
      </c>
      <c r="AC98" s="279"/>
      <c r="AD98" s="279"/>
      <c r="AE98" s="280"/>
      <c r="AF98" s="280">
        <f>W98+AA98/2</f>
        <v>13</v>
      </c>
    </row>
    <row r="99" spans="1:250" s="32" customFormat="1" ht="14.45" customHeight="1" x14ac:dyDescent="0.25">
      <c r="A99" s="274" t="s">
        <v>150</v>
      </c>
      <c r="B99" s="276" t="s">
        <v>536</v>
      </c>
      <c r="C99" s="277"/>
      <c r="D99" s="277"/>
      <c r="E99" s="278"/>
      <c r="F99" s="278"/>
      <c r="G99" s="278"/>
      <c r="H99" s="278"/>
      <c r="I99" s="278"/>
      <c r="J99" s="278"/>
      <c r="K99" s="278"/>
      <c r="L99" s="278"/>
      <c r="M99" s="279"/>
      <c r="N99" s="279"/>
      <c r="O99" s="279"/>
      <c r="P99" s="279">
        <v>8</v>
      </c>
      <c r="Q99" s="279">
        <f>P99</f>
        <v>8</v>
      </c>
      <c r="R99" s="280"/>
      <c r="S99" s="280"/>
      <c r="T99" s="279">
        <f>P99</f>
        <v>8</v>
      </c>
      <c r="U99" s="279"/>
      <c r="V99" s="280"/>
      <c r="W99" s="280">
        <f>T99+V99</f>
        <v>8</v>
      </c>
      <c r="X99" s="280"/>
      <c r="Y99" s="280"/>
      <c r="Z99" s="280"/>
      <c r="AA99" s="280"/>
      <c r="AB99" s="279">
        <f>T99+X99/2</f>
        <v>8</v>
      </c>
      <c r="AC99" s="279"/>
      <c r="AD99" s="279"/>
      <c r="AE99" s="280"/>
      <c r="AF99" s="280">
        <f>W99+AA99/2</f>
        <v>8</v>
      </c>
    </row>
    <row r="100" spans="1:250" s="32" customFormat="1" ht="14.45" customHeight="1" x14ac:dyDescent="0.25">
      <c r="A100" s="274" t="s">
        <v>151</v>
      </c>
      <c r="B100" s="276" t="s">
        <v>537</v>
      </c>
      <c r="C100" s="277"/>
      <c r="D100" s="277"/>
      <c r="E100" s="278"/>
      <c r="F100" s="278"/>
      <c r="G100" s="278"/>
      <c r="H100" s="278"/>
      <c r="I100" s="278"/>
      <c r="J100" s="278"/>
      <c r="K100" s="278"/>
      <c r="L100" s="278"/>
      <c r="M100" s="279"/>
      <c r="N100" s="279"/>
      <c r="O100" s="279"/>
      <c r="P100" s="279">
        <v>3</v>
      </c>
      <c r="Q100" s="279">
        <f>P100</f>
        <v>3</v>
      </c>
      <c r="R100" s="280"/>
      <c r="S100" s="280"/>
      <c r="T100" s="279">
        <v>3</v>
      </c>
      <c r="U100" s="279"/>
      <c r="V100" s="280"/>
      <c r="W100" s="280">
        <v>3</v>
      </c>
      <c r="X100" s="280"/>
      <c r="Y100" s="280"/>
      <c r="Z100" s="280"/>
      <c r="AA100" s="280"/>
      <c r="AB100" s="279">
        <f>T100+X100/2</f>
        <v>3</v>
      </c>
      <c r="AC100" s="279"/>
      <c r="AD100" s="279"/>
      <c r="AE100" s="280"/>
      <c r="AF100" s="280">
        <f>W100+AA100/2</f>
        <v>3</v>
      </c>
    </row>
    <row r="101" spans="1:250" s="32" customFormat="1" ht="14.45" customHeight="1" x14ac:dyDescent="0.25">
      <c r="A101" s="274" t="s">
        <v>152</v>
      </c>
      <c r="B101" s="281" t="s">
        <v>1315</v>
      </c>
      <c r="C101" s="282"/>
      <c r="D101" s="282"/>
      <c r="E101" s="283"/>
      <c r="F101" s="283"/>
      <c r="G101" s="283"/>
      <c r="H101" s="283"/>
      <c r="I101" s="283"/>
      <c r="J101" s="283"/>
      <c r="K101" s="283"/>
      <c r="L101" s="283"/>
      <c r="M101" s="279"/>
      <c r="N101" s="279"/>
      <c r="O101" s="279"/>
      <c r="P101" s="280">
        <f>P98+P99+P100</f>
        <v>24</v>
      </c>
      <c r="Q101" s="280">
        <f>P101</f>
        <v>24</v>
      </c>
      <c r="R101" s="280">
        <v>0</v>
      </c>
      <c r="S101" s="280">
        <f>S98+S99+S100</f>
        <v>0</v>
      </c>
      <c r="T101" s="280">
        <f>T98+T99+T100</f>
        <v>24</v>
      </c>
      <c r="U101" s="280"/>
      <c r="V101" s="280"/>
      <c r="W101" s="280">
        <f>W98+W99+W100</f>
        <v>24</v>
      </c>
      <c r="X101" s="280">
        <f>X98+X99+X100</f>
        <v>0</v>
      </c>
      <c r="Y101" s="280"/>
      <c r="Z101" s="280"/>
      <c r="AA101" s="280">
        <f>AA98+AA99+AA100</f>
        <v>0</v>
      </c>
      <c r="AB101" s="740">
        <f>T101+X101/2</f>
        <v>24</v>
      </c>
      <c r="AC101" s="740"/>
      <c r="AD101" s="740"/>
      <c r="AE101" s="912">
        <v>0</v>
      </c>
      <c r="AF101" s="740">
        <f>W101+AA101/2</f>
        <v>24</v>
      </c>
    </row>
    <row r="102" spans="1:250" ht="15.75" customHeight="1" x14ac:dyDescent="0.25">
      <c r="A102" s="274"/>
      <c r="B102" s="726"/>
      <c r="C102" s="727"/>
      <c r="D102" s="727"/>
      <c r="E102" s="728"/>
      <c r="F102" s="728"/>
      <c r="G102" s="728"/>
      <c r="H102" s="728"/>
      <c r="I102" s="728"/>
      <c r="J102" s="728"/>
      <c r="K102" s="728"/>
      <c r="L102" s="728"/>
      <c r="M102" s="729"/>
      <c r="N102" s="729"/>
      <c r="O102" s="729"/>
      <c r="P102" s="730"/>
      <c r="Q102" s="730"/>
      <c r="R102" s="730"/>
      <c r="S102" s="730"/>
      <c r="T102" s="730"/>
      <c r="U102" s="730"/>
      <c r="V102" s="730"/>
      <c r="W102" s="730"/>
      <c r="X102" s="730"/>
      <c r="Y102" s="730"/>
      <c r="Z102" s="730"/>
      <c r="AA102" s="730"/>
      <c r="AB102" s="730"/>
      <c r="AC102" s="730"/>
      <c r="AD102" s="730"/>
      <c r="AE102" s="730"/>
      <c r="AF102" s="731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</row>
    <row r="103" spans="1:250" s="32" customFormat="1" ht="14.45" customHeight="1" x14ac:dyDescent="0.25">
      <c r="A103" s="274"/>
      <c r="B103" s="54"/>
      <c r="C103" s="55"/>
      <c r="D103" s="55"/>
      <c r="E103" s="56"/>
      <c r="F103" s="56"/>
      <c r="G103" s="56"/>
      <c r="H103" s="56"/>
      <c r="I103" s="56"/>
      <c r="J103" s="56"/>
      <c r="K103" s="56"/>
      <c r="L103" s="56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</row>
    <row r="104" spans="1:250" s="32" customFormat="1" ht="15.75" customHeight="1" x14ac:dyDescent="0.25">
      <c r="A104" s="274" t="s">
        <v>154</v>
      </c>
      <c r="B104" s="49" t="s">
        <v>704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/>
      <c r="I104" s="50"/>
      <c r="J104" s="50">
        <f>J24+J40+J64</f>
        <v>0</v>
      </c>
      <c r="K104" s="50"/>
      <c r="L104" s="50"/>
      <c r="M104" s="50">
        <f>M24+M40+M64</f>
        <v>0</v>
      </c>
      <c r="N104" s="50">
        <f>N24+N40+N64</f>
        <v>0</v>
      </c>
      <c r="O104" s="50">
        <f>O24+O40+O64</f>
        <v>0</v>
      </c>
      <c r="P104" s="50">
        <f t="shared" ref="P104:AF104" si="17">P24+P40+P101+P93</f>
        <v>187</v>
      </c>
      <c r="Q104" s="50">
        <f t="shared" si="17"/>
        <v>187</v>
      </c>
      <c r="R104" s="50">
        <f t="shared" si="17"/>
        <v>1</v>
      </c>
      <c r="S104" s="50">
        <f t="shared" si="17"/>
        <v>1</v>
      </c>
      <c r="T104" s="50">
        <f t="shared" si="17"/>
        <v>187</v>
      </c>
      <c r="U104" s="50"/>
      <c r="V104" s="913">
        <f>V101+V93+V40+V24</f>
        <v>0</v>
      </c>
      <c r="W104" s="50">
        <f t="shared" si="17"/>
        <v>187</v>
      </c>
      <c r="X104" s="50">
        <f t="shared" si="17"/>
        <v>1</v>
      </c>
      <c r="Y104" s="50"/>
      <c r="Z104" s="50"/>
      <c r="AA104" s="50">
        <f t="shared" si="17"/>
        <v>1</v>
      </c>
      <c r="AB104" s="741">
        <f t="shared" si="17"/>
        <v>187.5</v>
      </c>
      <c r="AC104" s="741"/>
      <c r="AD104" s="741"/>
      <c r="AE104" s="741">
        <f t="shared" ref="AE104" si="18">AE101+AE93+AE40+AE24</f>
        <v>0</v>
      </c>
      <c r="AF104" s="741">
        <f t="shared" si="17"/>
        <v>187.5</v>
      </c>
    </row>
    <row r="105" spans="1:250" s="32" customFormat="1" ht="14.45" customHeight="1" x14ac:dyDescent="0.25">
      <c r="A105" s="274"/>
      <c r="B105" s="59"/>
      <c r="C105" s="60"/>
      <c r="D105" s="60"/>
      <c r="E105" s="61"/>
      <c r="F105" s="61"/>
      <c r="G105" s="61"/>
      <c r="H105" s="61"/>
      <c r="I105" s="61"/>
      <c r="J105" s="61"/>
      <c r="K105" s="61"/>
      <c r="L105" s="61"/>
      <c r="M105" s="62"/>
      <c r="N105" s="62"/>
      <c r="O105" s="62"/>
      <c r="P105" s="62"/>
      <c r="Q105" s="61"/>
      <c r="R105" s="61"/>
      <c r="S105" s="61"/>
      <c r="T105" s="61"/>
      <c r="U105" s="57"/>
      <c r="V105" s="57"/>
      <c r="W105" s="71"/>
      <c r="X105" s="72"/>
      <c r="Y105" s="72"/>
      <c r="Z105" s="72"/>
      <c r="AA105" s="72"/>
      <c r="AB105" s="477"/>
      <c r="AC105" s="477"/>
      <c r="AD105" s="477"/>
      <c r="AE105" s="477"/>
      <c r="AF105" s="477"/>
    </row>
    <row r="106" spans="1:250" ht="14.45" customHeight="1" x14ac:dyDescent="0.25">
      <c r="A106" s="274" t="s">
        <v>157</v>
      </c>
      <c r="B106" s="49" t="s">
        <v>621</v>
      </c>
      <c r="C106" s="78">
        <f>C10+C12+C104</f>
        <v>7</v>
      </c>
      <c r="D106" s="861">
        <f>D104+D12+D10</f>
        <v>0</v>
      </c>
      <c r="E106" s="914">
        <f>E10+E12+E104</f>
        <v>7</v>
      </c>
      <c r="F106" s="862">
        <f>F10++F12+F104</f>
        <v>1</v>
      </c>
      <c r="G106" s="862">
        <f>G104+G10+G12</f>
        <v>1</v>
      </c>
      <c r="H106" s="862">
        <f>H10+H12+H104</f>
        <v>-2</v>
      </c>
      <c r="I106" s="862">
        <f>I104+I12+I10</f>
        <v>0</v>
      </c>
      <c r="J106" s="78">
        <f>J10+J12+J104</f>
        <v>38</v>
      </c>
      <c r="K106" s="78">
        <f t="shared" ref="K106:L106" si="19">K10+K12+K104</f>
        <v>2</v>
      </c>
      <c r="L106" s="78">
        <f t="shared" si="19"/>
        <v>-2</v>
      </c>
      <c r="M106" s="78">
        <f>M10+M12+M104</f>
        <v>38</v>
      </c>
      <c r="N106" s="78">
        <f>N10+N12+N104</f>
        <v>0</v>
      </c>
      <c r="O106" s="78">
        <f>O10+O12+O104</f>
        <v>0</v>
      </c>
      <c r="P106" s="478">
        <f>P104</f>
        <v>187</v>
      </c>
      <c r="Q106" s="478">
        <f>Q10+Q12+Q104</f>
        <v>187</v>
      </c>
      <c r="R106" s="478">
        <f>R10+R12+R104</f>
        <v>1</v>
      </c>
      <c r="S106" s="478">
        <f>S10+S12+S104</f>
        <v>1</v>
      </c>
      <c r="T106" s="53">
        <f>C106+J106+P106</f>
        <v>232</v>
      </c>
      <c r="U106" s="862">
        <f>U12+U10</f>
        <v>2</v>
      </c>
      <c r="V106" s="862">
        <f>V10+V12+V104</f>
        <v>-2</v>
      </c>
      <c r="W106" s="272">
        <f>W104+W12+W10</f>
        <v>232</v>
      </c>
      <c r="X106" s="1096">
        <f>X10+X12+X104</f>
        <v>2</v>
      </c>
      <c r="Y106" s="1096">
        <f t="shared" ref="Y106:Z106" si="20">Y10+Y12+Y104</f>
        <v>1</v>
      </c>
      <c r="Z106" s="1096">
        <f t="shared" si="20"/>
        <v>-2</v>
      </c>
      <c r="AA106" s="509">
        <f>AA10+AA12+AA104</f>
        <v>1</v>
      </c>
      <c r="AB106" s="979">
        <f>AB10+AB12+AB104</f>
        <v>233</v>
      </c>
      <c r="AC106" s="979">
        <f t="shared" ref="AC106:AD106" si="21">AC10+AC12+AC104</f>
        <v>2</v>
      </c>
      <c r="AD106" s="979">
        <f t="shared" si="21"/>
        <v>0.5</v>
      </c>
      <c r="AE106" s="979">
        <f>AE10+AE12+AE104</f>
        <v>-3</v>
      </c>
      <c r="AF106" s="541">
        <f>AF104+AF12+AF10</f>
        <v>232.5</v>
      </c>
      <c r="AG106" s="589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</row>
    <row r="107" spans="1:250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10"/>
      <c r="U107" s="510"/>
      <c r="V107" s="631"/>
      <c r="W107" s="510"/>
      <c r="X107" s="631"/>
      <c r="Y107" s="631"/>
      <c r="Z107" s="631"/>
      <c r="AA107" s="631"/>
      <c r="AB107" s="631"/>
      <c r="AC107" s="631"/>
      <c r="AD107" s="631"/>
      <c r="AE107" s="631"/>
      <c r="AF107" s="631"/>
    </row>
    <row r="108" spans="1:250" ht="30" customHeight="1" x14ac:dyDescent="0.25">
      <c r="B108" s="1385" t="s">
        <v>1316</v>
      </c>
      <c r="C108" s="1385"/>
      <c r="D108" s="1385"/>
      <c r="E108" s="1385"/>
      <c r="F108" s="1385"/>
      <c r="G108" s="1385"/>
      <c r="H108" s="1385"/>
      <c r="I108" s="1385"/>
      <c r="J108" s="1385"/>
      <c r="K108" s="1385"/>
      <c r="L108" s="1385"/>
      <c r="M108" s="1385"/>
      <c r="N108" s="1385"/>
      <c r="O108" s="1385"/>
      <c r="P108" s="1385"/>
      <c r="Q108" s="1385"/>
      <c r="R108" s="1385"/>
      <c r="S108" s="1385"/>
      <c r="T108" s="1385"/>
      <c r="U108" s="1385"/>
      <c r="V108" s="1385"/>
      <c r="W108" s="1385"/>
      <c r="X108" s="1385"/>
      <c r="Y108" s="1385"/>
      <c r="Z108" s="1385"/>
      <c r="AA108" s="1385"/>
      <c r="AB108" s="1385"/>
      <c r="AC108" s="1385"/>
      <c r="AD108" s="1385"/>
      <c r="AE108" s="1385"/>
      <c r="AF108" s="1385"/>
      <c r="AG108" s="511"/>
    </row>
    <row r="109" spans="1:250" ht="13.9" customHeight="1" x14ac:dyDescent="0.25">
      <c r="A109" s="16"/>
      <c r="B109" s="1381"/>
      <c r="C109" s="1381"/>
      <c r="D109" s="1381"/>
      <c r="E109" s="1381"/>
      <c r="F109" s="1381"/>
      <c r="G109" s="1381"/>
      <c r="H109" s="1381"/>
      <c r="I109" s="1381"/>
      <c r="J109" s="1381"/>
      <c r="K109" s="1381"/>
      <c r="L109" s="1381"/>
      <c r="M109" s="1381"/>
      <c r="N109" s="1381"/>
      <c r="O109" s="1381"/>
      <c r="P109" s="1381"/>
      <c r="Q109" s="1381"/>
      <c r="R109" s="1381"/>
      <c r="S109" s="1381"/>
      <c r="T109" s="1381"/>
      <c r="U109" s="1381"/>
      <c r="V109" s="1381"/>
      <c r="W109" s="1381"/>
      <c r="X109" s="1381"/>
      <c r="Y109" s="1381"/>
      <c r="Z109" s="1381"/>
      <c r="AA109" s="1381"/>
      <c r="AB109" s="1381"/>
      <c r="AC109" s="1381"/>
      <c r="AD109" s="1381"/>
      <c r="AE109" s="1381"/>
      <c r="AF109" s="1381"/>
      <c r="AG109" s="511"/>
    </row>
    <row r="110" spans="1:250" ht="13.9" customHeight="1" x14ac:dyDescent="0.25">
      <c r="B110" s="24" t="s">
        <v>288</v>
      </c>
    </row>
  </sheetData>
  <sheetProtection selectLockedCells="1" selectUnlockedCells="1"/>
  <mergeCells count="29">
    <mergeCell ref="B109:AF109"/>
    <mergeCell ref="C7:E7"/>
    <mergeCell ref="C6:I6"/>
    <mergeCell ref="J6:O6"/>
    <mergeCell ref="P6:S6"/>
    <mergeCell ref="T6:AA6"/>
    <mergeCell ref="B6:B8"/>
    <mergeCell ref="P7:Q7"/>
    <mergeCell ref="R7:S7"/>
    <mergeCell ref="T7:W7"/>
    <mergeCell ref="X7:AA7"/>
    <mergeCell ref="N7:O7"/>
    <mergeCell ref="B108:AF108"/>
    <mergeCell ref="A1:AF1"/>
    <mergeCell ref="A2:AF2"/>
    <mergeCell ref="A3:AF3"/>
    <mergeCell ref="F5:I5"/>
    <mergeCell ref="J5:M5"/>
    <mergeCell ref="P5:Q5"/>
    <mergeCell ref="R5:S5"/>
    <mergeCell ref="T5:W5"/>
    <mergeCell ref="X5:AA5"/>
    <mergeCell ref="AB5:AF5"/>
    <mergeCell ref="A5:A8"/>
    <mergeCell ref="C5:E5"/>
    <mergeCell ref="N5:O5"/>
    <mergeCell ref="AB6:AF7"/>
    <mergeCell ref="F7:I7"/>
    <mergeCell ref="J7:M7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74" t="s">
        <v>936</v>
      </c>
      <c r="B1" s="1374"/>
      <c r="C1" s="1374"/>
      <c r="D1" s="1374"/>
      <c r="E1" s="1374"/>
      <c r="F1" s="1374"/>
      <c r="G1" s="1374"/>
      <c r="H1" s="1374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</row>
    <row r="2" spans="1:35" x14ac:dyDescent="0.2">
      <c r="C2" t="s">
        <v>338</v>
      </c>
    </row>
    <row r="3" spans="1:35" ht="14.25" x14ac:dyDescent="0.2">
      <c r="A3" s="1386" t="s">
        <v>327</v>
      </c>
      <c r="B3" s="1386"/>
      <c r="C3" s="1386"/>
      <c r="D3" s="1386"/>
      <c r="E3" s="1386"/>
      <c r="F3" s="1386"/>
      <c r="G3" s="1386"/>
      <c r="H3" s="1386"/>
    </row>
    <row r="4" spans="1:35" ht="14.25" x14ac:dyDescent="0.2">
      <c r="A4" s="1386" t="s">
        <v>328</v>
      </c>
      <c r="B4" s="1386"/>
      <c r="C4" s="1386"/>
      <c r="D4" s="1386"/>
      <c r="E4" s="1386"/>
      <c r="F4" s="1386"/>
      <c r="G4" s="1386"/>
      <c r="H4" s="1386"/>
    </row>
    <row r="5" spans="1:35" ht="14.25" x14ac:dyDescent="0.2">
      <c r="A5" s="1387" t="s">
        <v>55</v>
      </c>
      <c r="B5" s="1387"/>
      <c r="C5" s="1387"/>
      <c r="D5" s="1387"/>
      <c r="E5" s="1387"/>
      <c r="F5" s="1387"/>
      <c r="G5" s="1387"/>
      <c r="H5" s="1387"/>
    </row>
    <row r="6" spans="1:35" ht="15" x14ac:dyDescent="0.25">
      <c r="A6" s="390"/>
      <c r="B6" s="645"/>
      <c r="C6" s="645"/>
      <c r="D6" s="645"/>
      <c r="E6" s="645"/>
    </row>
    <row r="7" spans="1:35" ht="14.25" customHeight="1" x14ac:dyDescent="0.2">
      <c r="A7" s="1388"/>
      <c r="B7" s="646" t="s">
        <v>57</v>
      </c>
      <c r="C7" s="646" t="s">
        <v>58</v>
      </c>
      <c r="D7" s="646" t="s">
        <v>59</v>
      </c>
      <c r="E7" s="646" t="s">
        <v>60</v>
      </c>
      <c r="F7" s="647" t="s">
        <v>484</v>
      </c>
      <c r="G7" s="647" t="s">
        <v>485</v>
      </c>
      <c r="H7" s="647" t="s">
        <v>486</v>
      </c>
    </row>
    <row r="8" spans="1:35" ht="14.25" customHeight="1" x14ac:dyDescent="0.2">
      <c r="A8" s="1388"/>
      <c r="B8" s="1389" t="s">
        <v>804</v>
      </c>
      <c r="C8" s="1390" t="s">
        <v>330</v>
      </c>
      <c r="D8" s="1391" t="s">
        <v>331</v>
      </c>
      <c r="E8" s="1392"/>
      <c r="F8" s="1393"/>
    </row>
    <row r="9" spans="1:35" ht="15.75" x14ac:dyDescent="0.25">
      <c r="A9" s="1388"/>
      <c r="B9" s="1389"/>
      <c r="C9" s="1390"/>
      <c r="D9" s="1391"/>
      <c r="E9" s="393">
        <v>2015</v>
      </c>
      <c r="F9" s="648">
        <v>2017</v>
      </c>
      <c r="G9" s="670">
        <v>2017</v>
      </c>
      <c r="H9" s="670">
        <v>2018</v>
      </c>
    </row>
    <row r="10" spans="1:35" ht="15" x14ac:dyDescent="0.25">
      <c r="A10" s="649"/>
      <c r="B10" s="650" t="s">
        <v>337</v>
      </c>
      <c r="C10" s="651"/>
      <c r="D10" s="671"/>
      <c r="E10" s="651"/>
    </row>
    <row r="11" spans="1:35" ht="15" x14ac:dyDescent="0.25">
      <c r="A11" s="652">
        <v>1</v>
      </c>
      <c r="B11" s="653" t="s">
        <v>805</v>
      </c>
      <c r="C11" s="654" t="s">
        <v>806</v>
      </c>
      <c r="D11" s="672" t="s">
        <v>343</v>
      </c>
      <c r="E11" s="655">
        <v>41</v>
      </c>
      <c r="F11" s="655">
        <v>50</v>
      </c>
      <c r="G11" s="655">
        <v>50</v>
      </c>
      <c r="H11" s="655">
        <v>50</v>
      </c>
    </row>
    <row r="12" spans="1:35" ht="15" x14ac:dyDescent="0.25">
      <c r="A12" s="652">
        <v>2</v>
      </c>
      <c r="B12" s="653" t="s">
        <v>807</v>
      </c>
      <c r="C12" s="654" t="s">
        <v>808</v>
      </c>
      <c r="D12" s="672" t="s">
        <v>343</v>
      </c>
      <c r="E12" s="655">
        <v>125</v>
      </c>
      <c r="F12" s="655">
        <v>147</v>
      </c>
      <c r="G12" s="655">
        <v>147</v>
      </c>
      <c r="H12" s="655">
        <v>147</v>
      </c>
    </row>
    <row r="13" spans="1:35" ht="25.5" customHeight="1" x14ac:dyDescent="0.25">
      <c r="A13" s="652">
        <v>3</v>
      </c>
      <c r="B13" s="656" t="s">
        <v>809</v>
      </c>
      <c r="C13" s="657" t="s">
        <v>752</v>
      </c>
      <c r="D13" s="673" t="s">
        <v>343</v>
      </c>
      <c r="E13" s="658"/>
      <c r="F13" s="658">
        <v>240</v>
      </c>
      <c r="G13" s="658">
        <v>240</v>
      </c>
      <c r="H13" s="658">
        <v>240</v>
      </c>
    </row>
    <row r="14" spans="1:35" ht="15" x14ac:dyDescent="0.25">
      <c r="A14" s="652">
        <v>4</v>
      </c>
      <c r="B14" s="653" t="s">
        <v>386</v>
      </c>
      <c r="C14" s="654" t="s">
        <v>810</v>
      </c>
      <c r="D14" s="672" t="s">
        <v>343</v>
      </c>
      <c r="E14" s="655">
        <v>330</v>
      </c>
      <c r="F14" s="655">
        <v>335</v>
      </c>
      <c r="G14" s="655">
        <v>335</v>
      </c>
      <c r="H14" s="655">
        <v>335</v>
      </c>
    </row>
    <row r="15" spans="1:35" ht="15" x14ac:dyDescent="0.25">
      <c r="A15" s="652">
        <v>5</v>
      </c>
      <c r="B15" s="653" t="s">
        <v>388</v>
      </c>
      <c r="C15" s="654" t="s">
        <v>811</v>
      </c>
      <c r="D15" s="672" t="s">
        <v>343</v>
      </c>
      <c r="E15" s="655">
        <v>930</v>
      </c>
      <c r="F15" s="655">
        <v>960</v>
      </c>
      <c r="G15" s="655">
        <v>960</v>
      </c>
      <c r="H15" s="655">
        <v>960</v>
      </c>
    </row>
    <row r="16" spans="1:35" ht="15" x14ac:dyDescent="0.25">
      <c r="A16" s="652">
        <v>6</v>
      </c>
      <c r="B16" s="653" t="s">
        <v>812</v>
      </c>
      <c r="C16" s="654" t="s">
        <v>813</v>
      </c>
      <c r="D16" s="672" t="s">
        <v>343</v>
      </c>
      <c r="E16" s="655"/>
      <c r="F16" s="655">
        <v>700</v>
      </c>
      <c r="G16" s="655">
        <v>700</v>
      </c>
      <c r="H16" s="655">
        <v>700</v>
      </c>
    </row>
    <row r="17" spans="1:8" ht="15" x14ac:dyDescent="0.25">
      <c r="A17" s="652">
        <v>7</v>
      </c>
      <c r="B17" s="654" t="s">
        <v>406</v>
      </c>
      <c r="C17" s="654" t="s">
        <v>814</v>
      </c>
      <c r="D17" s="674" t="s">
        <v>343</v>
      </c>
      <c r="E17" s="655">
        <v>225</v>
      </c>
      <c r="F17" s="655">
        <v>271</v>
      </c>
      <c r="G17" s="655">
        <v>271</v>
      </c>
      <c r="H17" s="655">
        <v>271</v>
      </c>
    </row>
    <row r="18" spans="1:8" ht="24.75" customHeight="1" x14ac:dyDescent="0.25">
      <c r="A18" s="652">
        <v>8</v>
      </c>
      <c r="B18" s="659" t="s">
        <v>815</v>
      </c>
      <c r="C18" s="660" t="s">
        <v>816</v>
      </c>
      <c r="D18" s="675" t="s">
        <v>343</v>
      </c>
      <c r="E18" s="661">
        <v>233</v>
      </c>
      <c r="F18" s="661">
        <v>236</v>
      </c>
      <c r="G18" s="661">
        <v>236</v>
      </c>
      <c r="H18" s="661">
        <v>236</v>
      </c>
    </row>
    <row r="19" spans="1:8" ht="20.25" customHeight="1" x14ac:dyDescent="0.25">
      <c r="A19" s="652">
        <v>9</v>
      </c>
      <c r="B19" s="659" t="s">
        <v>412</v>
      </c>
      <c r="C19" s="660" t="s">
        <v>817</v>
      </c>
      <c r="D19" s="675" t="s">
        <v>343</v>
      </c>
      <c r="E19" s="661">
        <v>250</v>
      </c>
      <c r="F19" s="661">
        <v>200</v>
      </c>
      <c r="G19" s="661">
        <v>200</v>
      </c>
      <c r="H19" s="661">
        <v>200</v>
      </c>
    </row>
    <row r="20" spans="1:8" ht="27.75" customHeight="1" x14ac:dyDescent="0.25">
      <c r="A20" s="652">
        <v>10</v>
      </c>
      <c r="B20" s="659" t="s">
        <v>423</v>
      </c>
      <c r="C20" s="660" t="s">
        <v>818</v>
      </c>
      <c r="D20" s="675" t="s">
        <v>343</v>
      </c>
      <c r="E20" s="661">
        <v>1800</v>
      </c>
      <c r="F20" s="661">
        <v>1800</v>
      </c>
      <c r="G20" s="661">
        <v>1800</v>
      </c>
      <c r="H20" s="661">
        <v>1800</v>
      </c>
    </row>
    <row r="21" spans="1:8" ht="28.5" customHeight="1" x14ac:dyDescent="0.25">
      <c r="A21" s="652">
        <v>11</v>
      </c>
      <c r="B21" s="659" t="s">
        <v>425</v>
      </c>
      <c r="C21" s="660" t="s">
        <v>819</v>
      </c>
      <c r="D21" s="675" t="s">
        <v>343</v>
      </c>
      <c r="E21" s="661">
        <v>2000</v>
      </c>
      <c r="F21" s="661">
        <v>2000</v>
      </c>
      <c r="G21" s="661">
        <v>2000</v>
      </c>
      <c r="H21" s="661">
        <v>2000</v>
      </c>
    </row>
    <row r="22" spans="1:8" ht="48" customHeight="1" x14ac:dyDescent="0.2">
      <c r="A22" s="676">
        <v>12</v>
      </c>
      <c r="B22" s="662" t="s">
        <v>820</v>
      </c>
      <c r="C22" s="677" t="s">
        <v>821</v>
      </c>
      <c r="D22" s="678" t="s">
        <v>343</v>
      </c>
      <c r="E22" s="679"/>
      <c r="F22" s="679">
        <v>97</v>
      </c>
      <c r="G22" s="679">
        <v>97</v>
      </c>
      <c r="H22" s="679">
        <v>97</v>
      </c>
    </row>
    <row r="23" spans="1:8" ht="30" customHeight="1" x14ac:dyDescent="0.25">
      <c r="A23" s="652">
        <v>13</v>
      </c>
      <c r="B23" s="659" t="s">
        <v>822</v>
      </c>
      <c r="C23" s="660" t="s">
        <v>823</v>
      </c>
      <c r="D23" s="675">
        <v>43465</v>
      </c>
      <c r="E23" s="661"/>
      <c r="F23" s="661">
        <v>991</v>
      </c>
      <c r="G23" s="661">
        <v>991</v>
      </c>
      <c r="H23" s="661">
        <v>991</v>
      </c>
    </row>
    <row r="24" spans="1:8" ht="33" customHeight="1" x14ac:dyDescent="0.25">
      <c r="A24" s="652">
        <v>14</v>
      </c>
      <c r="B24" s="659" t="s">
        <v>824</v>
      </c>
      <c r="C24" s="660" t="s">
        <v>825</v>
      </c>
      <c r="D24" s="675" t="s">
        <v>343</v>
      </c>
      <c r="E24" s="661"/>
      <c r="F24" s="661">
        <v>515</v>
      </c>
      <c r="G24" s="661">
        <v>515</v>
      </c>
      <c r="H24" s="661">
        <v>515</v>
      </c>
    </row>
    <row r="25" spans="1:8" ht="15" x14ac:dyDescent="0.25">
      <c r="A25" s="652">
        <v>17</v>
      </c>
      <c r="B25" s="664" t="s">
        <v>826</v>
      </c>
      <c r="C25" s="664" t="s">
        <v>827</v>
      </c>
      <c r="D25" s="680">
        <v>43009</v>
      </c>
      <c r="E25" s="665"/>
      <c r="F25" s="666">
        <v>3500</v>
      </c>
      <c r="G25" s="666">
        <v>3500</v>
      </c>
      <c r="H25" s="666">
        <v>3500</v>
      </c>
    </row>
    <row r="26" spans="1:8" ht="15" x14ac:dyDescent="0.25">
      <c r="A26" s="652">
        <v>22</v>
      </c>
      <c r="B26" s="664" t="s">
        <v>828</v>
      </c>
      <c r="C26" s="664" t="s">
        <v>829</v>
      </c>
      <c r="D26" s="680" t="s">
        <v>343</v>
      </c>
      <c r="E26" s="667"/>
      <c r="F26" s="666">
        <v>248</v>
      </c>
      <c r="G26" s="666">
        <v>248</v>
      </c>
      <c r="H26" s="666">
        <v>248</v>
      </c>
    </row>
    <row r="27" spans="1:8" ht="15.75" x14ac:dyDescent="0.25">
      <c r="A27" s="652">
        <v>23</v>
      </c>
      <c r="B27" s="664" t="s">
        <v>830</v>
      </c>
      <c r="C27" s="664" t="s">
        <v>831</v>
      </c>
      <c r="D27" s="669" t="s">
        <v>343</v>
      </c>
      <c r="E27" s="668"/>
      <c r="F27" s="666">
        <v>168</v>
      </c>
      <c r="G27" s="666">
        <v>168</v>
      </c>
      <c r="H27" s="666">
        <v>168</v>
      </c>
    </row>
    <row r="28" spans="1:8" ht="15.75" x14ac:dyDescent="0.25">
      <c r="A28" s="681">
        <v>24</v>
      </c>
      <c r="B28" s="664" t="s">
        <v>832</v>
      </c>
      <c r="C28" s="664" t="s">
        <v>833</v>
      </c>
      <c r="D28" s="669" t="s">
        <v>343</v>
      </c>
      <c r="E28" s="668"/>
      <c r="F28" s="666">
        <v>76</v>
      </c>
      <c r="G28" s="666">
        <v>76</v>
      </c>
      <c r="H28" s="666">
        <v>76</v>
      </c>
    </row>
    <row r="29" spans="1:8" ht="15.75" x14ac:dyDescent="0.25">
      <c r="A29" s="652">
        <v>25</v>
      </c>
      <c r="B29" s="668"/>
      <c r="C29" s="664" t="s">
        <v>834</v>
      </c>
      <c r="D29" s="669" t="s">
        <v>343</v>
      </c>
      <c r="E29" s="668"/>
      <c r="F29" s="663">
        <v>127</v>
      </c>
      <c r="G29" s="663">
        <v>127</v>
      </c>
      <c r="H29" s="663">
        <v>127</v>
      </c>
    </row>
    <row r="30" spans="1:8" ht="15" x14ac:dyDescent="0.25">
      <c r="A30" s="652">
        <v>26</v>
      </c>
      <c r="B30" s="664" t="s">
        <v>835</v>
      </c>
      <c r="C30" s="664" t="s">
        <v>836</v>
      </c>
      <c r="D30" s="680">
        <v>42855</v>
      </c>
      <c r="E30" s="667"/>
      <c r="F30" s="666">
        <v>1531</v>
      </c>
      <c r="G30" s="666">
        <v>1531</v>
      </c>
      <c r="H30" s="666">
        <v>1531</v>
      </c>
    </row>
    <row r="31" spans="1:8" ht="15" x14ac:dyDescent="0.25">
      <c r="A31" s="652">
        <v>27</v>
      </c>
      <c r="B31" s="664" t="s">
        <v>792</v>
      </c>
      <c r="C31" s="664" t="s">
        <v>837</v>
      </c>
      <c r="D31" s="680">
        <v>42855</v>
      </c>
      <c r="E31" s="667"/>
      <c r="F31" s="666">
        <v>3446</v>
      </c>
      <c r="G31" s="666">
        <v>3446</v>
      </c>
      <c r="H31" s="666">
        <v>3446</v>
      </c>
    </row>
    <row r="32" spans="1:8" ht="15" x14ac:dyDescent="0.25">
      <c r="A32" s="652">
        <v>28</v>
      </c>
      <c r="B32" s="664" t="s">
        <v>790</v>
      </c>
      <c r="C32" s="664" t="s">
        <v>838</v>
      </c>
      <c r="D32" s="680">
        <v>42825</v>
      </c>
      <c r="E32" s="667"/>
      <c r="F32" s="666">
        <v>1727</v>
      </c>
      <c r="G32" s="666">
        <v>1727</v>
      </c>
      <c r="H32" s="666">
        <v>1727</v>
      </c>
    </row>
    <row r="33" spans="1:8" ht="15" x14ac:dyDescent="0.25">
      <c r="A33" s="652">
        <v>29</v>
      </c>
      <c r="B33" s="664" t="s">
        <v>839</v>
      </c>
      <c r="C33" s="664" t="s">
        <v>840</v>
      </c>
      <c r="D33" s="680">
        <v>42916</v>
      </c>
      <c r="E33" s="665"/>
      <c r="F33" s="666">
        <v>1270</v>
      </c>
      <c r="G33" s="666">
        <v>1270</v>
      </c>
      <c r="H33" s="666">
        <v>1270</v>
      </c>
    </row>
    <row r="34" spans="1:8" ht="15" x14ac:dyDescent="0.25">
      <c r="A34" s="652">
        <v>30</v>
      </c>
      <c r="B34" s="664"/>
      <c r="C34" s="664" t="s">
        <v>841</v>
      </c>
      <c r="D34" s="680" t="s">
        <v>343</v>
      </c>
      <c r="E34" s="665"/>
      <c r="F34" s="666">
        <v>355</v>
      </c>
      <c r="G34" s="666">
        <v>355</v>
      </c>
      <c r="H34" s="666">
        <v>355</v>
      </c>
    </row>
    <row r="35" spans="1:8" ht="15" x14ac:dyDescent="0.25">
      <c r="A35" s="652">
        <v>31</v>
      </c>
      <c r="B35" s="664"/>
      <c r="C35" s="664" t="s">
        <v>842</v>
      </c>
      <c r="D35" s="680" t="s">
        <v>343</v>
      </c>
      <c r="E35" s="665"/>
      <c r="F35" s="666">
        <v>321</v>
      </c>
      <c r="G35" s="666">
        <v>321</v>
      </c>
      <c r="H35" s="666">
        <v>321</v>
      </c>
    </row>
    <row r="36" spans="1:8" ht="15" x14ac:dyDescent="0.25">
      <c r="A36" s="652">
        <v>32</v>
      </c>
      <c r="B36" s="664"/>
      <c r="C36" s="664" t="s">
        <v>843</v>
      </c>
      <c r="D36" s="680" t="s">
        <v>343</v>
      </c>
      <c r="E36" s="665"/>
      <c r="F36" s="666">
        <v>458</v>
      </c>
      <c r="G36" s="666">
        <v>458</v>
      </c>
      <c r="H36" s="666">
        <v>458</v>
      </c>
    </row>
    <row r="37" spans="1:8" ht="15" x14ac:dyDescent="0.25">
      <c r="A37" s="652">
        <v>33</v>
      </c>
      <c r="B37" s="664" t="s">
        <v>918</v>
      </c>
      <c r="C37" s="664" t="s">
        <v>919</v>
      </c>
      <c r="D37" s="680" t="s">
        <v>343</v>
      </c>
      <c r="E37" s="665"/>
      <c r="F37" s="666">
        <v>131</v>
      </c>
      <c r="G37" s="666">
        <v>131</v>
      </c>
      <c r="H37" s="666">
        <v>131</v>
      </c>
    </row>
    <row r="38" spans="1:8" ht="30" x14ac:dyDescent="0.25">
      <c r="A38" s="652">
        <v>34</v>
      </c>
      <c r="B38" s="664" t="s">
        <v>920</v>
      </c>
      <c r="C38" s="732" t="s">
        <v>921</v>
      </c>
      <c r="D38" s="680" t="s">
        <v>343</v>
      </c>
      <c r="E38" s="665"/>
      <c r="F38" s="666">
        <v>686</v>
      </c>
      <c r="G38" s="666">
        <v>686</v>
      </c>
      <c r="H38" s="666">
        <v>686</v>
      </c>
    </row>
    <row r="39" spans="1:8" ht="15" x14ac:dyDescent="0.25">
      <c r="A39" s="652"/>
      <c r="B39" s="664"/>
      <c r="C39" s="732" t="s">
        <v>922</v>
      </c>
      <c r="D39" s="680" t="s">
        <v>343</v>
      </c>
      <c r="E39" s="665"/>
      <c r="F39" s="666">
        <v>550</v>
      </c>
      <c r="G39" s="666">
        <v>550</v>
      </c>
      <c r="H39" s="666">
        <v>550</v>
      </c>
    </row>
    <row r="40" spans="1:8" ht="15" x14ac:dyDescent="0.25">
      <c r="A40" s="652"/>
      <c r="B40" s="664"/>
      <c r="C40" s="732" t="s">
        <v>917</v>
      </c>
      <c r="D40" s="680" t="s">
        <v>343</v>
      </c>
      <c r="E40" s="665"/>
      <c r="F40" s="666">
        <v>4000</v>
      </c>
      <c r="G40" s="666">
        <v>4000</v>
      </c>
      <c r="H40" s="666">
        <v>4000</v>
      </c>
    </row>
    <row r="41" spans="1:8" ht="15.75" x14ac:dyDescent="0.25">
      <c r="E41" s="682">
        <v>5934</v>
      </c>
      <c r="F41" s="682">
        <f>SUM(F11:F40)</f>
        <v>27136</v>
      </c>
      <c r="G41" s="682">
        <f>SUM(G11:G40)</f>
        <v>27136</v>
      </c>
      <c r="H41" s="682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94" t="s">
        <v>1173</v>
      </c>
      <c r="B1" s="1394"/>
      <c r="C1" s="1394"/>
      <c r="D1" s="1394"/>
      <c r="E1" s="1394"/>
      <c r="F1" s="1394"/>
      <c r="G1" s="1394"/>
      <c r="H1" s="1394"/>
    </row>
    <row r="2" spans="1:8" x14ac:dyDescent="0.2">
      <c r="A2" s="797"/>
      <c r="B2" s="797"/>
      <c r="C2" s="797"/>
      <c r="D2" s="798"/>
      <c r="E2" s="797"/>
      <c r="F2" s="797"/>
      <c r="G2" s="797"/>
      <c r="H2" s="797"/>
    </row>
    <row r="3" spans="1:8" x14ac:dyDescent="0.2">
      <c r="A3" s="1398" t="s">
        <v>78</v>
      </c>
      <c r="B3" s="1398"/>
      <c r="C3" s="1398"/>
      <c r="D3" s="1398"/>
      <c r="E3" s="1398"/>
      <c r="F3" s="1398"/>
      <c r="G3" s="1398"/>
      <c r="H3" s="1398"/>
    </row>
    <row r="4" spans="1:8" ht="14.25" x14ac:dyDescent="0.2">
      <c r="A4" s="1386" t="s">
        <v>327</v>
      </c>
      <c r="B4" s="1386"/>
      <c r="C4" s="1386"/>
      <c r="D4" s="1386"/>
      <c r="E4" s="1386"/>
      <c r="F4" s="1386"/>
      <c r="G4" s="1386"/>
      <c r="H4" s="1386"/>
    </row>
    <row r="5" spans="1:8" ht="14.25" x14ac:dyDescent="0.2">
      <c r="A5" s="1386" t="s">
        <v>1148</v>
      </c>
      <c r="B5" s="1386"/>
      <c r="C5" s="1386"/>
      <c r="D5" s="1386"/>
      <c r="E5" s="1386"/>
      <c r="F5" s="1386"/>
      <c r="G5" s="1386"/>
      <c r="H5" s="1386"/>
    </row>
    <row r="6" spans="1:8" ht="14.25" x14ac:dyDescent="0.2">
      <c r="A6" s="1387" t="s">
        <v>55</v>
      </c>
      <c r="B6" s="1387"/>
      <c r="C6" s="1387"/>
      <c r="D6" s="1387"/>
      <c r="E6" s="1387"/>
      <c r="F6" s="1387"/>
      <c r="G6" s="1387"/>
      <c r="H6" s="1387"/>
    </row>
    <row r="7" spans="1:8" ht="15" x14ac:dyDescent="0.25">
      <c r="A7" s="1006"/>
      <c r="B7" s="1007"/>
      <c r="C7" s="1007"/>
      <c r="D7" s="1007"/>
      <c r="E7" s="1007"/>
      <c r="F7" s="797"/>
      <c r="G7" s="797"/>
      <c r="H7" s="797"/>
    </row>
    <row r="8" spans="1:8" ht="14.25" customHeight="1" x14ac:dyDescent="0.2">
      <c r="A8" s="1395"/>
      <c r="B8" s="1008" t="s">
        <v>57</v>
      </c>
      <c r="C8" s="1008" t="s">
        <v>58</v>
      </c>
      <c r="D8" s="1008" t="s">
        <v>59</v>
      </c>
      <c r="E8" s="1008" t="s">
        <v>60</v>
      </c>
      <c r="F8" s="1009" t="s">
        <v>484</v>
      </c>
      <c r="G8" s="1009" t="s">
        <v>485</v>
      </c>
      <c r="H8" s="1009" t="s">
        <v>486</v>
      </c>
    </row>
    <row r="9" spans="1:8" ht="14.25" customHeight="1" x14ac:dyDescent="0.2">
      <c r="A9" s="1395"/>
      <c r="B9" s="1396" t="s">
        <v>329</v>
      </c>
      <c r="C9" s="1397" t="s">
        <v>330</v>
      </c>
      <c r="D9" s="1397" t="s">
        <v>331</v>
      </c>
      <c r="E9" s="1010"/>
      <c r="F9" s="1011"/>
      <c r="G9" s="1012"/>
      <c r="H9" s="1012"/>
    </row>
    <row r="10" spans="1:8" ht="14.25" customHeight="1" x14ac:dyDescent="0.2">
      <c r="A10" s="1395"/>
      <c r="B10" s="1396"/>
      <c r="C10" s="1397"/>
      <c r="D10" s="1397"/>
      <c r="E10" s="1013" t="s">
        <v>741</v>
      </c>
      <c r="F10" s="1014" t="s">
        <v>966</v>
      </c>
      <c r="G10" s="1015" t="s">
        <v>1149</v>
      </c>
      <c r="H10" s="1015" t="s">
        <v>1150</v>
      </c>
    </row>
    <row r="11" spans="1:8" ht="15" x14ac:dyDescent="0.25">
      <c r="A11" s="401"/>
      <c r="B11" s="437" t="s">
        <v>337</v>
      </c>
      <c r="C11" s="438"/>
      <c r="D11" s="438"/>
      <c r="E11" s="797"/>
      <c r="F11" s="797"/>
      <c r="G11" s="797"/>
      <c r="H11" s="797"/>
    </row>
    <row r="12" spans="1:8" ht="15" x14ac:dyDescent="0.25">
      <c r="A12" s="1016">
        <v>1</v>
      </c>
      <c r="B12" s="1017" t="s">
        <v>341</v>
      </c>
      <c r="C12" s="1018" t="s">
        <v>340</v>
      </c>
      <c r="D12" s="1019" t="s">
        <v>343</v>
      </c>
      <c r="E12" s="1020">
        <v>300</v>
      </c>
      <c r="F12" s="1020">
        <v>300</v>
      </c>
      <c r="G12" s="1020">
        <v>300</v>
      </c>
      <c r="H12" s="1020">
        <v>300</v>
      </c>
    </row>
    <row r="13" spans="1:8" ht="15" x14ac:dyDescent="0.25">
      <c r="A13" s="1016">
        <v>2</v>
      </c>
      <c r="B13" s="1021" t="s">
        <v>344</v>
      </c>
      <c r="C13" s="1022" t="s">
        <v>345</v>
      </c>
      <c r="D13" s="1019" t="s">
        <v>343</v>
      </c>
      <c r="E13" s="1023">
        <v>100</v>
      </c>
      <c r="F13" s="1023">
        <v>100</v>
      </c>
      <c r="G13" s="1023">
        <v>100</v>
      </c>
      <c r="H13" s="1023">
        <v>100</v>
      </c>
    </row>
    <row r="14" spans="1:8" ht="15" x14ac:dyDescent="0.25">
      <c r="A14" s="1016">
        <v>3</v>
      </c>
      <c r="B14" s="1021" t="s">
        <v>348</v>
      </c>
      <c r="C14" s="1022" t="s">
        <v>742</v>
      </c>
      <c r="D14" s="1019" t="s">
        <v>343</v>
      </c>
      <c r="E14" s="1023">
        <v>24241</v>
      </c>
      <c r="F14" s="1023">
        <v>24241</v>
      </c>
      <c r="G14" s="1023">
        <v>24241</v>
      </c>
      <c r="H14" s="1023">
        <v>24241</v>
      </c>
    </row>
    <row r="15" spans="1:8" ht="15" x14ac:dyDescent="0.25">
      <c r="A15" s="1016">
        <v>4</v>
      </c>
      <c r="B15" s="1021" t="s">
        <v>348</v>
      </c>
      <c r="C15" s="1022" t="s">
        <v>743</v>
      </c>
      <c r="D15" s="1019" t="s">
        <v>343</v>
      </c>
      <c r="E15" s="1023">
        <v>27321</v>
      </c>
      <c r="F15" s="1023">
        <v>27321</v>
      </c>
      <c r="G15" s="1023">
        <v>27321</v>
      </c>
      <c r="H15" s="1023">
        <v>27321</v>
      </c>
    </row>
    <row r="16" spans="1:8" ht="15" x14ac:dyDescent="0.25">
      <c r="A16" s="1016">
        <v>5</v>
      </c>
      <c r="B16" s="1021" t="s">
        <v>356</v>
      </c>
      <c r="C16" s="1022" t="s">
        <v>357</v>
      </c>
      <c r="D16" s="1019" t="s">
        <v>343</v>
      </c>
      <c r="E16" s="1023">
        <v>10</v>
      </c>
      <c r="F16" s="1023">
        <v>10</v>
      </c>
      <c r="G16" s="1023">
        <v>10</v>
      </c>
      <c r="H16" s="1023">
        <v>10</v>
      </c>
    </row>
    <row r="17" spans="1:19" ht="15" x14ac:dyDescent="0.25">
      <c r="A17" s="1016">
        <v>6</v>
      </c>
      <c r="B17" s="1021" t="s">
        <v>744</v>
      </c>
      <c r="C17" s="1022" t="s">
        <v>745</v>
      </c>
      <c r="D17" s="1024" t="s">
        <v>343</v>
      </c>
      <c r="E17" s="1023">
        <v>62</v>
      </c>
      <c r="F17" s="1023">
        <v>62</v>
      </c>
      <c r="G17" s="1023">
        <v>62</v>
      </c>
      <c r="H17" s="1023">
        <v>62</v>
      </c>
    </row>
    <row r="18" spans="1:19" ht="15" x14ac:dyDescent="0.25">
      <c r="A18" s="1016">
        <v>7</v>
      </c>
      <c r="B18" s="1021" t="s">
        <v>746</v>
      </c>
      <c r="C18" s="1022" t="s">
        <v>747</v>
      </c>
      <c r="D18" s="1024" t="s">
        <v>343</v>
      </c>
      <c r="E18" s="1023">
        <v>900</v>
      </c>
      <c r="F18" s="1023">
        <v>900</v>
      </c>
      <c r="G18" s="1023">
        <v>900</v>
      </c>
      <c r="H18" s="1023">
        <v>900</v>
      </c>
    </row>
    <row r="19" spans="1:19" ht="15" x14ac:dyDescent="0.25">
      <c r="A19" s="1016">
        <v>8</v>
      </c>
      <c r="B19" s="1021" t="s">
        <v>748</v>
      </c>
      <c r="C19" s="1022" t="s">
        <v>749</v>
      </c>
      <c r="D19" s="1024" t="s">
        <v>343</v>
      </c>
      <c r="E19" s="1023">
        <v>1190</v>
      </c>
      <c r="F19" s="1023">
        <v>1190</v>
      </c>
      <c r="G19" s="1023">
        <v>1190</v>
      </c>
      <c r="H19" s="1023">
        <v>1190</v>
      </c>
    </row>
    <row r="20" spans="1:19" ht="15" x14ac:dyDescent="0.25">
      <c r="A20" s="1016">
        <v>9</v>
      </c>
      <c r="B20" s="1021" t="s">
        <v>368</v>
      </c>
      <c r="C20" s="1022" t="s">
        <v>750</v>
      </c>
      <c r="D20" s="1024" t="s">
        <v>343</v>
      </c>
      <c r="E20" s="1023">
        <v>1600</v>
      </c>
      <c r="F20" s="1023">
        <v>1600</v>
      </c>
      <c r="G20" s="1023">
        <v>1600</v>
      </c>
      <c r="H20" s="1023">
        <v>1600</v>
      </c>
    </row>
    <row r="21" spans="1:19" ht="31.5" customHeight="1" x14ac:dyDescent="0.25">
      <c r="A21" s="1016">
        <v>10</v>
      </c>
      <c r="B21" s="1025" t="s">
        <v>751</v>
      </c>
      <c r="C21" s="1026" t="s">
        <v>752</v>
      </c>
      <c r="D21" s="1027" t="s">
        <v>343</v>
      </c>
      <c r="E21" s="1028">
        <v>35</v>
      </c>
      <c r="F21" s="1028">
        <v>35</v>
      </c>
      <c r="G21" s="1028">
        <v>35</v>
      </c>
      <c r="H21" s="1028">
        <v>35</v>
      </c>
    </row>
    <row r="22" spans="1:19" ht="15" x14ac:dyDescent="0.25">
      <c r="A22" s="1016">
        <f>A21+1</f>
        <v>11</v>
      </c>
      <c r="B22" s="1022"/>
      <c r="C22" s="1022" t="s">
        <v>753</v>
      </c>
      <c r="D22" s="1019"/>
      <c r="E22" s="1023">
        <v>1844</v>
      </c>
      <c r="F22" s="1023">
        <v>1844</v>
      </c>
      <c r="G22" s="1023">
        <v>1844</v>
      </c>
      <c r="H22" s="1023">
        <v>1844</v>
      </c>
    </row>
    <row r="23" spans="1:19" ht="15" x14ac:dyDescent="0.25">
      <c r="A23" s="1016">
        <v>12</v>
      </c>
      <c r="B23" s="1021" t="s">
        <v>988</v>
      </c>
      <c r="C23" s="1022" t="s">
        <v>985</v>
      </c>
      <c r="D23" s="1019" t="s">
        <v>343</v>
      </c>
      <c r="E23" s="1023">
        <v>900</v>
      </c>
      <c r="F23" s="1023">
        <v>900</v>
      </c>
      <c r="G23" s="1023">
        <v>900</v>
      </c>
      <c r="H23" s="1023">
        <v>900</v>
      </c>
    </row>
    <row r="24" spans="1:19" ht="31.5" customHeight="1" x14ac:dyDescent="0.25">
      <c r="A24" s="1016">
        <f t="shared" ref="A24:A68" si="0">A23+1</f>
        <v>13</v>
      </c>
      <c r="B24" s="664" t="s">
        <v>392</v>
      </c>
      <c r="C24" s="1029" t="s">
        <v>393</v>
      </c>
      <c r="D24" s="1030" t="s">
        <v>343</v>
      </c>
      <c r="E24" s="1031">
        <v>40</v>
      </c>
      <c r="F24" s="1031">
        <v>40</v>
      </c>
      <c r="G24" s="1031">
        <v>40</v>
      </c>
      <c r="H24" s="1031">
        <v>40</v>
      </c>
    </row>
    <row r="25" spans="1:19" ht="30" customHeight="1" x14ac:dyDescent="0.25">
      <c r="A25" s="1016">
        <f t="shared" si="0"/>
        <v>14</v>
      </c>
      <c r="B25" s="664" t="s">
        <v>396</v>
      </c>
      <c r="C25" s="1029" t="s">
        <v>754</v>
      </c>
      <c r="D25" s="1030" t="s">
        <v>343</v>
      </c>
      <c r="E25" s="1032">
        <v>210</v>
      </c>
      <c r="F25" s="1032">
        <v>210</v>
      </c>
      <c r="G25" s="1032">
        <v>210</v>
      </c>
      <c r="H25" s="1032">
        <v>210</v>
      </c>
    </row>
    <row r="26" spans="1:19" ht="27" customHeight="1" x14ac:dyDescent="0.25">
      <c r="A26" s="1016">
        <f t="shared" si="0"/>
        <v>15</v>
      </c>
      <c r="B26" s="1025" t="s">
        <v>398</v>
      </c>
      <c r="C26" s="1026" t="s">
        <v>755</v>
      </c>
      <c r="D26" s="1027" t="s">
        <v>343</v>
      </c>
      <c r="E26" s="1028">
        <v>199</v>
      </c>
      <c r="F26" s="1028">
        <v>199</v>
      </c>
      <c r="G26" s="1028">
        <v>199</v>
      </c>
      <c r="H26" s="1028">
        <v>199</v>
      </c>
    </row>
    <row r="27" spans="1:19" ht="26.25" customHeight="1" x14ac:dyDescent="0.25">
      <c r="A27" s="1016">
        <f t="shared" si="0"/>
        <v>16</v>
      </c>
      <c r="B27" s="1025" t="s">
        <v>400</v>
      </c>
      <c r="C27" s="1026" t="s">
        <v>401</v>
      </c>
      <c r="D27" s="1027" t="s">
        <v>343</v>
      </c>
      <c r="E27" s="1028">
        <v>1863</v>
      </c>
      <c r="F27" s="1028">
        <v>1863</v>
      </c>
      <c r="G27" s="1028">
        <v>1863</v>
      </c>
      <c r="H27" s="1028">
        <v>1863</v>
      </c>
    </row>
    <row r="28" spans="1:19" s="1034" customFormat="1" ht="30" customHeight="1" x14ac:dyDescent="0.25">
      <c r="A28" s="1016">
        <f t="shared" si="0"/>
        <v>17</v>
      </c>
      <c r="B28" s="664" t="s">
        <v>1151</v>
      </c>
      <c r="C28" s="1033" t="s">
        <v>1152</v>
      </c>
      <c r="D28" s="1030" t="s">
        <v>343</v>
      </c>
      <c r="E28" s="667">
        <v>5985</v>
      </c>
      <c r="F28" s="667">
        <v>5985</v>
      </c>
      <c r="G28" s="667">
        <v>5985</v>
      </c>
      <c r="H28" s="667">
        <v>5985</v>
      </c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</row>
    <row r="29" spans="1:19" ht="15" x14ac:dyDescent="0.25">
      <c r="A29" s="1016">
        <f t="shared" si="0"/>
        <v>18</v>
      </c>
      <c r="B29" s="1022" t="s">
        <v>408</v>
      </c>
      <c r="C29" s="1022" t="s">
        <v>756</v>
      </c>
      <c r="D29" s="1019" t="s">
        <v>343</v>
      </c>
      <c r="E29" s="1023">
        <v>36</v>
      </c>
      <c r="F29" s="1023">
        <v>36</v>
      </c>
      <c r="G29" s="1023">
        <v>36</v>
      </c>
      <c r="H29" s="1023">
        <v>36</v>
      </c>
    </row>
    <row r="30" spans="1:19" ht="27" customHeight="1" x14ac:dyDescent="0.25">
      <c r="A30" s="1016">
        <f t="shared" si="0"/>
        <v>19</v>
      </c>
      <c r="B30" s="664"/>
      <c r="C30" s="1033" t="s">
        <v>757</v>
      </c>
      <c r="D30" s="1030" t="s">
        <v>343</v>
      </c>
      <c r="E30" s="1032">
        <v>15</v>
      </c>
      <c r="F30" s="1032">
        <v>15</v>
      </c>
      <c r="G30" s="1032">
        <v>15</v>
      </c>
      <c r="H30" s="1032">
        <v>15</v>
      </c>
    </row>
    <row r="31" spans="1:19" ht="35.25" customHeight="1" x14ac:dyDescent="0.25">
      <c r="A31" s="1016">
        <f t="shared" si="0"/>
        <v>20</v>
      </c>
      <c r="B31" s="664" t="s">
        <v>414</v>
      </c>
      <c r="C31" s="1033" t="s">
        <v>415</v>
      </c>
      <c r="D31" s="1030">
        <v>43497</v>
      </c>
      <c r="E31" s="667">
        <v>3553</v>
      </c>
      <c r="F31" s="667">
        <v>3553</v>
      </c>
      <c r="G31" s="667">
        <v>3553</v>
      </c>
      <c r="H31" s="667">
        <v>3553</v>
      </c>
    </row>
    <row r="32" spans="1:19" ht="30.75" customHeight="1" x14ac:dyDescent="0.25">
      <c r="A32" s="1016">
        <f t="shared" si="0"/>
        <v>21</v>
      </c>
      <c r="B32" s="664" t="s">
        <v>758</v>
      </c>
      <c r="C32" s="1033" t="s">
        <v>1153</v>
      </c>
      <c r="D32" s="1030" t="s">
        <v>343</v>
      </c>
      <c r="E32" s="667">
        <v>1920</v>
      </c>
      <c r="F32" s="667">
        <v>1920</v>
      </c>
      <c r="G32" s="667">
        <v>1920</v>
      </c>
      <c r="H32" s="667">
        <v>1920</v>
      </c>
    </row>
    <row r="33" spans="1:19" s="1034" customFormat="1" ht="27.75" customHeight="1" x14ac:dyDescent="0.25">
      <c r="A33" s="1016">
        <f t="shared" si="0"/>
        <v>22</v>
      </c>
      <c r="B33" s="664" t="s">
        <v>758</v>
      </c>
      <c r="C33" s="1033" t="s">
        <v>1154</v>
      </c>
      <c r="D33" s="1030" t="s">
        <v>343</v>
      </c>
      <c r="E33" s="667">
        <v>1800</v>
      </c>
      <c r="F33" s="667">
        <v>1800</v>
      </c>
      <c r="G33" s="667">
        <v>1800</v>
      </c>
      <c r="H33" s="667">
        <v>1800</v>
      </c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</row>
    <row r="34" spans="1:19" ht="27.75" customHeight="1" x14ac:dyDescent="0.25">
      <c r="A34" s="1016">
        <f t="shared" si="0"/>
        <v>23</v>
      </c>
      <c r="B34" s="664" t="s">
        <v>759</v>
      </c>
      <c r="C34" s="1033" t="s">
        <v>760</v>
      </c>
      <c r="D34" s="1030" t="s">
        <v>343</v>
      </c>
      <c r="E34" s="667">
        <v>30</v>
      </c>
      <c r="F34" s="667">
        <v>30</v>
      </c>
      <c r="G34" s="667">
        <v>30</v>
      </c>
      <c r="H34" s="667">
        <v>30</v>
      </c>
    </row>
    <row r="35" spans="1:19" ht="21.75" customHeight="1" x14ac:dyDescent="0.25">
      <c r="A35" s="1016">
        <f t="shared" si="0"/>
        <v>24</v>
      </c>
      <c r="B35" s="664" t="s">
        <v>761</v>
      </c>
      <c r="C35" s="1033" t="s">
        <v>762</v>
      </c>
      <c r="D35" s="1030">
        <v>44196</v>
      </c>
      <c r="E35" s="667">
        <v>153</v>
      </c>
      <c r="F35" s="667">
        <v>153</v>
      </c>
      <c r="G35" s="667">
        <v>153</v>
      </c>
      <c r="H35" s="667">
        <v>153</v>
      </c>
    </row>
    <row r="36" spans="1:19" ht="24.75" customHeight="1" x14ac:dyDescent="0.25">
      <c r="A36" s="1016">
        <f t="shared" si="0"/>
        <v>25</v>
      </c>
      <c r="B36" s="664" t="s">
        <v>763</v>
      </c>
      <c r="C36" s="1033" t="s">
        <v>764</v>
      </c>
      <c r="D36" s="1030" t="s">
        <v>343</v>
      </c>
      <c r="E36" s="667">
        <v>457</v>
      </c>
      <c r="F36" s="667">
        <v>457</v>
      </c>
      <c r="G36" s="667">
        <v>457</v>
      </c>
      <c r="H36" s="667">
        <v>457</v>
      </c>
    </row>
    <row r="37" spans="1:19" ht="28.5" customHeight="1" x14ac:dyDescent="0.25">
      <c r="A37" s="1016">
        <f t="shared" si="0"/>
        <v>26</v>
      </c>
      <c r="B37" s="664" t="s">
        <v>765</v>
      </c>
      <c r="C37" s="1033" t="s">
        <v>965</v>
      </c>
      <c r="D37" s="1030" t="s">
        <v>343</v>
      </c>
      <c r="E37" s="667">
        <v>198</v>
      </c>
      <c r="F37" s="667">
        <v>198</v>
      </c>
      <c r="G37" s="667">
        <v>198</v>
      </c>
      <c r="H37" s="667">
        <v>198</v>
      </c>
    </row>
    <row r="38" spans="1:19" ht="36" customHeight="1" x14ac:dyDescent="0.25">
      <c r="A38" s="1016">
        <f t="shared" si="0"/>
        <v>27</v>
      </c>
      <c r="B38" s="664" t="s">
        <v>766</v>
      </c>
      <c r="C38" s="1033" t="s">
        <v>767</v>
      </c>
      <c r="D38" s="1030" t="s">
        <v>343</v>
      </c>
      <c r="E38" s="667">
        <v>217</v>
      </c>
      <c r="F38" s="667">
        <v>217</v>
      </c>
      <c r="G38" s="667">
        <v>217</v>
      </c>
      <c r="H38" s="667">
        <v>217</v>
      </c>
    </row>
    <row r="39" spans="1:19" ht="26.25" customHeight="1" x14ac:dyDescent="0.25">
      <c r="A39" s="1016">
        <f t="shared" si="0"/>
        <v>28</v>
      </c>
      <c r="B39" s="664" t="s">
        <v>127</v>
      </c>
      <c r="C39" s="1033" t="s">
        <v>768</v>
      </c>
      <c r="D39" s="1030" t="s">
        <v>343</v>
      </c>
      <c r="E39" s="667">
        <v>1200</v>
      </c>
      <c r="F39" s="667">
        <v>1200</v>
      </c>
      <c r="G39" s="667">
        <v>1200</v>
      </c>
      <c r="H39" s="667">
        <v>1200</v>
      </c>
    </row>
    <row r="40" spans="1:19" ht="30.75" customHeight="1" x14ac:dyDescent="0.25">
      <c r="A40" s="1016">
        <f t="shared" si="0"/>
        <v>29</v>
      </c>
      <c r="B40" s="664" t="s">
        <v>769</v>
      </c>
      <c r="C40" s="1033" t="s">
        <v>770</v>
      </c>
      <c r="D40" s="1030">
        <v>43709</v>
      </c>
      <c r="E40" s="667">
        <v>2439</v>
      </c>
      <c r="F40" s="667">
        <v>2439</v>
      </c>
      <c r="G40" s="667">
        <v>2439</v>
      </c>
      <c r="H40" s="667">
        <v>2439</v>
      </c>
    </row>
    <row r="41" spans="1:19" ht="36" customHeight="1" x14ac:dyDescent="0.25">
      <c r="A41" s="1016">
        <f t="shared" si="0"/>
        <v>30</v>
      </c>
      <c r="B41" s="1035" t="s">
        <v>771</v>
      </c>
      <c r="C41" s="1033" t="s">
        <v>772</v>
      </c>
      <c r="D41" s="1030" t="s">
        <v>343</v>
      </c>
      <c r="E41" s="666">
        <v>508</v>
      </c>
      <c r="F41" s="666">
        <v>508</v>
      </c>
      <c r="G41" s="666">
        <v>508</v>
      </c>
      <c r="H41" s="666">
        <v>508</v>
      </c>
    </row>
    <row r="42" spans="1:19" ht="30" customHeight="1" x14ac:dyDescent="0.25">
      <c r="A42" s="1016">
        <f t="shared" si="0"/>
        <v>31</v>
      </c>
      <c r="B42" s="1035"/>
      <c r="C42" s="1033" t="s">
        <v>773</v>
      </c>
      <c r="D42" s="1030" t="s">
        <v>343</v>
      </c>
      <c r="E42" s="666">
        <v>230</v>
      </c>
      <c r="F42" s="666">
        <v>230</v>
      </c>
      <c r="G42" s="666">
        <v>230</v>
      </c>
      <c r="H42" s="666">
        <v>230</v>
      </c>
    </row>
    <row r="43" spans="1:19" ht="15" x14ac:dyDescent="0.25">
      <c r="A43" s="1016">
        <v>32</v>
      </c>
      <c r="B43" s="664" t="s">
        <v>1155</v>
      </c>
      <c r="C43" s="664" t="s">
        <v>774</v>
      </c>
      <c r="D43" s="1030">
        <v>43251</v>
      </c>
      <c r="E43" s="666">
        <v>302</v>
      </c>
      <c r="F43" s="666">
        <v>302</v>
      </c>
      <c r="G43" s="666">
        <v>302</v>
      </c>
      <c r="H43" s="666">
        <v>302</v>
      </c>
    </row>
    <row r="44" spans="1:19" ht="15" x14ac:dyDescent="0.25">
      <c r="A44" s="1016">
        <v>33</v>
      </c>
      <c r="B44" s="664" t="s">
        <v>775</v>
      </c>
      <c r="C44" s="664" t="s">
        <v>776</v>
      </c>
      <c r="D44" s="1030" t="s">
        <v>1156</v>
      </c>
      <c r="E44" s="666">
        <v>10672</v>
      </c>
      <c r="F44" s="666">
        <v>10672</v>
      </c>
      <c r="G44" s="666">
        <v>10672</v>
      </c>
      <c r="H44" s="666"/>
    </row>
    <row r="45" spans="1:19" ht="15" x14ac:dyDescent="0.25">
      <c r="A45" s="1016">
        <f t="shared" si="0"/>
        <v>34</v>
      </c>
      <c r="B45" s="664" t="s">
        <v>777</v>
      </c>
      <c r="C45" s="664" t="s">
        <v>778</v>
      </c>
      <c r="D45" s="1030" t="s">
        <v>343</v>
      </c>
      <c r="E45" s="666">
        <v>5760</v>
      </c>
      <c r="F45" s="666">
        <v>5760</v>
      </c>
      <c r="G45" s="666">
        <v>5760</v>
      </c>
      <c r="H45" s="666">
        <v>5760</v>
      </c>
    </row>
    <row r="46" spans="1:19" ht="15" x14ac:dyDescent="0.25">
      <c r="A46" s="1016">
        <f t="shared" si="0"/>
        <v>35</v>
      </c>
      <c r="B46" s="664" t="s">
        <v>779</v>
      </c>
      <c r="C46" s="664" t="s">
        <v>780</v>
      </c>
      <c r="D46" s="1030" t="s">
        <v>343</v>
      </c>
      <c r="E46" s="666">
        <v>3658</v>
      </c>
      <c r="F46" s="666">
        <v>3658</v>
      </c>
      <c r="G46" s="666">
        <v>3658</v>
      </c>
      <c r="H46" s="666">
        <v>3658</v>
      </c>
    </row>
    <row r="47" spans="1:19" ht="15" x14ac:dyDescent="0.25">
      <c r="A47" s="1016">
        <f t="shared" si="0"/>
        <v>36</v>
      </c>
      <c r="B47" s="664" t="s">
        <v>115</v>
      </c>
      <c r="C47" s="664" t="s">
        <v>782</v>
      </c>
      <c r="D47" s="1030" t="s">
        <v>343</v>
      </c>
      <c r="E47" s="666">
        <v>242</v>
      </c>
      <c r="F47" s="666">
        <v>242</v>
      </c>
      <c r="G47" s="666">
        <v>242</v>
      </c>
      <c r="H47" s="666">
        <v>242</v>
      </c>
    </row>
    <row r="48" spans="1:19" ht="15" x14ac:dyDescent="0.25">
      <c r="A48" s="1016">
        <f t="shared" si="0"/>
        <v>37</v>
      </c>
      <c r="B48" s="664" t="s">
        <v>783</v>
      </c>
      <c r="C48" s="664" t="s">
        <v>784</v>
      </c>
      <c r="D48" s="1030" t="s">
        <v>343</v>
      </c>
      <c r="E48" s="666">
        <v>993</v>
      </c>
      <c r="F48" s="666">
        <v>993</v>
      </c>
      <c r="G48" s="666">
        <v>993</v>
      </c>
      <c r="H48" s="666">
        <v>993</v>
      </c>
    </row>
    <row r="49" spans="1:11" ht="30" x14ac:dyDescent="0.25">
      <c r="A49" s="1016">
        <f t="shared" si="0"/>
        <v>38</v>
      </c>
      <c r="B49" s="1035" t="s">
        <v>785</v>
      </c>
      <c r="C49" s="1033" t="s">
        <v>786</v>
      </c>
      <c r="D49" s="1030" t="s">
        <v>343</v>
      </c>
      <c r="E49" s="666">
        <v>38</v>
      </c>
      <c r="F49" s="666">
        <v>38</v>
      </c>
      <c r="G49" s="666">
        <v>38</v>
      </c>
      <c r="H49" s="666">
        <v>38</v>
      </c>
    </row>
    <row r="50" spans="1:11" ht="15" customHeight="1" x14ac:dyDescent="0.25">
      <c r="A50" s="1016">
        <f t="shared" si="0"/>
        <v>39</v>
      </c>
      <c r="B50" s="664"/>
      <c r="C50" s="664" t="s">
        <v>787</v>
      </c>
      <c r="D50" s="1030" t="s">
        <v>343</v>
      </c>
      <c r="E50" s="666">
        <v>45</v>
      </c>
      <c r="F50" s="666">
        <v>45</v>
      </c>
      <c r="G50" s="666">
        <v>45</v>
      </c>
      <c r="H50" s="666">
        <v>45</v>
      </c>
    </row>
    <row r="51" spans="1:11" ht="15" x14ac:dyDescent="0.25">
      <c r="A51" s="1016">
        <f t="shared" si="0"/>
        <v>40</v>
      </c>
      <c r="B51" s="664" t="s">
        <v>1157</v>
      </c>
      <c r="C51" s="664" t="s">
        <v>788</v>
      </c>
      <c r="D51" s="1030">
        <v>43190</v>
      </c>
      <c r="E51" s="666">
        <v>610</v>
      </c>
      <c r="F51" s="666">
        <v>610</v>
      </c>
      <c r="G51" s="666">
        <v>610</v>
      </c>
      <c r="H51" s="666">
        <v>610</v>
      </c>
    </row>
    <row r="52" spans="1:11" ht="15" x14ac:dyDescent="0.25">
      <c r="A52" s="1016">
        <f t="shared" si="0"/>
        <v>41</v>
      </c>
      <c r="B52" s="664" t="s">
        <v>1158</v>
      </c>
      <c r="C52" s="664" t="s">
        <v>789</v>
      </c>
      <c r="D52" s="1030">
        <v>43190</v>
      </c>
      <c r="E52" s="666">
        <v>610</v>
      </c>
      <c r="F52" s="666">
        <v>610</v>
      </c>
      <c r="G52" s="666">
        <v>610</v>
      </c>
      <c r="H52" s="666">
        <v>610</v>
      </c>
    </row>
    <row r="53" spans="1:11" ht="15" x14ac:dyDescent="0.25">
      <c r="A53" s="1016">
        <f t="shared" si="0"/>
        <v>42</v>
      </c>
      <c r="B53" s="664" t="s">
        <v>790</v>
      </c>
      <c r="C53" s="664" t="s">
        <v>791</v>
      </c>
      <c r="D53" s="1030">
        <v>42825</v>
      </c>
      <c r="E53" s="666">
        <v>210</v>
      </c>
      <c r="F53" s="666">
        <v>210</v>
      </c>
      <c r="G53" s="666">
        <v>210</v>
      </c>
      <c r="H53" s="666">
        <v>210</v>
      </c>
    </row>
    <row r="54" spans="1:11" ht="15" x14ac:dyDescent="0.25">
      <c r="A54" s="1016">
        <f t="shared" si="0"/>
        <v>43</v>
      </c>
      <c r="B54" s="664" t="s">
        <v>792</v>
      </c>
      <c r="C54" s="664" t="s">
        <v>793</v>
      </c>
      <c r="D54" s="1030">
        <v>42855</v>
      </c>
      <c r="E54" s="666">
        <v>972</v>
      </c>
      <c r="F54" s="666">
        <v>972</v>
      </c>
      <c r="G54" s="666">
        <v>972</v>
      </c>
      <c r="H54" s="666">
        <v>972</v>
      </c>
    </row>
    <row r="55" spans="1:11" ht="15" x14ac:dyDescent="0.25">
      <c r="A55" s="1016">
        <f t="shared" si="0"/>
        <v>44</v>
      </c>
      <c r="B55" s="664" t="s">
        <v>781</v>
      </c>
      <c r="C55" s="664" t="s">
        <v>794</v>
      </c>
      <c r="D55" s="1030" t="s">
        <v>343</v>
      </c>
      <c r="E55" s="666">
        <v>486</v>
      </c>
      <c r="F55" s="666">
        <v>486</v>
      </c>
      <c r="G55" s="666">
        <v>486</v>
      </c>
      <c r="H55" s="666">
        <v>486</v>
      </c>
    </row>
    <row r="56" spans="1:11" ht="15.75" x14ac:dyDescent="0.25">
      <c r="A56" s="1016">
        <v>45</v>
      </c>
      <c r="B56" s="1036"/>
      <c r="C56" s="664" t="s">
        <v>795</v>
      </c>
      <c r="D56" s="1037" t="s">
        <v>343</v>
      </c>
      <c r="E56" s="666">
        <v>175</v>
      </c>
      <c r="F56" s="666">
        <v>175</v>
      </c>
      <c r="G56" s="666">
        <v>175</v>
      </c>
      <c r="H56" s="666">
        <v>175</v>
      </c>
    </row>
    <row r="57" spans="1:11" ht="15.75" x14ac:dyDescent="0.25">
      <c r="A57" s="1016">
        <f t="shared" si="0"/>
        <v>46</v>
      </c>
      <c r="B57" s="1036"/>
      <c r="C57" s="664" t="s">
        <v>796</v>
      </c>
      <c r="D57" s="1037" t="s">
        <v>343</v>
      </c>
      <c r="E57" s="666">
        <v>55</v>
      </c>
      <c r="F57" s="666">
        <v>55</v>
      </c>
      <c r="G57" s="666">
        <v>55</v>
      </c>
      <c r="H57" s="666">
        <v>55</v>
      </c>
    </row>
    <row r="58" spans="1:11" ht="15" x14ac:dyDescent="0.25">
      <c r="A58" s="1016">
        <f t="shared" si="0"/>
        <v>47</v>
      </c>
      <c r="B58" s="1036"/>
      <c r="C58" s="664" t="s">
        <v>797</v>
      </c>
      <c r="D58" s="1038">
        <v>45291</v>
      </c>
      <c r="E58" s="666">
        <v>19500</v>
      </c>
      <c r="F58" s="666">
        <v>19500</v>
      </c>
      <c r="G58" s="666">
        <v>19500</v>
      </c>
      <c r="H58" s="666">
        <v>19500</v>
      </c>
    </row>
    <row r="59" spans="1:11" ht="15.75" x14ac:dyDescent="0.25">
      <c r="A59" s="1016">
        <f t="shared" si="0"/>
        <v>48</v>
      </c>
      <c r="B59" s="1036"/>
      <c r="C59" s="664" t="s">
        <v>798</v>
      </c>
      <c r="D59" s="1037" t="s">
        <v>343</v>
      </c>
      <c r="E59" s="666">
        <v>37</v>
      </c>
      <c r="F59" s="666">
        <v>37</v>
      </c>
      <c r="G59" s="666">
        <v>37</v>
      </c>
      <c r="H59" s="666">
        <v>37</v>
      </c>
    </row>
    <row r="60" spans="1:11" ht="15.75" x14ac:dyDescent="0.25">
      <c r="A60" s="1016">
        <f t="shared" si="0"/>
        <v>49</v>
      </c>
      <c r="B60" s="1036"/>
      <c r="C60" s="664" t="s">
        <v>799</v>
      </c>
      <c r="D60" s="1037" t="s">
        <v>343</v>
      </c>
      <c r="E60" s="666">
        <v>53</v>
      </c>
      <c r="F60" s="666">
        <v>53</v>
      </c>
      <c r="G60" s="666">
        <v>53</v>
      </c>
      <c r="H60" s="666">
        <v>53</v>
      </c>
      <c r="K60" s="666"/>
    </row>
    <row r="61" spans="1:11" ht="15.75" x14ac:dyDescent="0.25">
      <c r="A61" s="1016">
        <f t="shared" si="0"/>
        <v>50</v>
      </c>
      <c r="B61" s="1036"/>
      <c r="C61" s="664" t="s">
        <v>800</v>
      </c>
      <c r="D61" s="1037" t="s">
        <v>343</v>
      </c>
      <c r="E61" s="666">
        <v>104</v>
      </c>
      <c r="F61" s="666">
        <v>104</v>
      </c>
      <c r="G61" s="666">
        <v>104</v>
      </c>
      <c r="H61" s="666">
        <v>104</v>
      </c>
    </row>
    <row r="62" spans="1:11" ht="15.75" x14ac:dyDescent="0.25">
      <c r="A62" s="1016">
        <f t="shared" si="0"/>
        <v>51</v>
      </c>
      <c r="B62" s="1036"/>
      <c r="C62" s="664" t="s">
        <v>801</v>
      </c>
      <c r="D62" s="1037" t="s">
        <v>343</v>
      </c>
      <c r="E62" s="666">
        <v>192</v>
      </c>
      <c r="F62" s="666">
        <v>192</v>
      </c>
      <c r="G62" s="666">
        <v>192</v>
      </c>
      <c r="H62" s="666">
        <v>192</v>
      </c>
    </row>
    <row r="63" spans="1:11" ht="15.75" x14ac:dyDescent="0.25">
      <c r="A63" s="1016">
        <f t="shared" si="0"/>
        <v>52</v>
      </c>
      <c r="B63" s="1036"/>
      <c r="C63" s="664" t="s">
        <v>802</v>
      </c>
      <c r="D63" s="1037" t="s">
        <v>343</v>
      </c>
      <c r="E63" s="666">
        <v>134</v>
      </c>
      <c r="F63" s="666">
        <v>134</v>
      </c>
      <c r="G63" s="666">
        <v>134</v>
      </c>
      <c r="H63" s="666">
        <v>134</v>
      </c>
    </row>
    <row r="64" spans="1:11" ht="15.75" x14ac:dyDescent="0.25">
      <c r="A64" s="1016">
        <f t="shared" si="0"/>
        <v>53</v>
      </c>
      <c r="B64" s="1036"/>
      <c r="C64" s="664" t="s">
        <v>803</v>
      </c>
      <c r="D64" s="1037" t="s">
        <v>343</v>
      </c>
      <c r="E64" s="666">
        <v>159</v>
      </c>
      <c r="F64" s="666">
        <v>159</v>
      </c>
      <c r="G64" s="666">
        <v>159</v>
      </c>
      <c r="H64" s="666">
        <v>159</v>
      </c>
    </row>
    <row r="65" spans="1:11" ht="15" x14ac:dyDescent="0.25">
      <c r="A65" s="1016">
        <f t="shared" si="0"/>
        <v>54</v>
      </c>
      <c r="B65" s="1039">
        <v>68360</v>
      </c>
      <c r="C65" s="664" t="s">
        <v>967</v>
      </c>
      <c r="D65" s="1040" t="s">
        <v>343</v>
      </c>
      <c r="E65" s="666">
        <v>1844</v>
      </c>
      <c r="F65" s="666">
        <v>1844</v>
      </c>
      <c r="G65" s="666">
        <v>1844</v>
      </c>
      <c r="H65" s="666">
        <v>1844</v>
      </c>
    </row>
    <row r="66" spans="1:11" ht="15" x14ac:dyDescent="0.25">
      <c r="A66" s="1016">
        <f t="shared" si="0"/>
        <v>55</v>
      </c>
      <c r="B66" s="1041" t="s">
        <v>913</v>
      </c>
      <c r="C66" s="664" t="s">
        <v>914</v>
      </c>
      <c r="D66" s="1038">
        <v>43465</v>
      </c>
      <c r="E66" s="666">
        <v>21000</v>
      </c>
      <c r="F66" s="666">
        <v>21000</v>
      </c>
      <c r="G66" s="666">
        <v>21000</v>
      </c>
      <c r="H66" s="666">
        <v>21000</v>
      </c>
    </row>
    <row r="67" spans="1:11" ht="15" x14ac:dyDescent="0.25">
      <c r="A67" s="1016">
        <f t="shared" si="0"/>
        <v>56</v>
      </c>
      <c r="B67" s="1041" t="s">
        <v>915</v>
      </c>
      <c r="C67" s="664" t="s">
        <v>916</v>
      </c>
      <c r="D67" s="1040" t="s">
        <v>343</v>
      </c>
      <c r="E67" s="666">
        <v>31000</v>
      </c>
      <c r="F67" s="666">
        <v>31000</v>
      </c>
      <c r="G67" s="666">
        <v>31000</v>
      </c>
      <c r="H67" s="666">
        <v>31000</v>
      </c>
      <c r="I67" s="797"/>
    </row>
    <row r="68" spans="1:11" ht="15" x14ac:dyDescent="0.25">
      <c r="A68" s="1016">
        <f t="shared" si="0"/>
        <v>57</v>
      </c>
      <c r="B68" s="1042"/>
      <c r="C68" s="664" t="s">
        <v>917</v>
      </c>
      <c r="D68" s="1040" t="s">
        <v>343</v>
      </c>
      <c r="E68" s="666">
        <v>732</v>
      </c>
      <c r="F68" s="666">
        <v>732</v>
      </c>
      <c r="G68" s="666">
        <v>732</v>
      </c>
      <c r="H68" s="666">
        <v>732</v>
      </c>
      <c r="I68" s="797"/>
    </row>
    <row r="69" spans="1:11" ht="15" x14ac:dyDescent="0.25">
      <c r="A69" s="1016">
        <v>61</v>
      </c>
      <c r="B69" s="1041" t="s">
        <v>986</v>
      </c>
      <c r="C69" s="664" t="s">
        <v>987</v>
      </c>
      <c r="D69" s="1040" t="s">
        <v>343</v>
      </c>
      <c r="E69" s="666">
        <v>3277</v>
      </c>
      <c r="F69" s="666">
        <v>3277</v>
      </c>
      <c r="G69" s="666">
        <v>3277</v>
      </c>
      <c r="H69" s="666">
        <v>3277</v>
      </c>
      <c r="I69" s="797"/>
    </row>
    <row r="70" spans="1:11" ht="30" x14ac:dyDescent="0.25">
      <c r="A70" s="1016">
        <v>62</v>
      </c>
      <c r="B70" s="1041" t="s">
        <v>1159</v>
      </c>
      <c r="C70" s="732" t="s">
        <v>1160</v>
      </c>
      <c r="D70" s="1040" t="s">
        <v>343</v>
      </c>
      <c r="E70" s="666">
        <v>600</v>
      </c>
      <c r="F70" s="666">
        <v>600</v>
      </c>
      <c r="G70" s="666">
        <v>600</v>
      </c>
      <c r="H70" s="666">
        <v>600</v>
      </c>
      <c r="I70" s="797"/>
      <c r="J70" s="797"/>
      <c r="K70" s="797"/>
    </row>
    <row r="71" spans="1:11" ht="15" x14ac:dyDescent="0.25">
      <c r="A71" s="1016">
        <v>63</v>
      </c>
      <c r="B71" s="1041" t="s">
        <v>1161</v>
      </c>
      <c r="C71" s="664" t="s">
        <v>1162</v>
      </c>
      <c r="D71" s="1040" t="s">
        <v>343</v>
      </c>
      <c r="E71" s="666">
        <v>283</v>
      </c>
      <c r="F71" s="666">
        <v>283</v>
      </c>
      <c r="G71" s="666">
        <v>283</v>
      </c>
      <c r="H71" s="666">
        <v>283</v>
      </c>
      <c r="I71" s="1043"/>
      <c r="J71" s="1043"/>
      <c r="K71" s="1043"/>
    </row>
    <row r="72" spans="1:11" ht="15" x14ac:dyDescent="0.25">
      <c r="A72" s="1016">
        <v>64</v>
      </c>
      <c r="B72" s="1041" t="s">
        <v>1163</v>
      </c>
      <c r="C72" s="664" t="s">
        <v>1164</v>
      </c>
      <c r="D72" s="1038">
        <v>46727</v>
      </c>
      <c r="E72" s="666"/>
      <c r="F72" s="666"/>
      <c r="G72" s="666">
        <v>155396</v>
      </c>
      <c r="H72" s="666">
        <v>155396</v>
      </c>
      <c r="I72" s="1043"/>
      <c r="J72" s="1043"/>
      <c r="K72" s="1043"/>
    </row>
    <row r="73" spans="1:11" ht="15" x14ac:dyDescent="0.25">
      <c r="A73" s="1016">
        <v>65</v>
      </c>
      <c r="B73" s="1041" t="s">
        <v>1165</v>
      </c>
      <c r="C73" s="664" t="s">
        <v>1166</v>
      </c>
      <c r="D73" s="1038" t="s">
        <v>343</v>
      </c>
      <c r="E73" s="666">
        <v>3000</v>
      </c>
      <c r="F73" s="666">
        <v>3000</v>
      </c>
      <c r="G73" s="666">
        <v>3000</v>
      </c>
      <c r="H73" s="666">
        <v>3000</v>
      </c>
      <c r="I73" s="1043"/>
      <c r="J73" s="1043"/>
      <c r="K73" s="1043"/>
    </row>
    <row r="74" spans="1:11" ht="15" x14ac:dyDescent="0.25">
      <c r="A74" s="1016">
        <v>66</v>
      </c>
      <c r="B74" s="1041" t="s">
        <v>1167</v>
      </c>
      <c r="C74" s="664" t="s">
        <v>1168</v>
      </c>
      <c r="D74" s="1038">
        <v>44105</v>
      </c>
      <c r="E74" s="666">
        <v>350</v>
      </c>
      <c r="F74" s="666">
        <v>350</v>
      </c>
      <c r="G74" s="666">
        <v>263</v>
      </c>
      <c r="H74" s="666">
        <v>0</v>
      </c>
      <c r="I74" s="1043"/>
      <c r="J74" s="1043"/>
      <c r="K74" s="1043"/>
    </row>
    <row r="75" spans="1:11" ht="15.75" x14ac:dyDescent="0.25">
      <c r="A75" s="1016"/>
      <c r="B75" s="1036"/>
      <c r="C75" s="1036"/>
      <c r="D75" s="1044"/>
      <c r="E75" s="1045">
        <f>SUM(E11:E74)</f>
        <v>186649</v>
      </c>
      <c r="F75" s="1046">
        <f>SUM(F12:F74)</f>
        <v>186649</v>
      </c>
      <c r="G75" s="1046">
        <f>SUM(G12:G74)</f>
        <v>341958</v>
      </c>
      <c r="H75" s="1046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91" customWidth="1"/>
    <col min="2" max="2" width="27.7109375" style="403" customWidth="1"/>
    <col min="3" max="3" width="47.85546875" style="403" customWidth="1"/>
    <col min="4" max="4" width="9.140625" style="392"/>
    <col min="5" max="5" width="8.7109375" style="403" bestFit="1" customWidth="1"/>
    <col min="6" max="6" width="8.42578125" style="403" bestFit="1" customWidth="1"/>
    <col min="7" max="7" width="8.7109375" style="403" customWidth="1"/>
    <col min="8" max="8" width="8.85546875" style="403" customWidth="1"/>
    <col min="9" max="9" width="9.140625" style="403"/>
    <col min="10" max="16384" width="9.140625" style="394"/>
  </cols>
  <sheetData>
    <row r="1" spans="1:11" ht="14.1" customHeight="1" x14ac:dyDescent="0.25">
      <c r="C1" s="1403" t="s">
        <v>165</v>
      </c>
      <c r="D1" s="1403"/>
      <c r="E1" s="1403"/>
      <c r="F1" s="1403"/>
      <c r="G1" s="1403"/>
      <c r="H1" s="1403"/>
    </row>
    <row r="2" spans="1:11" ht="20.100000000000001" customHeight="1" x14ac:dyDescent="0.25">
      <c r="A2" s="1386" t="s">
        <v>327</v>
      </c>
      <c r="B2" s="1404"/>
      <c r="C2" s="1404"/>
      <c r="D2" s="1404"/>
      <c r="E2" s="1404"/>
      <c r="F2" s="1404"/>
      <c r="G2" s="1404"/>
      <c r="H2" s="1404"/>
    </row>
    <row r="3" spans="1:11" ht="14.1" customHeight="1" x14ac:dyDescent="0.25">
      <c r="A3" s="1386" t="s">
        <v>328</v>
      </c>
      <c r="B3" s="1404"/>
      <c r="C3" s="1404"/>
      <c r="D3" s="1404"/>
      <c r="E3" s="1404"/>
      <c r="F3" s="1404"/>
      <c r="G3" s="1404"/>
      <c r="H3" s="1404"/>
    </row>
    <row r="4" spans="1:11" ht="14.1" customHeight="1" x14ac:dyDescent="0.25">
      <c r="A4" s="1387" t="s">
        <v>55</v>
      </c>
      <c r="B4" s="1405"/>
      <c r="C4" s="1405"/>
      <c r="D4" s="1405"/>
      <c r="E4" s="1405"/>
      <c r="F4" s="1405"/>
      <c r="G4" s="1405"/>
      <c r="H4" s="1405"/>
    </row>
    <row r="5" spans="1:11" ht="14.1" customHeight="1" x14ac:dyDescent="0.25">
      <c r="A5" s="390"/>
      <c r="B5" s="391"/>
      <c r="C5" s="391"/>
      <c r="D5" s="391"/>
      <c r="E5" s="391"/>
      <c r="F5" s="391"/>
      <c r="G5" s="391"/>
      <c r="H5" s="391"/>
    </row>
    <row r="6" spans="1:11" ht="14.1" customHeight="1" x14ac:dyDescent="0.25">
      <c r="A6" s="1395"/>
      <c r="B6" s="393" t="s">
        <v>57</v>
      </c>
      <c r="C6" s="393" t="s">
        <v>58</v>
      </c>
      <c r="D6" s="393" t="s">
        <v>59</v>
      </c>
      <c r="E6" s="393" t="s">
        <v>60</v>
      </c>
      <c r="F6" s="393" t="s">
        <v>484</v>
      </c>
      <c r="G6" s="393" t="s">
        <v>485</v>
      </c>
      <c r="H6" s="393" t="s">
        <v>486</v>
      </c>
      <c r="I6" s="393" t="s">
        <v>613</v>
      </c>
    </row>
    <row r="7" spans="1:11" s="433" customFormat="1" ht="13.5" customHeight="1" x14ac:dyDescent="0.25">
      <c r="A7" s="1395"/>
      <c r="B7" s="1402" t="s">
        <v>329</v>
      </c>
      <c r="C7" s="1406" t="s">
        <v>330</v>
      </c>
      <c r="D7" s="1406" t="s">
        <v>331</v>
      </c>
      <c r="E7" s="1400" t="s">
        <v>332</v>
      </c>
      <c r="F7" s="1401"/>
      <c r="G7" s="1401"/>
      <c r="H7" s="1401"/>
      <c r="I7" s="1402"/>
      <c r="J7" s="432"/>
      <c r="K7" s="432"/>
    </row>
    <row r="8" spans="1:11" s="433" customFormat="1" ht="13.5" customHeight="1" x14ac:dyDescent="0.25">
      <c r="A8" s="1395"/>
      <c r="B8" s="1402"/>
      <c r="C8" s="1406"/>
      <c r="D8" s="1406"/>
      <c r="E8" s="434" t="s">
        <v>333</v>
      </c>
      <c r="F8" s="434" t="s">
        <v>334</v>
      </c>
      <c r="G8" s="434" t="s">
        <v>335</v>
      </c>
      <c r="H8" s="435" t="s">
        <v>336</v>
      </c>
      <c r="I8" s="434" t="s">
        <v>162</v>
      </c>
      <c r="J8" s="436"/>
      <c r="K8" s="436"/>
    </row>
    <row r="9" spans="1:11" s="433" customFormat="1" ht="13.5" customHeight="1" x14ac:dyDescent="0.25">
      <c r="A9" s="401" t="s">
        <v>493</v>
      </c>
      <c r="B9" s="437" t="s">
        <v>337</v>
      </c>
      <c r="C9" s="438"/>
      <c r="D9" s="439"/>
      <c r="E9" s="438"/>
      <c r="F9" s="438"/>
      <c r="G9" s="438"/>
      <c r="H9" s="438"/>
      <c r="I9" s="389"/>
    </row>
    <row r="10" spans="1:11" ht="13.5" customHeight="1" x14ac:dyDescent="0.25">
      <c r="A10" s="401" t="s">
        <v>501</v>
      </c>
      <c r="B10" s="440" t="s">
        <v>338</v>
      </c>
    </row>
    <row r="11" spans="1:11" ht="13.5" customHeight="1" x14ac:dyDescent="0.25">
      <c r="A11" s="401" t="s">
        <v>502</v>
      </c>
      <c r="B11" s="423" t="s">
        <v>339</v>
      </c>
      <c r="C11" s="424" t="s">
        <v>340</v>
      </c>
      <c r="D11" s="425"/>
      <c r="E11" s="424"/>
      <c r="F11" s="424"/>
      <c r="G11" s="424"/>
      <c r="H11" s="424"/>
    </row>
    <row r="12" spans="1:11" ht="13.5" customHeight="1" x14ac:dyDescent="0.25">
      <c r="A12" s="401" t="s">
        <v>503</v>
      </c>
      <c r="B12" s="423" t="s">
        <v>341</v>
      </c>
      <c r="C12" s="424" t="s">
        <v>342</v>
      </c>
      <c r="D12" s="392" t="s">
        <v>343</v>
      </c>
      <c r="E12" s="426">
        <v>300</v>
      </c>
      <c r="F12" s="426">
        <v>300</v>
      </c>
      <c r="G12" s="426">
        <v>300</v>
      </c>
      <c r="H12" s="426">
        <v>300</v>
      </c>
    </row>
    <row r="13" spans="1:11" ht="13.5" customHeight="1" x14ac:dyDescent="0.25">
      <c r="A13" s="401" t="s">
        <v>504</v>
      </c>
      <c r="B13" s="402" t="s">
        <v>344</v>
      </c>
      <c r="C13" s="403" t="s">
        <v>345</v>
      </c>
      <c r="D13" s="392" t="s">
        <v>343</v>
      </c>
      <c r="E13" s="400">
        <v>100</v>
      </c>
      <c r="F13" s="400">
        <v>100</v>
      </c>
      <c r="G13" s="400">
        <v>100</v>
      </c>
      <c r="H13" s="400">
        <v>100</v>
      </c>
      <c r="I13" s="403">
        <v>100</v>
      </c>
    </row>
    <row r="14" spans="1:11" ht="13.5" customHeight="1" x14ac:dyDescent="0.25">
      <c r="A14" s="401" t="s">
        <v>505</v>
      </c>
      <c r="B14" s="402" t="s">
        <v>346</v>
      </c>
      <c r="C14" s="403" t="s">
        <v>347</v>
      </c>
      <c r="D14" s="392" t="s">
        <v>343</v>
      </c>
      <c r="E14" s="400">
        <v>24554</v>
      </c>
      <c r="F14" s="400">
        <v>19393</v>
      </c>
      <c r="G14" s="400"/>
      <c r="H14" s="400">
        <v>24241</v>
      </c>
      <c r="I14" s="403">
        <v>24250</v>
      </c>
    </row>
    <row r="15" spans="1:11" ht="13.5" customHeight="1" x14ac:dyDescent="0.25">
      <c r="A15" s="401" t="s">
        <v>506</v>
      </c>
      <c r="B15" s="402" t="s">
        <v>348</v>
      </c>
      <c r="C15" s="403" t="s">
        <v>349</v>
      </c>
      <c r="D15" s="392" t="s">
        <v>343</v>
      </c>
      <c r="E15" s="400"/>
      <c r="F15" s="400"/>
      <c r="G15" s="400"/>
      <c r="H15" s="400"/>
    </row>
    <row r="16" spans="1:11" ht="13.5" customHeight="1" x14ac:dyDescent="0.25">
      <c r="A16" s="401" t="s">
        <v>507</v>
      </c>
      <c r="B16" s="402" t="s">
        <v>350</v>
      </c>
      <c r="C16" s="403" t="s">
        <v>351</v>
      </c>
      <c r="D16" s="392" t="s">
        <v>343</v>
      </c>
      <c r="E16" s="400">
        <v>17280</v>
      </c>
      <c r="F16" s="400">
        <v>17280</v>
      </c>
      <c r="G16" s="400">
        <v>17280</v>
      </c>
      <c r="H16" s="400">
        <v>17280</v>
      </c>
      <c r="I16" s="403">
        <v>17280</v>
      </c>
    </row>
    <row r="17" spans="1:13" ht="13.5" customHeight="1" x14ac:dyDescent="0.25">
      <c r="A17" s="401" t="s">
        <v>508</v>
      </c>
      <c r="B17" s="402" t="s">
        <v>352</v>
      </c>
      <c r="C17" s="403" t="s">
        <v>353</v>
      </c>
      <c r="D17" s="392" t="s">
        <v>343</v>
      </c>
      <c r="E17" s="400">
        <v>32739</v>
      </c>
      <c r="F17" s="400">
        <v>25858</v>
      </c>
      <c r="G17" s="400"/>
      <c r="H17" s="400">
        <v>27321</v>
      </c>
      <c r="I17" s="403">
        <v>27350</v>
      </c>
    </row>
    <row r="18" spans="1:13" ht="13.5" customHeight="1" x14ac:dyDescent="0.25">
      <c r="A18" s="401" t="s">
        <v>549</v>
      </c>
      <c r="B18" s="402"/>
      <c r="C18" s="403" t="s">
        <v>354</v>
      </c>
      <c r="D18" s="392" t="s">
        <v>343</v>
      </c>
      <c r="E18" s="400"/>
      <c r="F18" s="400"/>
      <c r="G18" s="400"/>
      <c r="H18" s="400"/>
    </row>
    <row r="19" spans="1:13" ht="13.5" customHeight="1" x14ac:dyDescent="0.25">
      <c r="A19" s="401" t="s">
        <v>550</v>
      </c>
      <c r="B19" s="402"/>
      <c r="C19" s="403" t="s">
        <v>355</v>
      </c>
      <c r="D19" s="392" t="s">
        <v>343</v>
      </c>
      <c r="E19" s="400">
        <v>23050</v>
      </c>
      <c r="F19" s="400">
        <v>23050</v>
      </c>
      <c r="G19" s="400">
        <v>23050</v>
      </c>
      <c r="H19" s="400">
        <v>23050</v>
      </c>
      <c r="I19" s="403">
        <v>23050</v>
      </c>
    </row>
    <row r="20" spans="1:13" ht="18" customHeight="1" x14ac:dyDescent="0.25">
      <c r="A20" s="401" t="s">
        <v>551</v>
      </c>
      <c r="B20" s="402" t="s">
        <v>356</v>
      </c>
      <c r="C20" s="403" t="s">
        <v>357</v>
      </c>
      <c r="D20" s="392" t="s">
        <v>343</v>
      </c>
      <c r="E20" s="400">
        <v>9</v>
      </c>
      <c r="F20" s="400">
        <v>9</v>
      </c>
      <c r="G20" s="400">
        <v>9</v>
      </c>
      <c r="H20" s="400">
        <v>9</v>
      </c>
      <c r="I20" s="403">
        <v>9</v>
      </c>
    </row>
    <row r="21" spans="1:13" ht="13.5" customHeight="1" x14ac:dyDescent="0.25">
      <c r="A21" s="401" t="s">
        <v>552</v>
      </c>
      <c r="B21" s="402" t="s">
        <v>358</v>
      </c>
      <c r="C21" s="403" t="s">
        <v>359</v>
      </c>
      <c r="D21" s="392" t="s">
        <v>343</v>
      </c>
      <c r="E21" s="400">
        <v>50</v>
      </c>
      <c r="F21" s="400">
        <v>50</v>
      </c>
      <c r="G21" s="400">
        <v>50</v>
      </c>
      <c r="H21" s="400">
        <v>100</v>
      </c>
      <c r="I21" s="403">
        <v>100</v>
      </c>
    </row>
    <row r="22" spans="1:13" ht="21" customHeight="1" x14ac:dyDescent="0.25">
      <c r="A22" s="401" t="s">
        <v>553</v>
      </c>
      <c r="B22" s="402" t="s">
        <v>360</v>
      </c>
      <c r="C22" s="403" t="s">
        <v>361</v>
      </c>
      <c r="D22" s="404" t="s">
        <v>343</v>
      </c>
      <c r="E22" s="400">
        <v>875</v>
      </c>
      <c r="F22" s="400">
        <v>875</v>
      </c>
      <c r="G22" s="400">
        <v>875</v>
      </c>
      <c r="H22" s="400">
        <v>875</v>
      </c>
      <c r="I22" s="403">
        <v>875</v>
      </c>
    </row>
    <row r="23" spans="1:13" s="396" customFormat="1" ht="30" x14ac:dyDescent="0.25">
      <c r="A23" s="401" t="s">
        <v>554</v>
      </c>
      <c r="B23" s="405" t="s">
        <v>362</v>
      </c>
      <c r="C23" s="427" t="s">
        <v>363</v>
      </c>
      <c r="D23" s="407" t="s">
        <v>343</v>
      </c>
      <c r="E23" s="428">
        <v>129</v>
      </c>
      <c r="F23" s="428">
        <v>129</v>
      </c>
      <c r="G23" s="428">
        <v>129</v>
      </c>
      <c r="H23" s="428">
        <v>193</v>
      </c>
      <c r="I23" s="413">
        <v>193</v>
      </c>
      <c r="J23" s="420"/>
      <c r="K23" s="429"/>
      <c r="M23" s="430"/>
    </row>
    <row r="24" spans="1:13" ht="17.25" customHeight="1" x14ac:dyDescent="0.25">
      <c r="A24" s="401" t="s">
        <v>555</v>
      </c>
      <c r="B24" s="402" t="s">
        <v>113</v>
      </c>
      <c r="C24" s="403" t="s">
        <v>364</v>
      </c>
      <c r="D24" s="404" t="s">
        <v>343</v>
      </c>
      <c r="E24" s="400">
        <v>125</v>
      </c>
      <c r="F24" s="400">
        <v>125</v>
      </c>
      <c r="G24" s="400">
        <v>125</v>
      </c>
      <c r="H24" s="400">
        <v>147</v>
      </c>
      <c r="I24" s="403">
        <v>147</v>
      </c>
    </row>
    <row r="25" spans="1:13" ht="15.75" customHeight="1" x14ac:dyDescent="0.25">
      <c r="A25" s="401" t="s">
        <v>556</v>
      </c>
      <c r="B25" s="402"/>
      <c r="C25" s="403" t="s">
        <v>365</v>
      </c>
      <c r="D25" s="404" t="s">
        <v>343</v>
      </c>
      <c r="E25" s="400">
        <v>54</v>
      </c>
      <c r="F25" s="400">
        <v>54</v>
      </c>
      <c r="G25" s="400">
        <v>54</v>
      </c>
      <c r="H25" s="400">
        <v>54</v>
      </c>
      <c r="I25" s="403">
        <v>54</v>
      </c>
    </row>
    <row r="26" spans="1:13" ht="13.5" customHeight="1" x14ac:dyDescent="0.25">
      <c r="A26" s="401" t="s">
        <v>558</v>
      </c>
      <c r="B26" s="402" t="s">
        <v>366</v>
      </c>
      <c r="C26" s="403" t="s">
        <v>367</v>
      </c>
      <c r="D26" s="404" t="s">
        <v>343</v>
      </c>
      <c r="E26" s="400">
        <v>100</v>
      </c>
      <c r="F26" s="400">
        <v>100</v>
      </c>
      <c r="G26" s="400">
        <v>100</v>
      </c>
      <c r="H26" s="400">
        <v>100</v>
      </c>
      <c r="I26" s="403">
        <v>100</v>
      </c>
    </row>
    <row r="27" spans="1:13" ht="13.5" customHeight="1" x14ac:dyDescent="0.25">
      <c r="A27" s="401" t="s">
        <v>559</v>
      </c>
      <c r="B27" s="402" t="s">
        <v>368</v>
      </c>
      <c r="C27" s="403" t="s">
        <v>369</v>
      </c>
      <c r="D27" s="404" t="s">
        <v>343</v>
      </c>
      <c r="E27" s="400">
        <v>1575</v>
      </c>
      <c r="F27" s="400">
        <v>1575</v>
      </c>
      <c r="G27" s="400">
        <v>1575</v>
      </c>
      <c r="H27" s="400">
        <v>1575</v>
      </c>
      <c r="I27" s="403">
        <v>1575</v>
      </c>
    </row>
    <row r="28" spans="1:13" ht="13.5" customHeight="1" x14ac:dyDescent="0.25">
      <c r="A28" s="401" t="s">
        <v>560</v>
      </c>
      <c r="B28" s="402" t="s">
        <v>370</v>
      </c>
      <c r="C28" s="403" t="s">
        <v>371</v>
      </c>
      <c r="D28" s="404" t="s">
        <v>343</v>
      </c>
      <c r="E28" s="400">
        <v>60</v>
      </c>
      <c r="F28" s="400">
        <v>60</v>
      </c>
      <c r="G28" s="400">
        <v>60</v>
      </c>
      <c r="H28" s="400">
        <v>60</v>
      </c>
      <c r="I28" s="403">
        <v>60</v>
      </c>
    </row>
    <row r="29" spans="1:13" ht="13.5" customHeight="1" x14ac:dyDescent="0.25">
      <c r="A29" s="401" t="s">
        <v>561</v>
      </c>
      <c r="B29" s="402" t="s">
        <v>372</v>
      </c>
      <c r="C29" s="403" t="s">
        <v>373</v>
      </c>
      <c r="D29" s="392" t="s">
        <v>343</v>
      </c>
      <c r="E29" s="400">
        <v>2900</v>
      </c>
      <c r="F29" s="400">
        <v>2900</v>
      </c>
      <c r="G29" s="400">
        <v>2900</v>
      </c>
      <c r="H29" s="400">
        <v>2000</v>
      </c>
      <c r="I29" s="403">
        <v>2000</v>
      </c>
    </row>
    <row r="30" spans="1:13" ht="18" customHeight="1" x14ac:dyDescent="0.25">
      <c r="A30" s="401" t="s">
        <v>562</v>
      </c>
      <c r="B30" s="405" t="s">
        <v>374</v>
      </c>
      <c r="C30" s="406" t="s">
        <v>375</v>
      </c>
      <c r="D30" s="407" t="s">
        <v>343</v>
      </c>
      <c r="E30" s="408">
        <v>383</v>
      </c>
      <c r="F30" s="408">
        <v>383</v>
      </c>
      <c r="G30" s="408">
        <v>383</v>
      </c>
      <c r="H30" s="408">
        <v>250</v>
      </c>
      <c r="I30" s="403">
        <v>250</v>
      </c>
    </row>
    <row r="31" spans="1:13" ht="18" customHeight="1" x14ac:dyDescent="0.25">
      <c r="A31" s="401" t="s">
        <v>563</v>
      </c>
      <c r="B31" s="405"/>
      <c r="C31" s="406" t="s">
        <v>114</v>
      </c>
      <c r="D31" s="407"/>
      <c r="E31" s="408"/>
      <c r="F31" s="408"/>
      <c r="G31" s="408"/>
      <c r="H31" s="408">
        <v>2980</v>
      </c>
      <c r="I31" s="403">
        <v>2980</v>
      </c>
    </row>
    <row r="32" spans="1:13" ht="18" customHeight="1" x14ac:dyDescent="0.25">
      <c r="A32" s="401" t="s">
        <v>564</v>
      </c>
      <c r="B32" s="405" t="s">
        <v>115</v>
      </c>
      <c r="C32" s="406" t="s">
        <v>116</v>
      </c>
      <c r="D32" s="407" t="s">
        <v>343</v>
      </c>
      <c r="E32" s="408"/>
      <c r="F32" s="408"/>
      <c r="G32" s="408">
        <v>248</v>
      </c>
      <c r="H32" s="408">
        <v>248</v>
      </c>
      <c r="I32" s="403">
        <v>248</v>
      </c>
    </row>
    <row r="33" spans="1:13" ht="15.75" x14ac:dyDescent="0.25">
      <c r="A33" s="401" t="s">
        <v>565</v>
      </c>
      <c r="B33" s="403" t="s">
        <v>376</v>
      </c>
      <c r="C33" s="403" t="s">
        <v>377</v>
      </c>
      <c r="D33" s="392" t="s">
        <v>378</v>
      </c>
      <c r="E33" s="403">
        <v>1936</v>
      </c>
      <c r="F33" s="403">
        <v>1718</v>
      </c>
      <c r="G33" s="403">
        <v>1718</v>
      </c>
      <c r="H33" s="403">
        <v>1650</v>
      </c>
      <c r="I33" s="403">
        <v>1650</v>
      </c>
    </row>
    <row r="34" spans="1:13" ht="17.25" customHeight="1" x14ac:dyDescent="0.25">
      <c r="A34" s="401" t="s">
        <v>585</v>
      </c>
      <c r="B34" s="402" t="s">
        <v>379</v>
      </c>
      <c r="C34" s="403" t="s">
        <v>380</v>
      </c>
      <c r="D34" s="392" t="s">
        <v>343</v>
      </c>
      <c r="E34" s="400">
        <v>2500</v>
      </c>
      <c r="F34" s="400">
        <v>2500</v>
      </c>
      <c r="G34" s="400">
        <v>2500</v>
      </c>
      <c r="H34" s="400">
        <v>2500</v>
      </c>
      <c r="I34" s="403">
        <v>2500</v>
      </c>
    </row>
    <row r="35" spans="1:13" ht="20.25" customHeight="1" x14ac:dyDescent="0.25">
      <c r="A35" s="401" t="s">
        <v>586</v>
      </c>
      <c r="B35" s="402" t="s">
        <v>381</v>
      </c>
      <c r="C35" s="403" t="s">
        <v>382</v>
      </c>
      <c r="D35" s="404">
        <v>42124</v>
      </c>
      <c r="E35" s="400">
        <v>1250</v>
      </c>
      <c r="F35" s="400">
        <v>1250</v>
      </c>
      <c r="G35" s="416">
        <v>1250</v>
      </c>
      <c r="H35" s="416">
        <v>312</v>
      </c>
    </row>
    <row r="36" spans="1:13" ht="13.5" customHeight="1" x14ac:dyDescent="0.25">
      <c r="A36" s="401" t="s">
        <v>587</v>
      </c>
      <c r="B36" s="402"/>
      <c r="C36" s="403" t="s">
        <v>383</v>
      </c>
      <c r="D36" s="392" t="s">
        <v>343</v>
      </c>
      <c r="E36" s="400">
        <v>200</v>
      </c>
      <c r="F36" s="400">
        <v>200</v>
      </c>
      <c r="G36" s="400">
        <v>258</v>
      </c>
      <c r="H36" s="400">
        <v>258</v>
      </c>
      <c r="I36" s="403">
        <v>258</v>
      </c>
    </row>
    <row r="37" spans="1:13" ht="13.5" customHeight="1" x14ac:dyDescent="0.25">
      <c r="A37" s="401" t="s">
        <v>588</v>
      </c>
      <c r="B37" s="402" t="s">
        <v>384</v>
      </c>
      <c r="C37" s="403" t="s">
        <v>385</v>
      </c>
      <c r="D37" s="392" t="s">
        <v>343</v>
      </c>
      <c r="E37" s="400">
        <v>994</v>
      </c>
      <c r="F37" s="400">
        <v>994</v>
      </c>
      <c r="G37" s="400">
        <v>994</v>
      </c>
      <c r="H37" s="400">
        <v>994</v>
      </c>
      <c r="I37" s="403">
        <v>971</v>
      </c>
    </row>
    <row r="38" spans="1:13" ht="13.5" customHeight="1" x14ac:dyDescent="0.25">
      <c r="A38" s="401" t="s">
        <v>589</v>
      </c>
      <c r="B38" s="402" t="s">
        <v>117</v>
      </c>
      <c r="C38" s="403" t="s">
        <v>118</v>
      </c>
      <c r="D38" s="392" t="s">
        <v>343</v>
      </c>
      <c r="E38" s="400">
        <v>750</v>
      </c>
      <c r="F38" s="400">
        <v>750</v>
      </c>
      <c r="G38" s="400">
        <v>762</v>
      </c>
      <c r="H38" s="400">
        <v>762</v>
      </c>
      <c r="I38" s="403">
        <v>762</v>
      </c>
    </row>
    <row r="39" spans="1:13" ht="15.75" x14ac:dyDescent="0.25">
      <c r="A39" s="401" t="s">
        <v>590</v>
      </c>
      <c r="B39" s="402" t="s">
        <v>386</v>
      </c>
      <c r="C39" s="403" t="s">
        <v>387</v>
      </c>
      <c r="D39" s="404" t="s">
        <v>343</v>
      </c>
      <c r="E39" s="392">
        <v>330</v>
      </c>
      <c r="F39" s="403">
        <v>330</v>
      </c>
      <c r="G39" s="403">
        <v>330</v>
      </c>
      <c r="H39" s="403">
        <v>330</v>
      </c>
      <c r="I39" s="403">
        <v>330</v>
      </c>
      <c r="K39" s="417"/>
      <c r="M39" s="395"/>
    </row>
    <row r="40" spans="1:13" ht="15.75" x14ac:dyDescent="0.25">
      <c r="A40" s="401" t="s">
        <v>591</v>
      </c>
      <c r="B40" s="402" t="s">
        <v>388</v>
      </c>
      <c r="C40" s="403" t="s">
        <v>389</v>
      </c>
      <c r="D40" s="404" t="s">
        <v>343</v>
      </c>
      <c r="E40" s="392">
        <v>930</v>
      </c>
      <c r="F40" s="403">
        <v>930</v>
      </c>
      <c r="G40" s="403">
        <v>930</v>
      </c>
      <c r="H40" s="403">
        <v>930</v>
      </c>
      <c r="I40" s="403">
        <v>930</v>
      </c>
      <c r="K40" s="417"/>
      <c r="M40" s="395"/>
    </row>
    <row r="41" spans="1:13" ht="15.75" x14ac:dyDescent="0.25">
      <c r="A41" s="401" t="s">
        <v>592</v>
      </c>
      <c r="B41" s="402" t="s">
        <v>119</v>
      </c>
      <c r="C41" s="403" t="s">
        <v>120</v>
      </c>
      <c r="D41" s="404" t="s">
        <v>343</v>
      </c>
      <c r="E41" s="392"/>
      <c r="G41" s="403">
        <v>823</v>
      </c>
      <c r="H41" s="403">
        <v>823</v>
      </c>
      <c r="I41" s="403">
        <v>823</v>
      </c>
      <c r="K41" s="417"/>
      <c r="M41" s="395"/>
    </row>
    <row r="42" spans="1:13" ht="14.1" customHeight="1" x14ac:dyDescent="0.25">
      <c r="A42" s="401" t="s">
        <v>593</v>
      </c>
      <c r="B42" s="403" t="s">
        <v>390</v>
      </c>
      <c r="C42" s="403" t="s">
        <v>391</v>
      </c>
      <c r="D42" s="392" t="s">
        <v>343</v>
      </c>
      <c r="E42" s="403">
        <v>16</v>
      </c>
      <c r="F42" s="403">
        <v>16</v>
      </c>
      <c r="G42" s="403">
        <v>16</v>
      </c>
      <c r="H42" s="403">
        <v>16</v>
      </c>
      <c r="I42" s="403">
        <v>16</v>
      </c>
    </row>
    <row r="43" spans="1:13" s="396" customFormat="1" ht="30" x14ac:dyDescent="0.25">
      <c r="A43" s="401" t="s">
        <v>648</v>
      </c>
      <c r="B43" s="409" t="s">
        <v>392</v>
      </c>
      <c r="C43" s="418" t="s">
        <v>393</v>
      </c>
      <c r="D43" s="411" t="s">
        <v>343</v>
      </c>
      <c r="E43" s="419">
        <v>40</v>
      </c>
      <c r="F43" s="419">
        <v>40</v>
      </c>
      <c r="G43" s="419">
        <v>40</v>
      </c>
      <c r="H43" s="419">
        <v>40</v>
      </c>
      <c r="I43" s="413">
        <v>40</v>
      </c>
      <c r="J43" s="420"/>
      <c r="K43" s="421"/>
      <c r="M43" s="397"/>
    </row>
    <row r="44" spans="1:13" s="396" customFormat="1" ht="18" customHeight="1" x14ac:dyDescent="0.25">
      <c r="A44" s="401" t="s">
        <v>649</v>
      </c>
      <c r="B44" s="409" t="s">
        <v>394</v>
      </c>
      <c r="C44" s="418" t="s">
        <v>395</v>
      </c>
      <c r="D44" s="411" t="s">
        <v>343</v>
      </c>
      <c r="E44" s="419">
        <v>994</v>
      </c>
      <c r="F44" s="419">
        <v>994</v>
      </c>
      <c r="G44" s="419">
        <v>994</v>
      </c>
      <c r="H44" s="413">
        <v>994</v>
      </c>
      <c r="I44" s="413">
        <v>994</v>
      </c>
      <c r="J44" s="420"/>
      <c r="K44" s="421"/>
      <c r="M44" s="397"/>
    </row>
    <row r="45" spans="1:13" s="396" customFormat="1" ht="15.75" x14ac:dyDescent="0.25">
      <c r="A45" s="401" t="s">
        <v>650</v>
      </c>
      <c r="B45" s="409" t="s">
        <v>396</v>
      </c>
      <c r="C45" s="418" t="s">
        <v>397</v>
      </c>
      <c r="D45" s="411" t="s">
        <v>343</v>
      </c>
      <c r="E45" s="419">
        <v>176</v>
      </c>
      <c r="F45" s="419">
        <v>176</v>
      </c>
      <c r="G45" s="419">
        <v>176</v>
      </c>
      <c r="H45" s="413">
        <v>176</v>
      </c>
      <c r="I45" s="413">
        <v>176</v>
      </c>
      <c r="J45" s="420"/>
      <c r="K45" s="421"/>
      <c r="M45" s="397"/>
    </row>
    <row r="46" spans="1:13" ht="13.5" customHeight="1" x14ac:dyDescent="0.25">
      <c r="A46" s="401" t="s">
        <v>651</v>
      </c>
      <c r="B46" s="405" t="s">
        <v>398</v>
      </c>
      <c r="C46" s="406" t="s">
        <v>399</v>
      </c>
      <c r="D46" s="407" t="s">
        <v>343</v>
      </c>
      <c r="E46" s="408">
        <v>199</v>
      </c>
      <c r="F46" s="408">
        <v>199</v>
      </c>
      <c r="G46" s="401">
        <v>199</v>
      </c>
      <c r="H46" s="408">
        <v>199</v>
      </c>
      <c r="I46" s="403">
        <v>199</v>
      </c>
    </row>
    <row r="47" spans="1:13" ht="13.5" customHeight="1" x14ac:dyDescent="0.25">
      <c r="A47" s="401" t="s">
        <v>121</v>
      </c>
      <c r="B47" s="405" t="s">
        <v>400</v>
      </c>
      <c r="C47" s="406" t="s">
        <v>401</v>
      </c>
      <c r="D47" s="407" t="s">
        <v>343</v>
      </c>
      <c r="E47" s="408">
        <v>1863</v>
      </c>
      <c r="F47" s="408">
        <v>1863</v>
      </c>
      <c r="G47" s="408">
        <v>1863</v>
      </c>
      <c r="H47" s="408">
        <v>1863</v>
      </c>
      <c r="I47" s="403">
        <v>1900</v>
      </c>
    </row>
    <row r="48" spans="1:13" ht="13.5" customHeight="1" x14ac:dyDescent="0.25">
      <c r="A48" s="401" t="s">
        <v>676</v>
      </c>
      <c r="B48" s="405" t="s">
        <v>122</v>
      </c>
      <c r="C48" s="406" t="s">
        <v>123</v>
      </c>
      <c r="D48" s="407" t="s">
        <v>343</v>
      </c>
      <c r="E48" s="408"/>
      <c r="F48" s="408"/>
      <c r="G48" s="408">
        <v>29600</v>
      </c>
      <c r="H48" s="408">
        <v>29600</v>
      </c>
      <c r="I48" s="403">
        <v>29600</v>
      </c>
    </row>
    <row r="49" spans="1:13" s="396" customFormat="1" ht="15.75" x14ac:dyDescent="0.25">
      <c r="A49" s="401" t="s">
        <v>677</v>
      </c>
      <c r="B49" s="409" t="s">
        <v>402</v>
      </c>
      <c r="C49" s="410" t="s">
        <v>403</v>
      </c>
      <c r="D49" s="411" t="s">
        <v>343</v>
      </c>
      <c r="E49" s="412">
        <v>3600</v>
      </c>
      <c r="F49" s="412">
        <v>3600</v>
      </c>
      <c r="G49" s="412">
        <v>3600</v>
      </c>
      <c r="H49" s="412">
        <v>6553</v>
      </c>
      <c r="I49" s="413">
        <v>6553</v>
      </c>
      <c r="J49" s="420"/>
      <c r="K49" s="421"/>
      <c r="M49" s="397"/>
    </row>
    <row r="50" spans="1:13" s="396" customFormat="1" ht="15.75" x14ac:dyDescent="0.25">
      <c r="A50" s="401" t="s">
        <v>124</v>
      </c>
      <c r="B50" s="409" t="s">
        <v>404</v>
      </c>
      <c r="C50" s="410" t="s">
        <v>405</v>
      </c>
      <c r="D50" s="411" t="s">
        <v>343</v>
      </c>
      <c r="E50" s="412">
        <v>123</v>
      </c>
      <c r="F50" s="412">
        <v>123</v>
      </c>
      <c r="G50" s="412">
        <v>123</v>
      </c>
      <c r="H50" s="412">
        <v>123</v>
      </c>
      <c r="I50" s="413">
        <v>123</v>
      </c>
      <c r="J50" s="420"/>
      <c r="K50" s="421"/>
      <c r="M50" s="397"/>
    </row>
    <row r="51" spans="1:13" ht="14.1" customHeight="1" x14ac:dyDescent="0.25">
      <c r="A51" s="401" t="s">
        <v>125</v>
      </c>
      <c r="B51" s="403" t="s">
        <v>406</v>
      </c>
      <c r="C51" s="403" t="s">
        <v>407</v>
      </c>
      <c r="D51" s="392" t="s">
        <v>343</v>
      </c>
      <c r="E51" s="403">
        <v>225</v>
      </c>
      <c r="F51" s="403">
        <v>225</v>
      </c>
      <c r="G51" s="403">
        <v>225</v>
      </c>
      <c r="H51" s="403">
        <v>241</v>
      </c>
      <c r="I51" s="403">
        <v>241</v>
      </c>
    </row>
    <row r="52" spans="1:13" ht="14.1" customHeight="1" x14ac:dyDescent="0.25">
      <c r="A52" s="401" t="s">
        <v>126</v>
      </c>
      <c r="B52" s="403" t="s">
        <v>127</v>
      </c>
      <c r="C52" s="403" t="s">
        <v>128</v>
      </c>
      <c r="D52" s="392" t="s">
        <v>444</v>
      </c>
      <c r="G52" s="403">
        <v>600</v>
      </c>
      <c r="H52" s="403">
        <v>1200</v>
      </c>
      <c r="I52" s="403">
        <v>1200</v>
      </c>
    </row>
    <row r="53" spans="1:13" ht="14.1" customHeight="1" x14ac:dyDescent="0.25">
      <c r="A53" s="401" t="s">
        <v>129</v>
      </c>
      <c r="B53" s="403" t="s">
        <v>130</v>
      </c>
      <c r="C53" s="403" t="s">
        <v>131</v>
      </c>
      <c r="D53" s="392" t="s">
        <v>343</v>
      </c>
      <c r="H53" s="403">
        <v>243</v>
      </c>
      <c r="I53" s="403">
        <v>243</v>
      </c>
    </row>
    <row r="54" spans="1:13" ht="14.1" customHeight="1" x14ac:dyDescent="0.25">
      <c r="A54" s="401" t="s">
        <v>132</v>
      </c>
      <c r="B54" s="403" t="s">
        <v>408</v>
      </c>
      <c r="C54" s="403" t="s">
        <v>409</v>
      </c>
      <c r="D54" s="392" t="s">
        <v>343</v>
      </c>
      <c r="E54" s="403">
        <v>26</v>
      </c>
      <c r="F54" s="403">
        <v>26</v>
      </c>
      <c r="G54" s="403">
        <v>26</v>
      </c>
      <c r="H54" s="403">
        <v>26</v>
      </c>
      <c r="I54" s="403">
        <v>26</v>
      </c>
    </row>
    <row r="55" spans="1:13" s="396" customFormat="1" ht="15.75" x14ac:dyDescent="0.25">
      <c r="A55" s="401" t="s">
        <v>133</v>
      </c>
      <c r="B55" s="409" t="s">
        <v>410</v>
      </c>
      <c r="C55" s="410" t="s">
        <v>411</v>
      </c>
      <c r="D55" s="411" t="s">
        <v>343</v>
      </c>
      <c r="E55" s="412">
        <v>5</v>
      </c>
      <c r="F55" s="412">
        <v>5</v>
      </c>
      <c r="G55" s="412">
        <v>5</v>
      </c>
      <c r="H55" s="413">
        <v>5</v>
      </c>
      <c r="I55" s="413">
        <v>5</v>
      </c>
      <c r="J55" s="420"/>
      <c r="K55" s="421"/>
      <c r="M55" s="397"/>
    </row>
    <row r="56" spans="1:13" s="398" customFormat="1" ht="13.5" customHeight="1" x14ac:dyDescent="0.25">
      <c r="A56" s="401" t="s">
        <v>134</v>
      </c>
      <c r="B56" s="409" t="s">
        <v>412</v>
      </c>
      <c r="C56" s="410" t="s">
        <v>413</v>
      </c>
      <c r="D56" s="411" t="s">
        <v>343</v>
      </c>
      <c r="E56" s="412">
        <v>250</v>
      </c>
      <c r="F56" s="412">
        <v>250</v>
      </c>
      <c r="G56" s="412">
        <v>250</v>
      </c>
      <c r="H56" s="412">
        <v>250</v>
      </c>
      <c r="I56" s="413">
        <v>250</v>
      </c>
      <c r="J56" s="414"/>
      <c r="K56" s="415"/>
      <c r="M56" s="399"/>
    </row>
    <row r="57" spans="1:13" s="398" customFormat="1" ht="13.5" customHeight="1" x14ac:dyDescent="0.25">
      <c r="A57" s="401" t="s">
        <v>135</v>
      </c>
      <c r="B57" s="409" t="s">
        <v>136</v>
      </c>
      <c r="C57" s="410" t="s">
        <v>137</v>
      </c>
      <c r="D57" s="411" t="s">
        <v>444</v>
      </c>
      <c r="E57" s="412"/>
      <c r="F57" s="412"/>
      <c r="G57" s="412">
        <v>2439</v>
      </c>
      <c r="H57" s="412">
        <v>3658</v>
      </c>
      <c r="I57" s="413">
        <v>3658</v>
      </c>
      <c r="J57" s="414"/>
      <c r="K57" s="415"/>
      <c r="M57" s="399"/>
    </row>
    <row r="58" spans="1:13" s="398" customFormat="1" ht="13.5" customHeight="1" x14ac:dyDescent="0.25">
      <c r="A58" s="401" t="s">
        <v>138</v>
      </c>
      <c r="B58" s="409" t="s">
        <v>139</v>
      </c>
      <c r="C58" s="410" t="s">
        <v>140</v>
      </c>
      <c r="D58" s="411" t="s">
        <v>444</v>
      </c>
      <c r="E58" s="412"/>
      <c r="F58" s="412"/>
      <c r="G58" s="412">
        <v>2438</v>
      </c>
      <c r="H58" s="412">
        <v>2438</v>
      </c>
      <c r="I58" s="413">
        <v>2438</v>
      </c>
      <c r="J58" s="414"/>
      <c r="K58" s="415"/>
      <c r="M58" s="399"/>
    </row>
    <row r="59" spans="1:13" s="398" customFormat="1" ht="13.5" customHeight="1" x14ac:dyDescent="0.25">
      <c r="A59" s="401" t="s">
        <v>141</v>
      </c>
      <c r="B59" s="409" t="s">
        <v>142</v>
      </c>
      <c r="C59" s="410" t="s">
        <v>143</v>
      </c>
      <c r="D59" s="411" t="s">
        <v>343</v>
      </c>
      <c r="E59" s="412"/>
      <c r="F59" s="412"/>
      <c r="G59" s="412">
        <v>610</v>
      </c>
      <c r="H59" s="412">
        <v>610</v>
      </c>
      <c r="I59" s="413">
        <v>610</v>
      </c>
      <c r="J59" s="414"/>
      <c r="K59" s="415"/>
      <c r="M59" s="399"/>
    </row>
    <row r="60" spans="1:13" s="398" customFormat="1" ht="13.5" customHeight="1" x14ac:dyDescent="0.25">
      <c r="A60" s="401" t="s">
        <v>144</v>
      </c>
      <c r="B60" s="409" t="s">
        <v>414</v>
      </c>
      <c r="C60" s="410" t="s">
        <v>415</v>
      </c>
      <c r="D60" s="411">
        <v>43496</v>
      </c>
      <c r="E60" s="412">
        <v>2865</v>
      </c>
      <c r="F60" s="412">
        <v>2865</v>
      </c>
      <c r="G60" s="412">
        <v>2865</v>
      </c>
      <c r="H60" s="412">
        <v>2865</v>
      </c>
      <c r="I60" s="413">
        <v>2865</v>
      </c>
      <c r="J60" s="414"/>
      <c r="K60" s="415"/>
      <c r="M60" s="399"/>
    </row>
    <row r="61" spans="1:13" s="398" customFormat="1" ht="13.5" customHeight="1" x14ac:dyDescent="0.25">
      <c r="A61" s="401" t="s">
        <v>145</v>
      </c>
      <c r="B61" s="409" t="s">
        <v>146</v>
      </c>
      <c r="C61" s="410" t="s">
        <v>147</v>
      </c>
      <c r="D61" s="411"/>
      <c r="E61" s="412">
        <v>175</v>
      </c>
      <c r="F61" s="412">
        <v>175</v>
      </c>
      <c r="G61" s="412">
        <v>175</v>
      </c>
      <c r="H61" s="412">
        <v>175</v>
      </c>
      <c r="I61" s="413">
        <v>175</v>
      </c>
      <c r="J61" s="414"/>
      <c r="K61" s="415"/>
      <c r="M61" s="399"/>
    </row>
    <row r="62" spans="1:13" s="398" customFormat="1" ht="13.5" customHeight="1" x14ac:dyDescent="0.25">
      <c r="A62" s="401" t="s">
        <v>148</v>
      </c>
      <c r="B62" s="409" t="s">
        <v>416</v>
      </c>
      <c r="C62" s="410" t="s">
        <v>417</v>
      </c>
      <c r="D62" s="411" t="s">
        <v>343</v>
      </c>
      <c r="E62" s="412">
        <v>217</v>
      </c>
      <c r="F62" s="412">
        <v>217</v>
      </c>
      <c r="G62" s="412">
        <v>217</v>
      </c>
      <c r="H62" s="412">
        <v>217</v>
      </c>
      <c r="I62" s="413">
        <v>217</v>
      </c>
      <c r="J62" s="414"/>
      <c r="K62" s="415"/>
      <c r="M62" s="399"/>
    </row>
    <row r="63" spans="1:13" s="398" customFormat="1" ht="13.5" customHeight="1" x14ac:dyDescent="0.25">
      <c r="A63" s="401" t="s">
        <v>149</v>
      </c>
      <c r="B63" s="402" t="s">
        <v>418</v>
      </c>
      <c r="C63" s="422" t="s">
        <v>419</v>
      </c>
      <c r="D63" s="411" t="s">
        <v>343</v>
      </c>
      <c r="E63" s="431">
        <v>15</v>
      </c>
      <c r="F63" s="431">
        <v>15</v>
      </c>
      <c r="G63" s="412">
        <v>15</v>
      </c>
      <c r="H63" s="412">
        <v>15</v>
      </c>
      <c r="I63" s="413">
        <v>15</v>
      </c>
      <c r="J63" s="414"/>
      <c r="K63" s="415"/>
      <c r="M63" s="399"/>
    </row>
    <row r="64" spans="1:13" s="398" customFormat="1" ht="13.5" customHeight="1" x14ac:dyDescent="0.25">
      <c r="A64" s="401" t="s">
        <v>150</v>
      </c>
      <c r="B64" s="402" t="s">
        <v>418</v>
      </c>
      <c r="C64" s="422" t="s">
        <v>420</v>
      </c>
      <c r="D64" s="411" t="s">
        <v>343</v>
      </c>
      <c r="E64" s="431">
        <v>150</v>
      </c>
      <c r="F64" s="431">
        <v>150</v>
      </c>
      <c r="G64" s="412">
        <v>150</v>
      </c>
      <c r="H64" s="412">
        <v>226</v>
      </c>
      <c r="I64" s="413">
        <v>226</v>
      </c>
      <c r="J64" s="414"/>
      <c r="K64" s="415"/>
      <c r="M64" s="399"/>
    </row>
    <row r="65" spans="1:13" s="398" customFormat="1" ht="13.5" customHeight="1" x14ac:dyDescent="0.25">
      <c r="A65" s="401" t="s">
        <v>151</v>
      </c>
      <c r="B65" s="402" t="s">
        <v>421</v>
      </c>
      <c r="C65" s="422" t="s">
        <v>422</v>
      </c>
      <c r="D65" s="411" t="s">
        <v>343</v>
      </c>
      <c r="E65" s="431">
        <v>75</v>
      </c>
      <c r="F65" s="431">
        <v>75</v>
      </c>
      <c r="G65" s="412">
        <v>75</v>
      </c>
      <c r="H65" s="412">
        <v>45</v>
      </c>
      <c r="I65" s="413">
        <v>45</v>
      </c>
      <c r="J65" s="414"/>
      <c r="K65" s="415"/>
      <c r="M65" s="399"/>
    </row>
    <row r="66" spans="1:13" s="398" customFormat="1" ht="13.5" customHeight="1" x14ac:dyDescent="0.25">
      <c r="A66" s="401" t="s">
        <v>152</v>
      </c>
      <c r="B66" s="409"/>
      <c r="C66" s="410" t="s">
        <v>153</v>
      </c>
      <c r="D66" s="411" t="s">
        <v>444</v>
      </c>
      <c r="E66" s="412"/>
      <c r="F66" s="412"/>
      <c r="G66" s="412">
        <v>347</v>
      </c>
      <c r="H66" s="412">
        <v>347</v>
      </c>
      <c r="I66" s="413">
        <v>347</v>
      </c>
      <c r="J66" s="414"/>
      <c r="K66" s="415"/>
      <c r="M66" s="399"/>
    </row>
    <row r="67" spans="1:13" s="398" customFormat="1" ht="13.5" customHeight="1" x14ac:dyDescent="0.25">
      <c r="A67" s="401" t="s">
        <v>154</v>
      </c>
      <c r="B67" s="409" t="s">
        <v>155</v>
      </c>
      <c r="C67" s="410" t="s">
        <v>156</v>
      </c>
      <c r="D67" s="411" t="s">
        <v>444</v>
      </c>
      <c r="E67" s="412"/>
      <c r="F67" s="412"/>
      <c r="G67" s="412">
        <v>54</v>
      </c>
      <c r="H67" s="412">
        <v>216</v>
      </c>
      <c r="I67" s="413">
        <v>216</v>
      </c>
      <c r="J67" s="414"/>
      <c r="K67" s="415"/>
      <c r="M67" s="399"/>
    </row>
    <row r="68" spans="1:13" s="398" customFormat="1" ht="13.5" customHeight="1" x14ac:dyDescent="0.25">
      <c r="A68" s="401" t="s">
        <v>157</v>
      </c>
      <c r="B68" s="409"/>
      <c r="C68" s="410" t="s">
        <v>158</v>
      </c>
      <c r="D68" s="411" t="s">
        <v>444</v>
      </c>
      <c r="E68" s="412"/>
      <c r="F68" s="412"/>
      <c r="G68" s="412">
        <v>380</v>
      </c>
      <c r="H68" s="412">
        <v>380</v>
      </c>
      <c r="I68" s="413">
        <v>380</v>
      </c>
      <c r="J68" s="414"/>
      <c r="K68" s="415"/>
      <c r="M68" s="399"/>
    </row>
    <row r="69" spans="1:13" s="398" customFormat="1" ht="13.5" customHeight="1" x14ac:dyDescent="0.25">
      <c r="A69" s="401" t="s">
        <v>159</v>
      </c>
      <c r="B69" s="409" t="s">
        <v>423</v>
      </c>
      <c r="C69" s="410" t="s">
        <v>424</v>
      </c>
      <c r="D69" s="411" t="s">
        <v>343</v>
      </c>
      <c r="E69" s="412">
        <v>1800</v>
      </c>
      <c r="F69" s="412">
        <v>1800</v>
      </c>
      <c r="G69" s="412">
        <v>1800</v>
      </c>
      <c r="H69" s="412">
        <v>1500</v>
      </c>
      <c r="I69" s="413">
        <v>1500</v>
      </c>
      <c r="J69" s="414"/>
      <c r="K69" s="415"/>
      <c r="M69" s="399"/>
    </row>
    <row r="70" spans="1:13" s="398" customFormat="1" ht="13.5" customHeight="1" x14ac:dyDescent="0.25">
      <c r="A70" s="401" t="s">
        <v>160</v>
      </c>
      <c r="B70" s="409" t="s">
        <v>425</v>
      </c>
      <c r="C70" s="410" t="s">
        <v>426</v>
      </c>
      <c r="D70" s="411" t="s">
        <v>343</v>
      </c>
      <c r="E70" s="412">
        <v>1875</v>
      </c>
      <c r="F70" s="412">
        <v>2000</v>
      </c>
      <c r="G70" s="412">
        <v>2000</v>
      </c>
      <c r="H70" s="412">
        <v>1700</v>
      </c>
      <c r="I70" s="413">
        <v>1700</v>
      </c>
      <c r="J70" s="414"/>
      <c r="K70" s="415"/>
      <c r="M70" s="399"/>
    </row>
    <row r="71" spans="1:13" ht="13.5" customHeight="1" x14ac:dyDescent="0.25">
      <c r="A71" s="401" t="s">
        <v>161</v>
      </c>
      <c r="B71" s="1399" t="s">
        <v>427</v>
      </c>
      <c r="C71" s="1399"/>
      <c r="E71" s="441">
        <f>SUM(E12:E70)</f>
        <v>127862</v>
      </c>
      <c r="F71" s="441">
        <f>SUM(F12:F70)</f>
        <v>115727</v>
      </c>
      <c r="G71" s="441">
        <f>SUM(G12:G70)</f>
        <v>108085</v>
      </c>
      <c r="H71" s="441">
        <f>SUM(H12:H70)</f>
        <v>165363</v>
      </c>
      <c r="I71" s="441">
        <f>SUM(I12:I70)</f>
        <v>164803</v>
      </c>
    </row>
    <row r="72" spans="1:13" ht="9.75" customHeight="1" x14ac:dyDescent="0.25">
      <c r="A72" s="401"/>
      <c r="B72" s="389"/>
      <c r="C72" s="402"/>
      <c r="E72" s="400"/>
      <c r="F72" s="400"/>
      <c r="G72" s="400"/>
      <c r="H72" s="400"/>
    </row>
    <row r="73" spans="1:13" ht="6.75" customHeight="1" x14ac:dyDescent="0.25">
      <c r="E73" s="400"/>
      <c r="F73" s="400"/>
      <c r="G73" s="400"/>
      <c r="H73" s="400"/>
    </row>
    <row r="74" spans="1:13" ht="13.5" customHeight="1" x14ac:dyDescent="0.25">
      <c r="E74" s="400"/>
      <c r="F74" s="400"/>
      <c r="G74" s="400"/>
      <c r="H74" s="400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41.7109375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65" t="s">
        <v>1365</v>
      </c>
      <c r="B1" s="1165"/>
      <c r="C1" s="1165"/>
      <c r="D1" s="1165"/>
      <c r="E1" s="1165"/>
      <c r="F1" s="1165"/>
      <c r="G1" s="1165"/>
      <c r="H1" s="1165"/>
      <c r="I1" s="1165"/>
    </row>
    <row r="2" spans="1:22" x14ac:dyDescent="0.2">
      <c r="B2" s="575"/>
      <c r="I2" s="159"/>
    </row>
    <row r="3" spans="1:22" s="122" customFormat="1" x14ac:dyDescent="0.2">
      <c r="A3" s="160"/>
      <c r="B3" s="1168" t="s">
        <v>54</v>
      </c>
      <c r="C3" s="1168"/>
      <c r="D3" s="1168"/>
      <c r="E3" s="1168"/>
      <c r="F3" s="1168"/>
      <c r="G3" s="1168"/>
      <c r="H3" s="1168"/>
      <c r="I3" s="1168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68" t="s">
        <v>1079</v>
      </c>
      <c r="C4" s="1168"/>
      <c r="D4" s="1168"/>
      <c r="E4" s="1168"/>
      <c r="F4" s="1168"/>
      <c r="G4" s="1168"/>
      <c r="H4" s="1168"/>
      <c r="I4" s="1168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69" t="s">
        <v>314</v>
      </c>
      <c r="B5" s="1169"/>
      <c r="C5" s="1169"/>
      <c r="D5" s="1169"/>
      <c r="E5" s="1169"/>
      <c r="F5" s="1169"/>
      <c r="G5" s="1169"/>
      <c r="H5" s="1169"/>
      <c r="I5" s="116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92" t="s">
        <v>56</v>
      </c>
      <c r="B6" s="1174" t="s">
        <v>57</v>
      </c>
      <c r="C6" s="1189" t="s">
        <v>58</v>
      </c>
      <c r="D6" s="1189"/>
      <c r="E6" s="1190"/>
      <c r="F6" s="1" t="s">
        <v>59</v>
      </c>
      <c r="G6" s="1191" t="s">
        <v>60</v>
      </c>
      <c r="H6" s="1191"/>
      <c r="I6" s="1191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93"/>
      <c r="B7" s="1174"/>
      <c r="C7" s="1166" t="s">
        <v>1078</v>
      </c>
      <c r="D7" s="1166"/>
      <c r="E7" s="1167"/>
      <c r="F7" s="2"/>
      <c r="G7" s="1166" t="s">
        <v>1078</v>
      </c>
      <c r="H7" s="1166"/>
      <c r="I7" s="1166"/>
      <c r="J7" s="160"/>
      <c r="K7" s="160"/>
      <c r="L7" s="160"/>
      <c r="M7" s="160"/>
    </row>
    <row r="8" spans="1:22" s="123" customFormat="1" ht="36.6" customHeight="1" x14ac:dyDescent="0.2">
      <c r="A8" s="1194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91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0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5" si="0">A9+1</f>
        <v>2</v>
      </c>
      <c r="B10" s="167"/>
      <c r="C10" s="118"/>
      <c r="D10" s="118"/>
      <c r="E10" s="119"/>
      <c r="F10" s="139"/>
      <c r="G10" s="119"/>
      <c r="H10" s="119"/>
      <c r="I10" s="443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5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1251</v>
      </c>
      <c r="C12" s="118">
        <f>Össz.önkor.mérleg.!C15</f>
        <v>8750</v>
      </c>
      <c r="D12" s="118">
        <f>Össz.önkor.mérleg.!D15</f>
        <v>0</v>
      </c>
      <c r="E12" s="118">
        <f>Össz.önkor.mérleg.!E15</f>
        <v>8750</v>
      </c>
      <c r="F12" s="140"/>
      <c r="G12" s="173"/>
      <c r="H12" s="173"/>
      <c r="I12" s="445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33" t="s">
        <v>1252</v>
      </c>
      <c r="C13" s="118">
        <f>Össz.önkor.mérleg.!C16</f>
        <v>0</v>
      </c>
      <c r="D13" s="118">
        <f>Össz.önkor.mérleg.!D16</f>
        <v>93253</v>
      </c>
      <c r="E13" s="118">
        <f>Össz.önkor.mérleg.!E16</f>
        <v>93253</v>
      </c>
      <c r="F13" s="140"/>
      <c r="G13" s="173"/>
      <c r="H13" s="173"/>
      <c r="I13" s="445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657</v>
      </c>
      <c r="C14" s="118"/>
      <c r="D14" s="168"/>
      <c r="E14" s="168"/>
      <c r="F14" s="139" t="s">
        <v>652</v>
      </c>
      <c r="G14" s="169">
        <f>Össz.önkor.mérleg.!G27</f>
        <v>1476944</v>
      </c>
      <c r="H14" s="169">
        <f>Össz.önkor.mérleg.!H27</f>
        <v>160983</v>
      </c>
      <c r="I14" s="445">
        <f>Össz.önkor.mérleg.!I27</f>
        <v>1637927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10950</v>
      </c>
      <c r="H15" s="169">
        <f>Össz.önkor.mérleg.!H28</f>
        <v>0</v>
      </c>
      <c r="I15" s="445">
        <f>SUM(G15:H15)</f>
        <v>10950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29">
        <f>Össz.önkor.mérleg.!C24</f>
        <v>1070</v>
      </c>
      <c r="D16" s="129">
        <f>Össz.önkor.mérleg.!D24</f>
        <v>212438</v>
      </c>
      <c r="E16" s="118">
        <f>Össz.önkor.mérleg.!E24</f>
        <v>213508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5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5553</v>
      </c>
      <c r="E17" s="118">
        <f>Össz.önkor.mérleg.!E25</f>
        <v>5553</v>
      </c>
      <c r="F17" s="139" t="s">
        <v>461</v>
      </c>
      <c r="G17" s="169">
        <f>Össz.önkor.mérleg.!G30</f>
        <v>604811</v>
      </c>
      <c r="H17" s="169">
        <f>Össz.önkor.mérleg.!H30</f>
        <v>3238</v>
      </c>
      <c r="I17" s="445">
        <f>SUM(G17:H17)</f>
        <v>608049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/>
      <c r="D18" s="118"/>
      <c r="E18" s="118"/>
      <c r="F18" s="139" t="s">
        <v>1312</v>
      </c>
      <c r="G18" s="169">
        <f>Össz.önkor.mérleg.!G31</f>
        <v>0</v>
      </c>
      <c r="H18" s="169">
        <f>Össz.önkor.mérleg.!H31</f>
        <v>6000</v>
      </c>
      <c r="I18" s="169">
        <f>Össz.önkor.mérleg.!I31</f>
        <v>6000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60</v>
      </c>
      <c r="E19" s="118">
        <f>Össz.önkor.mérleg.!E26</f>
        <v>60</v>
      </c>
      <c r="F19" s="139" t="s">
        <v>1313</v>
      </c>
      <c r="G19" s="169">
        <f>Össz.önkor.mérleg.!G32</f>
        <v>48940</v>
      </c>
      <c r="H19" s="169">
        <f>Össz.önkor.mérleg.!H32</f>
        <v>32520</v>
      </c>
      <c r="I19" s="445">
        <f>Össz.önkor.mérleg.!I32</f>
        <v>81460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9" t="s">
        <v>1314</v>
      </c>
      <c r="G20" s="169">
        <f>Össz.önkor.mérleg.!G33</f>
        <v>27422</v>
      </c>
      <c r="H20" s="169">
        <f>Össz.önkor.mérleg.!H33</f>
        <v>125443</v>
      </c>
      <c r="I20" s="445">
        <f>Össz.önkor.mérleg.!I33</f>
        <v>152865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67"/>
      <c r="C21" s="118"/>
      <c r="D21" s="119"/>
      <c r="E21" s="119"/>
      <c r="F21" s="176" t="s">
        <v>68</v>
      </c>
      <c r="G21" s="177">
        <f>SUM(G14:G20)</f>
        <v>2169067</v>
      </c>
      <c r="H21" s="177">
        <f>SUM(H14:H20)</f>
        <v>328184</v>
      </c>
      <c r="I21" s="447">
        <f>SUM(I14:I20)</f>
        <v>2497251</v>
      </c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4">
        <f t="shared" si="0"/>
        <v>14</v>
      </c>
      <c r="B22" s="157" t="s">
        <v>658</v>
      </c>
      <c r="C22" s="119">
        <f>Össz.önkor.mérleg.!C30</f>
        <v>0</v>
      </c>
      <c r="D22" s="119">
        <f>Össz.önkor.mérleg.!D30</f>
        <v>6121</v>
      </c>
      <c r="E22" s="119">
        <f>Össz.önkor.mérleg.!E30</f>
        <v>6121</v>
      </c>
      <c r="F22" s="139"/>
      <c r="G22" s="169"/>
      <c r="H22" s="169"/>
      <c r="I22" s="443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4">
        <f t="shared" si="0"/>
        <v>15</v>
      </c>
      <c r="B23" s="157"/>
      <c r="C23" s="119"/>
      <c r="D23" s="119"/>
      <c r="E23" s="119"/>
      <c r="F23" s="171"/>
      <c r="G23" s="169"/>
      <c r="H23" s="169"/>
      <c r="I23" s="445"/>
      <c r="J23" s="536"/>
      <c r="K23" s="188"/>
      <c r="L23" s="188"/>
      <c r="M23" s="188"/>
    </row>
    <row r="24" spans="1:22" s="124" customFormat="1" x14ac:dyDescent="0.2">
      <c r="A24" s="164">
        <f t="shared" si="0"/>
        <v>16</v>
      </c>
      <c r="B24" s="174"/>
      <c r="C24" s="168"/>
      <c r="D24" s="168"/>
      <c r="E24" s="168"/>
      <c r="F24" s="171"/>
      <c r="G24" s="169"/>
      <c r="H24" s="169"/>
      <c r="I24" s="445"/>
      <c r="J24" s="536"/>
      <c r="K24" s="188"/>
      <c r="L24" s="188"/>
      <c r="M24" s="188"/>
    </row>
    <row r="25" spans="1:22" x14ac:dyDescent="0.2">
      <c r="A25" s="164">
        <f t="shared" si="0"/>
        <v>17</v>
      </c>
      <c r="B25" s="175" t="s">
        <v>67</v>
      </c>
      <c r="C25" s="125">
        <f>C12+C13+C16+C17+C19+C20+C22</f>
        <v>9820</v>
      </c>
      <c r="D25" s="125">
        <f t="shared" ref="D25:E25" si="1">D12+D13+D16+D17+D19+D20+D22</f>
        <v>317425</v>
      </c>
      <c r="E25" s="125">
        <f t="shared" si="1"/>
        <v>327245</v>
      </c>
      <c r="F25" s="172"/>
      <c r="G25" s="125"/>
      <c r="H25" s="125"/>
      <c r="I25" s="444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78" t="s">
        <v>51</v>
      </c>
      <c r="C26" s="173">
        <f>SUM(C24:C25)</f>
        <v>9820</v>
      </c>
      <c r="D26" s="173">
        <f>SUM(D24:D25)</f>
        <v>317425</v>
      </c>
      <c r="E26" s="173">
        <f>SUM(E24:E25)</f>
        <v>327245</v>
      </c>
      <c r="F26" s="179" t="s">
        <v>69</v>
      </c>
      <c r="G26" s="173">
        <f>G25+G21</f>
        <v>2169067</v>
      </c>
      <c r="H26" s="173">
        <f>H25+H21</f>
        <v>328184</v>
      </c>
      <c r="I26" s="448">
        <f>I25+I21</f>
        <v>2497251</v>
      </c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80"/>
      <c r="C27" s="169"/>
      <c r="D27" s="169"/>
      <c r="E27" s="169"/>
      <c r="F27" s="171"/>
      <c r="I27" s="445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78" t="s">
        <v>659</v>
      </c>
      <c r="C28" s="173">
        <f>C26-G26</f>
        <v>-2159247</v>
      </c>
      <c r="D28" s="173">
        <f>D26-H26</f>
        <v>-10759</v>
      </c>
      <c r="E28" s="590">
        <f>E26-I26</f>
        <v>-2170006</v>
      </c>
      <c r="F28" s="171"/>
      <c r="I28" s="445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2.75" customHeight="1" x14ac:dyDescent="0.2">
      <c r="A29" s="164">
        <f t="shared" si="0"/>
        <v>21</v>
      </c>
      <c r="B29" s="80"/>
      <c r="C29" s="644"/>
      <c r="D29" s="644"/>
      <c r="E29" s="644"/>
      <c r="F29" s="171"/>
      <c r="I29" s="445"/>
      <c r="J29" s="184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4">
        <f t="shared" si="0"/>
        <v>22</v>
      </c>
      <c r="B30" s="127"/>
      <c r="C30" s="169"/>
      <c r="D30" s="169"/>
      <c r="E30" s="169"/>
      <c r="F30" s="171"/>
      <c r="G30" s="169"/>
      <c r="H30" s="169"/>
      <c r="I30" s="445"/>
      <c r="J30" s="514"/>
      <c r="K30" s="183"/>
      <c r="L30" s="183"/>
      <c r="M30" s="183"/>
    </row>
    <row r="31" spans="1:22" s="11" customFormat="1" x14ac:dyDescent="0.2">
      <c r="A31" s="164">
        <f t="shared" si="0"/>
        <v>23</v>
      </c>
      <c r="B31" s="126" t="s">
        <v>53</v>
      </c>
      <c r="C31" s="126"/>
      <c r="D31" s="126"/>
      <c r="E31" s="126"/>
      <c r="F31" s="140" t="s">
        <v>33</v>
      </c>
      <c r="G31" s="173"/>
      <c r="H31" s="173"/>
      <c r="I31" s="448"/>
      <c r="J31" s="514"/>
      <c r="K31" s="183"/>
      <c r="L31" s="183"/>
      <c r="M31" s="183"/>
    </row>
    <row r="32" spans="1:22" s="11" customFormat="1" x14ac:dyDescent="0.2">
      <c r="A32" s="164">
        <f t="shared" si="0"/>
        <v>24</v>
      </c>
      <c r="B32" s="136" t="s">
        <v>708</v>
      </c>
      <c r="C32" s="126"/>
      <c r="D32" s="126"/>
      <c r="E32" s="126"/>
      <c r="F32" s="181" t="s">
        <v>4</v>
      </c>
      <c r="G32" s="182"/>
      <c r="H32" s="183"/>
      <c r="I32" s="449"/>
      <c r="J32" s="514"/>
      <c r="K32" s="183"/>
      <c r="L32" s="183"/>
      <c r="M32" s="183"/>
    </row>
    <row r="33" spans="1:22" s="11" customFormat="1" x14ac:dyDescent="0.2">
      <c r="A33" s="164">
        <f t="shared" si="0"/>
        <v>25</v>
      </c>
      <c r="B33" s="157" t="s">
        <v>1038</v>
      </c>
      <c r="C33" s="119">
        <f>Össz.önkor.mérleg.!C41</f>
        <v>1243160</v>
      </c>
      <c r="D33" s="119">
        <f>Össz.önkor.mérleg.!D41</f>
        <v>0</v>
      </c>
      <c r="E33" s="119">
        <f>Össz.önkor.mérleg.!E41</f>
        <v>1243160</v>
      </c>
      <c r="F33" s="184" t="s">
        <v>3</v>
      </c>
      <c r="G33" s="173"/>
      <c r="H33" s="173"/>
      <c r="I33" s="448"/>
      <c r="J33" s="514"/>
      <c r="K33" s="183"/>
      <c r="L33" s="183"/>
      <c r="M33" s="183"/>
    </row>
    <row r="34" spans="1:22" x14ac:dyDescent="0.2">
      <c r="A34" s="164">
        <f t="shared" si="0"/>
        <v>26</v>
      </c>
      <c r="B34" s="118" t="s">
        <v>710</v>
      </c>
      <c r="C34" s="185"/>
      <c r="D34" s="137"/>
      <c r="E34" s="137">
        <f>SUM(C34:D34)</f>
        <v>0</v>
      </c>
      <c r="F34" s="139" t="s">
        <v>5</v>
      </c>
      <c r="G34" s="173"/>
      <c r="H34" s="173"/>
      <c r="I34" s="448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709</v>
      </c>
      <c r="C35" s="119"/>
      <c r="D35" s="119"/>
      <c r="E35" s="119"/>
      <c r="F35" s="139" t="s">
        <v>6</v>
      </c>
      <c r="G35" s="182"/>
      <c r="H35" s="182"/>
      <c r="I35" s="448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1109</v>
      </c>
      <c r="C36" s="285">
        <f>-(C28+C33)-C30</f>
        <v>916087</v>
      </c>
      <c r="D36" s="285">
        <f t="shared" ref="D36:E36" si="2">-(D28+D33)-D30</f>
        <v>10759</v>
      </c>
      <c r="E36" s="285">
        <f t="shared" si="2"/>
        <v>926846</v>
      </c>
      <c r="F36" s="139" t="s">
        <v>7</v>
      </c>
      <c r="G36" s="182"/>
      <c r="H36" s="182"/>
      <c r="I36" s="448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711</v>
      </c>
      <c r="C37" s="126"/>
      <c r="D37" s="126"/>
      <c r="E37" s="523"/>
      <c r="F37" s="139" t="s">
        <v>9</v>
      </c>
      <c r="G37" s="173"/>
      <c r="H37" s="173"/>
      <c r="I37" s="445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9" t="s">
        <v>712</v>
      </c>
      <c r="C38" s="119"/>
      <c r="D38" s="119"/>
      <c r="E38" s="119"/>
      <c r="F38" s="139" t="s">
        <v>10</v>
      </c>
      <c r="G38" s="169"/>
      <c r="H38" s="169"/>
      <c r="I38" s="445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713</v>
      </c>
      <c r="C39" s="119"/>
      <c r="D39" s="119"/>
      <c r="E39" s="119"/>
      <c r="F39" s="139" t="s">
        <v>11</v>
      </c>
      <c r="G39" s="169"/>
      <c r="H39" s="169"/>
      <c r="I39" s="445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714</v>
      </c>
      <c r="C40" s="119"/>
      <c r="D40" s="119"/>
      <c r="E40" s="119"/>
      <c r="F40" s="139" t="s">
        <v>12</v>
      </c>
      <c r="G40" s="169"/>
      <c r="H40" s="169"/>
      <c r="I40" s="445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0</v>
      </c>
      <c r="C41" s="119"/>
      <c r="D41" s="119"/>
      <c r="E41" s="119"/>
      <c r="F41" s="139" t="s">
        <v>13</v>
      </c>
      <c r="G41" s="169"/>
      <c r="H41" s="169"/>
      <c r="I41" s="445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1</v>
      </c>
      <c r="C42" s="119"/>
      <c r="D42" s="119"/>
      <c r="E42" s="119"/>
      <c r="F42" s="139" t="s">
        <v>14</v>
      </c>
      <c r="G42" s="169"/>
      <c r="H42" s="169"/>
      <c r="I42" s="445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</v>
      </c>
      <c r="C43" s="119"/>
      <c r="D43" s="119"/>
      <c r="E43" s="119"/>
      <c r="F43" s="139" t="s">
        <v>15</v>
      </c>
      <c r="G43" s="169"/>
      <c r="H43" s="169"/>
      <c r="I43" s="445"/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4">
        <f t="shared" si="0"/>
        <v>36</v>
      </c>
      <c r="B44" s="178" t="s">
        <v>462</v>
      </c>
      <c r="C44" s="508">
        <f>SUM(C30:C42)</f>
        <v>2159247</v>
      </c>
      <c r="D44" s="508">
        <f t="shared" ref="D44:E44" si="3">SUM(D30:D42)</f>
        <v>10759</v>
      </c>
      <c r="E44" s="508">
        <f t="shared" si="3"/>
        <v>2170006</v>
      </c>
      <c r="F44" s="140" t="s">
        <v>455</v>
      </c>
      <c r="G44" s="173">
        <f>SUM(G32:G43)</f>
        <v>0</v>
      </c>
      <c r="H44" s="173">
        <f>SUM(H32:H43)</f>
        <v>0</v>
      </c>
      <c r="I44" s="452">
        <f>SUM(I32:I43)</f>
        <v>0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138">
        <f t="shared" si="0"/>
        <v>37</v>
      </c>
      <c r="B45" s="1139" t="s">
        <v>457</v>
      </c>
      <c r="C45" s="1091">
        <f>C26+C29+C44</f>
        <v>2169067</v>
      </c>
      <c r="D45" s="186">
        <f>D26+D29+D44</f>
        <v>328184</v>
      </c>
      <c r="E45" s="186">
        <f>E26+E29+E44</f>
        <v>2497251</v>
      </c>
      <c r="F45" s="507" t="s">
        <v>456</v>
      </c>
      <c r="G45" s="1089">
        <f>G26+G44</f>
        <v>2169067</v>
      </c>
      <c r="H45" s="1089">
        <f>H26+H44</f>
        <v>328184</v>
      </c>
      <c r="I45" s="1090">
        <f>I26+I44</f>
        <v>2497251</v>
      </c>
      <c r="J45" s="184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3"/>
      <c r="C46" s="182"/>
      <c r="D46" s="182"/>
      <c r="E46" s="182"/>
      <c r="F46" s="182"/>
      <c r="G46" s="182"/>
      <c r="H46" s="182"/>
      <c r="I46" s="182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5" customWidth="1"/>
    <col min="2" max="2" width="71.7109375" style="375" customWidth="1"/>
    <col min="3" max="3" width="13.5703125" style="375" customWidth="1"/>
    <col min="4" max="4" width="9.140625" style="363"/>
    <col min="5" max="16384" width="9.140625" style="364"/>
  </cols>
  <sheetData>
    <row r="2" spans="1:4" ht="20.100000000000001" customHeight="1" x14ac:dyDescent="0.25">
      <c r="A2" s="364"/>
      <c r="B2" s="1407" t="s">
        <v>1174</v>
      </c>
      <c r="C2" s="1407"/>
    </row>
    <row r="3" spans="1:4" ht="20.100000000000001" customHeight="1" x14ac:dyDescent="0.25">
      <c r="A3" s="364"/>
      <c r="B3" s="456"/>
      <c r="C3" s="456"/>
    </row>
    <row r="4" spans="1:4" ht="20.100000000000001" customHeight="1" x14ac:dyDescent="0.25">
      <c r="A4" s="364"/>
      <c r="B4" s="1409" t="s">
        <v>78</v>
      </c>
      <c r="C4" s="1409"/>
    </row>
    <row r="5" spans="1:4" ht="20.100000000000001" customHeight="1" x14ac:dyDescent="0.25">
      <c r="A5" s="364"/>
      <c r="B5" s="1409" t="s">
        <v>1082</v>
      </c>
      <c r="C5" s="1409"/>
    </row>
    <row r="6" spans="1:4" ht="20.100000000000001" customHeight="1" x14ac:dyDescent="0.25">
      <c r="A6" s="364"/>
      <c r="B6" s="1409" t="s">
        <v>428</v>
      </c>
      <c r="C6" s="1409"/>
    </row>
    <row r="7" spans="1:4" s="366" customFormat="1" ht="20.100000000000001" customHeight="1" x14ac:dyDescent="0.25">
      <c r="B7" s="1409"/>
      <c r="C7" s="1409"/>
      <c r="D7" s="365"/>
    </row>
    <row r="8" spans="1:4" s="366" customFormat="1" ht="20.100000000000001" customHeight="1" x14ac:dyDescent="0.25">
      <c r="B8" s="457"/>
      <c r="C8" s="457"/>
      <c r="D8" s="365"/>
    </row>
    <row r="9" spans="1:4" s="368" customFormat="1" ht="20.100000000000001" customHeight="1" x14ac:dyDescent="0.25">
      <c r="B9" s="458"/>
      <c r="C9" s="459" t="s">
        <v>325</v>
      </c>
      <c r="D9" s="367"/>
    </row>
    <row r="10" spans="1:4" ht="20.100000000000001" customHeight="1" x14ac:dyDescent="0.25">
      <c r="A10" s="1408"/>
      <c r="B10" s="460" t="s">
        <v>57</v>
      </c>
      <c r="C10" s="460" t="s">
        <v>58</v>
      </c>
    </row>
    <row r="11" spans="1:4" s="368" customFormat="1" ht="30.75" customHeight="1" x14ac:dyDescent="0.25">
      <c r="A11" s="1408"/>
      <c r="B11" s="461" t="s">
        <v>86</v>
      </c>
      <c r="C11" s="461" t="s">
        <v>429</v>
      </c>
      <c r="D11" s="367"/>
    </row>
    <row r="12" spans="1:4" ht="22.5" customHeight="1" x14ac:dyDescent="0.25">
      <c r="A12" s="462"/>
      <c r="B12" s="364"/>
      <c r="C12" s="364"/>
    </row>
    <row r="13" spans="1:4" ht="51" customHeight="1" x14ac:dyDescent="0.25">
      <c r="A13" s="463" t="s">
        <v>493</v>
      </c>
      <c r="B13" s="464" t="s">
        <v>1146</v>
      </c>
      <c r="C13" s="747">
        <v>169769</v>
      </c>
    </row>
    <row r="14" spans="1:4" ht="20.100000000000001" customHeight="1" x14ac:dyDescent="0.25">
      <c r="A14" s="462"/>
      <c r="B14" s="364"/>
      <c r="C14" s="748"/>
    </row>
    <row r="15" spans="1:4" ht="35.25" customHeight="1" x14ac:dyDescent="0.25">
      <c r="A15" s="463" t="s">
        <v>501</v>
      </c>
      <c r="B15" s="465" t="s">
        <v>1169</v>
      </c>
      <c r="C15" s="747">
        <v>1467</v>
      </c>
    </row>
    <row r="16" spans="1:4" ht="20.100000000000001" customHeight="1" x14ac:dyDescent="0.25">
      <c r="A16" s="462"/>
      <c r="B16" s="364"/>
      <c r="C16" s="748"/>
    </row>
    <row r="17" spans="1:4" ht="36" customHeight="1" x14ac:dyDescent="0.25">
      <c r="A17" s="463" t="s">
        <v>502</v>
      </c>
      <c r="B17" s="466" t="s">
        <v>430</v>
      </c>
      <c r="C17" s="749">
        <v>547</v>
      </c>
    </row>
    <row r="18" spans="1:4" ht="20.100000000000001" customHeight="1" x14ac:dyDescent="0.25">
      <c r="A18" s="462"/>
      <c r="B18" s="467"/>
      <c r="C18" s="748"/>
    </row>
    <row r="19" spans="1:4" s="366" customFormat="1" ht="20.100000000000001" customHeight="1" x14ac:dyDescent="0.25">
      <c r="A19" s="462" t="s">
        <v>503</v>
      </c>
      <c r="B19" s="366" t="s">
        <v>431</v>
      </c>
      <c r="C19" s="750">
        <f>SUM(C13:C18)</f>
        <v>171783</v>
      </c>
      <c r="D19" s="365"/>
    </row>
    <row r="20" spans="1:4" ht="20.100000000000001" customHeight="1" x14ac:dyDescent="0.25">
      <c r="A20" s="364"/>
      <c r="B20" s="364"/>
      <c r="C20" s="748"/>
    </row>
    <row r="21" spans="1:4" ht="20.100000000000001" customHeight="1" x14ac:dyDescent="0.25">
      <c r="C21" s="376"/>
    </row>
    <row r="22" spans="1:4" ht="20.100000000000001" customHeight="1" x14ac:dyDescent="0.25">
      <c r="C22" s="376"/>
    </row>
    <row r="23" spans="1:4" ht="20.100000000000001" customHeight="1" x14ac:dyDescent="0.25">
      <c r="C23" s="376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69" customWidth="1"/>
    <col min="2" max="2" width="29.28515625" style="369" customWidth="1"/>
    <col min="3" max="3" width="16.85546875" style="369" bestFit="1" customWidth="1"/>
    <col min="4" max="4" width="15.5703125" style="369" customWidth="1"/>
    <col min="5" max="5" width="9.85546875" style="369" bestFit="1" customWidth="1"/>
    <col min="6" max="6" width="12.85546875" style="369" customWidth="1"/>
    <col min="7" max="8" width="14.5703125" style="369" customWidth="1"/>
    <col min="9" max="9" width="10.7109375" style="369" customWidth="1"/>
    <col min="10" max="10" width="10.5703125" style="369" customWidth="1"/>
    <col min="11" max="11" width="10.28515625" style="369" customWidth="1"/>
    <col min="12" max="12" width="10.28515625" style="369"/>
    <col min="13" max="16384" width="10.28515625" style="374"/>
  </cols>
  <sheetData>
    <row r="1" spans="1:12" s="369" customFormat="1" x14ac:dyDescent="0.2">
      <c r="A1" s="1410" t="s">
        <v>1175</v>
      </c>
      <c r="B1" s="1410"/>
      <c r="C1" s="1410"/>
      <c r="D1" s="1410"/>
      <c r="E1" s="1410"/>
      <c r="F1" s="1410"/>
      <c r="G1" s="1410"/>
      <c r="H1" s="1410"/>
      <c r="I1" s="1410"/>
      <c r="J1" s="1410"/>
    </row>
    <row r="2" spans="1:12" s="369" customFormat="1" ht="14.1" customHeight="1" x14ac:dyDescent="0.2"/>
    <row r="3" spans="1:12" s="369" customFormat="1" ht="15" customHeight="1" x14ac:dyDescent="0.25">
      <c r="B3" s="1412" t="s">
        <v>78</v>
      </c>
      <c r="C3" s="1412"/>
      <c r="D3" s="1412"/>
      <c r="E3" s="1412"/>
      <c r="F3" s="1412"/>
      <c r="G3" s="1412"/>
      <c r="H3" s="1412"/>
      <c r="I3" s="1412"/>
      <c r="J3" s="1412"/>
    </row>
    <row r="4" spans="1:12" s="369" customFormat="1" ht="15" customHeight="1" x14ac:dyDescent="0.25">
      <c r="B4" s="1412" t="s">
        <v>1082</v>
      </c>
      <c r="C4" s="1412"/>
      <c r="D4" s="1412"/>
      <c r="E4" s="1412"/>
      <c r="F4" s="1412"/>
      <c r="G4" s="1412"/>
      <c r="H4" s="1412"/>
      <c r="I4" s="1412"/>
      <c r="J4" s="1412"/>
    </row>
    <row r="5" spans="1:12" s="369" customFormat="1" ht="15" customHeight="1" x14ac:dyDescent="0.25">
      <c r="B5" s="1412" t="s">
        <v>432</v>
      </c>
      <c r="C5" s="1412"/>
      <c r="D5" s="1412"/>
      <c r="E5" s="1412"/>
      <c r="F5" s="1412"/>
      <c r="G5" s="1412"/>
      <c r="H5" s="1412"/>
      <c r="I5" s="1412"/>
      <c r="J5" s="1412"/>
    </row>
    <row r="6" spans="1:12" s="369" customFormat="1" ht="15" customHeight="1" x14ac:dyDescent="0.25">
      <c r="B6" s="1412"/>
      <c r="C6" s="1412"/>
      <c r="D6" s="1412"/>
      <c r="E6" s="1412"/>
      <c r="F6" s="1412"/>
      <c r="G6" s="1412"/>
      <c r="H6" s="1412"/>
      <c r="I6" s="1412"/>
      <c r="J6" s="1412"/>
    </row>
    <row r="7" spans="1:12" s="369" customFormat="1" ht="15" customHeight="1" x14ac:dyDescent="0.25">
      <c r="B7" s="1420" t="s">
        <v>325</v>
      </c>
      <c r="C7" s="1420"/>
      <c r="D7" s="1420"/>
      <c r="E7" s="1420"/>
      <c r="F7" s="1420"/>
      <c r="G7" s="1420"/>
      <c r="H7" s="1420"/>
      <c r="I7" s="1420"/>
      <c r="J7" s="1420"/>
    </row>
    <row r="8" spans="1:12" s="370" customFormat="1" ht="14.1" customHeight="1" x14ac:dyDescent="0.25">
      <c r="A8" s="1411"/>
      <c r="B8" s="1005" t="s">
        <v>57</v>
      </c>
      <c r="C8" s="1005" t="s">
        <v>58</v>
      </c>
      <c r="D8" s="1005" t="s">
        <v>59</v>
      </c>
      <c r="E8" s="1005" t="s">
        <v>60</v>
      </c>
      <c r="F8" s="1005" t="s">
        <v>484</v>
      </c>
      <c r="G8" s="1005" t="s">
        <v>485</v>
      </c>
      <c r="H8" s="1005" t="s">
        <v>486</v>
      </c>
      <c r="I8" s="1005" t="s">
        <v>613</v>
      </c>
      <c r="J8" s="1005" t="s">
        <v>624</v>
      </c>
    </row>
    <row r="9" spans="1:12" s="371" customFormat="1" ht="17.25" customHeight="1" x14ac:dyDescent="0.25">
      <c r="A9" s="1411"/>
      <c r="B9" s="1414" t="s">
        <v>86</v>
      </c>
      <c r="C9" s="1416" t="s">
        <v>433</v>
      </c>
      <c r="D9" s="1416" t="s">
        <v>1147</v>
      </c>
      <c r="E9" s="1414" t="s">
        <v>434</v>
      </c>
      <c r="F9" s="1418" t="s">
        <v>435</v>
      </c>
      <c r="G9" s="1414" t="s">
        <v>436</v>
      </c>
      <c r="H9" s="1416" t="s">
        <v>950</v>
      </c>
      <c r="I9" s="1413" t="s">
        <v>437</v>
      </c>
      <c r="J9" s="1413"/>
    </row>
    <row r="10" spans="1:12" s="371" customFormat="1" ht="30" customHeight="1" x14ac:dyDescent="0.25">
      <c r="A10" s="1411"/>
      <c r="B10" s="1415"/>
      <c r="C10" s="1417"/>
      <c r="D10" s="1417"/>
      <c r="E10" s="1415"/>
      <c r="F10" s="1419"/>
      <c r="G10" s="1415"/>
      <c r="H10" s="1417"/>
      <c r="I10" s="1005" t="s">
        <v>438</v>
      </c>
      <c r="J10" s="1005" t="s">
        <v>439</v>
      </c>
    </row>
    <row r="11" spans="1:12" s="370" customFormat="1" ht="16.5" customHeight="1" x14ac:dyDescent="0.25">
      <c r="A11" s="372" t="s">
        <v>493</v>
      </c>
      <c r="B11" s="378" t="s">
        <v>440</v>
      </c>
    </row>
    <row r="12" spans="1:12" s="370" customFormat="1" ht="15" customHeight="1" x14ac:dyDescent="0.25">
      <c r="A12" s="372" t="s">
        <v>501</v>
      </c>
      <c r="B12" s="370" t="s">
        <v>441</v>
      </c>
      <c r="C12" s="379"/>
      <c r="D12" s="379"/>
      <c r="E12" s="380"/>
      <c r="F12" s="380"/>
      <c r="G12" s="380"/>
      <c r="H12" s="379"/>
      <c r="I12" s="380"/>
      <c r="J12" s="380"/>
    </row>
    <row r="13" spans="1:12" s="370" customFormat="1" ht="15" customHeight="1" x14ac:dyDescent="0.25">
      <c r="A13" s="372" t="s">
        <v>502</v>
      </c>
      <c r="B13" s="381" t="s">
        <v>442</v>
      </c>
      <c r="C13" s="382">
        <v>500</v>
      </c>
      <c r="D13" s="383">
        <v>75</v>
      </c>
      <c r="E13" s="384" t="s">
        <v>443</v>
      </c>
      <c r="F13" s="384" t="s">
        <v>444</v>
      </c>
      <c r="G13" s="384" t="s">
        <v>444</v>
      </c>
      <c r="H13" s="383">
        <v>50</v>
      </c>
      <c r="I13" s="385">
        <v>0</v>
      </c>
      <c r="J13" s="384" t="s">
        <v>445</v>
      </c>
    </row>
    <row r="14" spans="1:12" s="371" customFormat="1" ht="15" customHeight="1" x14ac:dyDescent="0.25">
      <c r="A14" s="372" t="s">
        <v>503</v>
      </c>
      <c r="B14" s="381" t="s">
        <v>446</v>
      </c>
      <c r="C14" s="382">
        <v>25130</v>
      </c>
      <c r="D14" s="382">
        <v>15303</v>
      </c>
      <c r="E14" s="384" t="s">
        <v>443</v>
      </c>
      <c r="F14" s="384" t="s">
        <v>444</v>
      </c>
      <c r="G14" s="384" t="s">
        <v>444</v>
      </c>
      <c r="H14" s="382">
        <v>2508</v>
      </c>
      <c r="I14" s="385">
        <v>0</v>
      </c>
      <c r="J14" s="384" t="s">
        <v>445</v>
      </c>
    </row>
    <row r="15" spans="1:12" s="373" customFormat="1" ht="16.5" customHeight="1" x14ac:dyDescent="0.25">
      <c r="A15" s="372" t="s">
        <v>504</v>
      </c>
      <c r="B15" s="371" t="s">
        <v>447</v>
      </c>
      <c r="C15" s="386">
        <f>SUM(C13:C14)</f>
        <v>25630</v>
      </c>
      <c r="D15" s="386">
        <f>SUM(D13:D14)</f>
        <v>15378</v>
      </c>
      <c r="E15" s="387"/>
      <c r="F15" s="387"/>
      <c r="G15" s="387"/>
      <c r="H15" s="386">
        <f>SUM(H13:H14)</f>
        <v>2558</v>
      </c>
      <c r="I15" s="385"/>
      <c r="J15" s="384" t="s">
        <v>445</v>
      </c>
      <c r="K15" s="370"/>
      <c r="L15" s="370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95" t="s">
        <v>1170</v>
      </c>
      <c r="B1" s="1195"/>
      <c r="C1" s="1195"/>
      <c r="D1" s="1195"/>
      <c r="E1" s="1195"/>
      <c r="F1" s="1195"/>
      <c r="G1" s="1195"/>
      <c r="H1" s="1195"/>
      <c r="I1" s="1195"/>
    </row>
    <row r="2" spans="1:256" x14ac:dyDescent="0.2">
      <c r="F2" s="1205"/>
      <c r="G2" s="1205"/>
      <c r="H2" s="1205"/>
      <c r="I2" s="1205"/>
    </row>
    <row r="4" spans="1:256" ht="30" customHeight="1" x14ac:dyDescent="0.2">
      <c r="A4" s="1206" t="s">
        <v>78</v>
      </c>
      <c r="B4" s="1206"/>
      <c r="C4" s="1206"/>
      <c r="D4" s="1206"/>
      <c r="E4" s="1206"/>
      <c r="F4" s="1207"/>
      <c r="G4" s="1207"/>
      <c r="H4" s="1207"/>
      <c r="I4" s="1207"/>
    </row>
    <row r="5" spans="1:256" ht="33" customHeight="1" x14ac:dyDescent="0.2">
      <c r="A5" s="1206" t="s">
        <v>1090</v>
      </c>
      <c r="B5" s="1206"/>
      <c r="C5" s="1206"/>
      <c r="D5" s="1206"/>
      <c r="E5" s="1206"/>
      <c r="F5" s="1207"/>
      <c r="G5" s="1207"/>
      <c r="H5" s="1207"/>
      <c r="I5" s="1207"/>
    </row>
    <row r="7" spans="1:256" ht="13.5" thickBot="1" x14ac:dyDescent="0.25">
      <c r="E7" s="548" t="s">
        <v>20</v>
      </c>
      <c r="F7" s="986"/>
    </row>
    <row r="8" spans="1:256" ht="30.75" customHeight="1" thickBot="1" x14ac:dyDescent="0.25">
      <c r="A8" s="1198" t="s">
        <v>79</v>
      </c>
      <c r="B8" s="1200" t="s">
        <v>112</v>
      </c>
      <c r="C8" s="1201"/>
      <c r="D8" s="1201"/>
      <c r="E8" s="1201"/>
      <c r="F8" s="1202" t="s">
        <v>1044</v>
      </c>
      <c r="G8" s="1203"/>
      <c r="H8" s="1203"/>
      <c r="I8" s="1204"/>
    </row>
    <row r="9" spans="1:256" ht="36.75" thickBot="1" x14ac:dyDescent="0.25">
      <c r="A9" s="1199"/>
      <c r="B9" s="286" t="s">
        <v>80</v>
      </c>
      <c r="C9" s="192" t="s">
        <v>81</v>
      </c>
      <c r="D9" s="192" t="s">
        <v>705</v>
      </c>
      <c r="E9" s="287" t="s">
        <v>82</v>
      </c>
      <c r="F9" s="286" t="s">
        <v>80</v>
      </c>
      <c r="G9" s="192" t="s">
        <v>81</v>
      </c>
      <c r="H9" s="192" t="s">
        <v>705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844</v>
      </c>
      <c r="B11" s="687"/>
      <c r="C11" s="687"/>
      <c r="D11" s="687"/>
      <c r="E11" s="687"/>
      <c r="F11" s="751"/>
      <c r="G11" s="751"/>
      <c r="H11" s="751"/>
      <c r="I11" s="751"/>
      <c r="J11" s="592"/>
    </row>
    <row r="12" spans="1:256" ht="36" x14ac:dyDescent="0.2">
      <c r="A12" s="684" t="s">
        <v>845</v>
      </c>
      <c r="B12" s="687">
        <v>4865</v>
      </c>
      <c r="C12" s="752">
        <v>18.690000000000001</v>
      </c>
      <c r="D12" s="687">
        <v>4580000</v>
      </c>
      <c r="E12" s="687">
        <f>C12*D12</f>
        <v>85600200</v>
      </c>
      <c r="F12" s="799" t="s">
        <v>1045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846</v>
      </c>
      <c r="B13" s="687"/>
      <c r="C13" s="687"/>
      <c r="D13" s="687"/>
      <c r="E13" s="687"/>
      <c r="F13" s="642"/>
      <c r="G13" s="692"/>
      <c r="H13" s="692"/>
      <c r="I13" s="642"/>
      <c r="J13" s="592"/>
    </row>
    <row r="14" spans="1:256" ht="12.75" x14ac:dyDescent="0.2">
      <c r="A14" s="684" t="s">
        <v>847</v>
      </c>
      <c r="B14" s="687"/>
      <c r="C14" s="696"/>
      <c r="D14" s="687" t="s">
        <v>302</v>
      </c>
      <c r="E14" s="687">
        <v>8328800</v>
      </c>
      <c r="F14" s="642"/>
      <c r="G14" s="692"/>
      <c r="H14" s="550" t="s">
        <v>302</v>
      </c>
      <c r="I14" s="551">
        <v>8329050</v>
      </c>
      <c r="J14" s="592"/>
    </row>
    <row r="15" spans="1:256" ht="12.75" x14ac:dyDescent="0.2">
      <c r="A15" s="684" t="s">
        <v>848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4" t="s">
        <v>849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850</v>
      </c>
      <c r="B17" s="687"/>
      <c r="C17" s="687"/>
      <c r="D17" s="755" t="s">
        <v>303</v>
      </c>
      <c r="E17" s="687">
        <v>18272000</v>
      </c>
      <c r="F17" s="642"/>
      <c r="G17" s="692"/>
      <c r="H17" s="550" t="s">
        <v>304</v>
      </c>
      <c r="I17" s="551">
        <v>18304000</v>
      </c>
      <c r="J17" s="592"/>
    </row>
    <row r="18" spans="1:10" ht="12.75" x14ac:dyDescent="0.2">
      <c r="A18" s="555" t="s">
        <v>848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851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852</v>
      </c>
      <c r="B20" s="687"/>
      <c r="C20" s="687" t="s">
        <v>853</v>
      </c>
      <c r="D20" s="688" t="s">
        <v>706</v>
      </c>
      <c r="E20" s="687">
        <v>1355022</v>
      </c>
      <c r="F20" s="642"/>
      <c r="G20" s="687"/>
      <c r="H20" s="689" t="s">
        <v>706</v>
      </c>
      <c r="I20" s="551">
        <v>1355022</v>
      </c>
      <c r="J20" s="592"/>
    </row>
    <row r="21" spans="1:10" ht="12.75" x14ac:dyDescent="0.2">
      <c r="A21" s="555" t="s">
        <v>854</v>
      </c>
      <c r="B21" s="552"/>
      <c r="C21" s="552"/>
      <c r="D21" s="689"/>
      <c r="E21" s="552"/>
      <c r="F21" s="551"/>
      <c r="G21" s="552"/>
      <c r="H21" s="689"/>
      <c r="I21" s="551">
        <v>-1355022</v>
      </c>
      <c r="J21" s="592"/>
    </row>
    <row r="22" spans="1:10" ht="12.75" x14ac:dyDescent="0.2">
      <c r="A22" s="555" t="s">
        <v>855</v>
      </c>
      <c r="B22" s="552"/>
      <c r="C22" s="552"/>
      <c r="D22" s="689"/>
      <c r="E22" s="552"/>
      <c r="F22" s="551"/>
      <c r="G22" s="552"/>
      <c r="H22" s="689"/>
      <c r="I22" s="551">
        <f>I20+I21</f>
        <v>0</v>
      </c>
      <c r="J22" s="592"/>
    </row>
    <row r="23" spans="1:10" ht="12.75" x14ac:dyDescent="0.2">
      <c r="A23" s="555" t="s">
        <v>856</v>
      </c>
      <c r="B23" s="687"/>
      <c r="C23" s="696"/>
      <c r="D23" s="755" t="s">
        <v>707</v>
      </c>
      <c r="E23" s="687">
        <v>6369620</v>
      </c>
      <c r="F23" s="642"/>
      <c r="G23" s="692"/>
      <c r="H23" s="686" t="s">
        <v>707</v>
      </c>
      <c r="I23" s="551">
        <v>6369620</v>
      </c>
      <c r="J23" s="592"/>
    </row>
    <row r="24" spans="1:10" ht="12.75" x14ac:dyDescent="0.2">
      <c r="A24" s="555" t="s">
        <v>854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2.75" x14ac:dyDescent="0.2">
      <c r="A25" s="555" t="s">
        <v>857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2.75" x14ac:dyDescent="0.2">
      <c r="A26" s="555" t="s">
        <v>858</v>
      </c>
      <c r="B26" s="687">
        <v>4865</v>
      </c>
      <c r="C26" s="687"/>
      <c r="D26" s="687">
        <v>2700</v>
      </c>
      <c r="E26" s="687">
        <f>B26*D26</f>
        <v>13135500</v>
      </c>
      <c r="F26" s="551">
        <v>4705</v>
      </c>
      <c r="G26" s="692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859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860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861</v>
      </c>
      <c r="B29" s="687">
        <v>10</v>
      </c>
      <c r="C29" s="687"/>
      <c r="D29" s="687" t="s">
        <v>305</v>
      </c>
      <c r="E29" s="690">
        <v>25500</v>
      </c>
      <c r="F29" s="551">
        <v>21</v>
      </c>
      <c r="G29" s="692"/>
      <c r="H29" s="552" t="s">
        <v>305</v>
      </c>
      <c r="I29" s="551">
        <v>53550</v>
      </c>
      <c r="J29" s="592"/>
    </row>
    <row r="30" spans="1:10" ht="12.75" x14ac:dyDescent="0.2">
      <c r="A30" s="555" t="s">
        <v>862</v>
      </c>
      <c r="B30" s="552"/>
      <c r="C30" s="552"/>
      <c r="D30" s="552"/>
      <c r="E30" s="552">
        <v>-25500</v>
      </c>
      <c r="F30" s="551"/>
      <c r="G30" s="550"/>
      <c r="H30" s="550"/>
      <c r="I30" s="551">
        <v>-53550</v>
      </c>
      <c r="J30" s="592"/>
    </row>
    <row r="31" spans="1:10" ht="12.75" x14ac:dyDescent="0.2">
      <c r="A31" s="555" t="s">
        <v>863</v>
      </c>
      <c r="B31" s="687"/>
      <c r="C31" s="687"/>
      <c r="D31" s="687"/>
      <c r="E31" s="690">
        <v>0</v>
      </c>
      <c r="F31" s="642"/>
      <c r="G31" s="692"/>
      <c r="H31" s="692"/>
      <c r="I31" s="551">
        <f>I29+I30</f>
        <v>0</v>
      </c>
      <c r="J31" s="592"/>
    </row>
    <row r="32" spans="1:10" ht="12.75" x14ac:dyDescent="0.2">
      <c r="A32" s="754" t="s">
        <v>970</v>
      </c>
      <c r="B32" s="687"/>
      <c r="C32" s="687">
        <v>487729000</v>
      </c>
      <c r="D32" s="696">
        <v>1.55</v>
      </c>
      <c r="E32" s="687">
        <f>C32*D32</f>
        <v>755979950</v>
      </c>
      <c r="F32" s="642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859</v>
      </c>
      <c r="B33" s="552"/>
      <c r="C33" s="552"/>
      <c r="D33" s="556"/>
      <c r="E33" s="552">
        <v>-98054262</v>
      </c>
      <c r="F33" s="551"/>
      <c r="G33" s="550"/>
      <c r="H33" s="550"/>
      <c r="I33" s="551">
        <v>-76318159</v>
      </c>
      <c r="J33" s="592"/>
    </row>
    <row r="34" spans="1:18" ht="12.75" x14ac:dyDescent="0.2">
      <c r="A34" s="555" t="s">
        <v>865</v>
      </c>
      <c r="B34" s="687"/>
      <c r="C34" s="687"/>
      <c r="D34" s="701"/>
      <c r="E34" s="687">
        <f>E32+E33</f>
        <v>657925688</v>
      </c>
      <c r="F34" s="642"/>
      <c r="G34" s="692"/>
      <c r="H34" s="692"/>
      <c r="I34" s="551">
        <f>I32+I33</f>
        <v>464433868</v>
      </c>
      <c r="J34" s="592"/>
    </row>
    <row r="35" spans="1:18" ht="12.75" x14ac:dyDescent="0.2">
      <c r="A35" s="691" t="s">
        <v>1046</v>
      </c>
      <c r="B35" s="687"/>
      <c r="C35" s="687"/>
      <c r="D35" s="687"/>
      <c r="E35" s="687">
        <v>0</v>
      </c>
      <c r="F35" s="642"/>
      <c r="G35" s="692"/>
      <c r="H35" s="692"/>
      <c r="I35" s="642">
        <v>0</v>
      </c>
      <c r="J35" s="592"/>
      <c r="K35" s="693">
        <f>I12+I16+I19+I25+I28+I31+I34+I35</f>
        <v>548339468</v>
      </c>
      <c r="L35" s="6" t="s">
        <v>940</v>
      </c>
    </row>
    <row r="36" spans="1:18" ht="24" x14ac:dyDescent="0.2">
      <c r="A36" s="684" t="s">
        <v>1047</v>
      </c>
      <c r="B36" s="687"/>
      <c r="C36" s="687"/>
      <c r="D36" s="687"/>
      <c r="E36" s="687"/>
      <c r="F36" s="642"/>
      <c r="G36" s="692"/>
      <c r="H36" s="692"/>
      <c r="I36" s="551">
        <v>0</v>
      </c>
      <c r="J36" s="592"/>
      <c r="K36" s="693"/>
    </row>
    <row r="37" spans="1:18" ht="12.75" x14ac:dyDescent="0.2">
      <c r="A37" s="691"/>
      <c r="B37" s="687"/>
      <c r="C37" s="687"/>
      <c r="D37" s="687"/>
      <c r="E37" s="687"/>
      <c r="F37" s="642"/>
      <c r="G37" s="692"/>
      <c r="H37" s="692"/>
      <c r="I37" s="642"/>
      <c r="J37" s="592"/>
      <c r="K37" s="693"/>
    </row>
    <row r="38" spans="1:18" ht="12.75" x14ac:dyDescent="0.2">
      <c r="A38" s="694" t="s">
        <v>84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8" ht="24" x14ac:dyDescent="0.2">
      <c r="A39" s="684" t="s">
        <v>867</v>
      </c>
      <c r="B39" s="687"/>
      <c r="C39" s="687"/>
      <c r="D39" s="687"/>
      <c r="E39" s="687"/>
      <c r="F39" s="642"/>
      <c r="G39" s="692"/>
      <c r="H39" s="692"/>
      <c r="I39" s="642"/>
      <c r="J39" s="592"/>
    </row>
    <row r="40" spans="1:18" ht="12.75" x14ac:dyDescent="0.2">
      <c r="A40" s="684" t="s">
        <v>868</v>
      </c>
      <c r="B40" s="687"/>
      <c r="C40" s="696">
        <v>13.1</v>
      </c>
      <c r="D40" s="687">
        <v>4152000</v>
      </c>
      <c r="E40" s="687">
        <f>C40*D40*8/12</f>
        <v>36260800</v>
      </c>
      <c r="F40" s="946" t="s">
        <v>1091</v>
      </c>
      <c r="G40" s="756">
        <v>12.5</v>
      </c>
      <c r="H40" s="939">
        <v>4419000</v>
      </c>
      <c r="I40" s="551">
        <f>G40*8/12*4419000</f>
        <v>36825000</v>
      </c>
      <c r="J40" s="592"/>
    </row>
    <row r="41" spans="1:18" ht="12.75" x14ac:dyDescent="0.2">
      <c r="A41" s="684" t="s">
        <v>869</v>
      </c>
      <c r="B41" s="687"/>
      <c r="C41" s="696">
        <v>13.1</v>
      </c>
      <c r="D41" s="697">
        <v>4152000</v>
      </c>
      <c r="E41" s="687">
        <f>C41*D41*4/12</f>
        <v>18130400</v>
      </c>
      <c r="F41" s="946" t="s">
        <v>1091</v>
      </c>
      <c r="G41" s="695">
        <v>12.5</v>
      </c>
      <c r="H41" s="939">
        <v>4419000</v>
      </c>
      <c r="I41" s="551">
        <f>G41*4/12*H41</f>
        <v>18412500</v>
      </c>
      <c r="J41" s="592"/>
    </row>
    <row r="42" spans="1:18" ht="24" x14ac:dyDescent="0.2">
      <c r="A42" s="684" t="s">
        <v>870</v>
      </c>
      <c r="B42" s="687"/>
      <c r="C42" s="687">
        <v>10</v>
      </c>
      <c r="D42" s="687">
        <v>1800000</v>
      </c>
      <c r="E42" s="690">
        <f>C42*D42*8/12</f>
        <v>12000000</v>
      </c>
      <c r="F42" s="753"/>
      <c r="G42" s="695">
        <v>9</v>
      </c>
      <c r="H42" s="939">
        <v>2205000</v>
      </c>
      <c r="I42" s="551">
        <f>G42*H42*8/12</f>
        <v>13230000</v>
      </c>
      <c r="J42" s="592"/>
    </row>
    <row r="43" spans="1:18" ht="24" x14ac:dyDescent="0.2">
      <c r="A43" s="684" t="s">
        <v>971</v>
      </c>
      <c r="B43" s="687"/>
      <c r="C43" s="687"/>
      <c r="D43" s="687"/>
      <c r="E43" s="690"/>
      <c r="F43" s="642"/>
      <c r="G43" s="695">
        <v>0</v>
      </c>
      <c r="H43" s="939">
        <v>4419000</v>
      </c>
      <c r="I43" s="551">
        <f>G43*H43*8/12</f>
        <v>0</v>
      </c>
      <c r="J43" s="592"/>
    </row>
    <row r="44" spans="1:18" ht="24" x14ac:dyDescent="0.2">
      <c r="A44" s="684" t="s">
        <v>872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939">
        <v>2205000</v>
      </c>
      <c r="I44" s="551">
        <f>G44*H44*4/12</f>
        <v>6615000</v>
      </c>
      <c r="J44" s="593"/>
    </row>
    <row r="45" spans="1:18" ht="39" x14ac:dyDescent="0.2">
      <c r="A45" s="684" t="s">
        <v>972</v>
      </c>
      <c r="B45" s="687"/>
      <c r="C45" s="687"/>
      <c r="D45" s="687"/>
      <c r="E45" s="687"/>
      <c r="F45" s="642"/>
      <c r="G45" s="695">
        <v>0</v>
      </c>
      <c r="H45" s="939">
        <v>4419000</v>
      </c>
      <c r="I45" s="551">
        <f>G45*H45*4/12</f>
        <v>0</v>
      </c>
      <c r="J45" s="593"/>
      <c r="K45" s="858" t="s">
        <v>941</v>
      </c>
      <c r="L45" s="693">
        <f>I12+I14+I17+I20+I23+I26+I29+I32</f>
        <v>671772369</v>
      </c>
      <c r="N45" s="859" t="s">
        <v>1092</v>
      </c>
      <c r="O45" s="693">
        <v>123432901</v>
      </c>
      <c r="P45" s="693">
        <f>I15+I18+I21+I24+I27+I30</f>
        <v>-47114742</v>
      </c>
      <c r="Q45" s="693">
        <f>O45+P45</f>
        <v>76318159</v>
      </c>
      <c r="R45" s="859" t="s">
        <v>942</v>
      </c>
    </row>
    <row r="46" spans="1:18" ht="12.75" x14ac:dyDescent="0.2">
      <c r="A46" s="555" t="s">
        <v>875</v>
      </c>
      <c r="B46" s="687"/>
      <c r="C46" s="687"/>
      <c r="D46" s="687"/>
      <c r="E46" s="687"/>
      <c r="F46" s="642"/>
      <c r="G46" s="692"/>
      <c r="H46" s="692"/>
      <c r="I46" s="642"/>
      <c r="J46" s="592"/>
    </row>
    <row r="47" spans="1:18" ht="24" x14ac:dyDescent="0.2">
      <c r="A47" s="684" t="s">
        <v>973</v>
      </c>
      <c r="B47" s="687"/>
      <c r="C47" s="687">
        <v>142</v>
      </c>
      <c r="D47" s="687">
        <v>70000</v>
      </c>
      <c r="E47" s="687">
        <f>C47*D47*8/12</f>
        <v>6626666.666666667</v>
      </c>
      <c r="F47" s="799"/>
      <c r="G47" s="551">
        <v>138</v>
      </c>
      <c r="H47" s="552">
        <v>81700</v>
      </c>
      <c r="I47" s="551">
        <f>G47*H47*8/12</f>
        <v>7516400</v>
      </c>
      <c r="J47" s="592"/>
    </row>
    <row r="48" spans="1:18" ht="24" x14ac:dyDescent="0.2">
      <c r="A48" s="684" t="s">
        <v>974</v>
      </c>
      <c r="B48" s="687"/>
      <c r="C48" s="687"/>
      <c r="D48" s="687"/>
      <c r="E48" s="687"/>
      <c r="F48" s="799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4" t="s">
        <v>924</v>
      </c>
      <c r="B49" s="687"/>
      <c r="C49" s="687">
        <v>142</v>
      </c>
      <c r="D49" s="687">
        <v>70000</v>
      </c>
      <c r="E49" s="687">
        <f>C49*D49*4/12</f>
        <v>3313333.3333333335</v>
      </c>
      <c r="F49" s="753"/>
      <c r="G49" s="551">
        <v>138</v>
      </c>
      <c r="H49" s="552">
        <v>81700</v>
      </c>
      <c r="I49" s="551">
        <f>G49*H49*4/12</f>
        <v>3758200</v>
      </c>
      <c r="J49" s="592"/>
    </row>
    <row r="50" spans="1:12" ht="24" x14ac:dyDescent="0.2">
      <c r="A50" s="684" t="s">
        <v>975</v>
      </c>
      <c r="B50" s="687"/>
      <c r="C50" s="687"/>
      <c r="D50" s="687"/>
      <c r="E50" s="687"/>
      <c r="F50" s="753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925</v>
      </c>
      <c r="B51" s="687"/>
      <c r="C51" s="687"/>
      <c r="D51" s="687"/>
      <c r="E51" s="687"/>
      <c r="F51" s="642"/>
      <c r="G51" s="692"/>
      <c r="H51" s="692"/>
      <c r="I51" s="642"/>
      <c r="J51" s="592"/>
    </row>
    <row r="52" spans="1:12" ht="48" x14ac:dyDescent="0.2">
      <c r="A52" s="684" t="s">
        <v>1048</v>
      </c>
      <c r="B52" s="687"/>
      <c r="C52" s="687">
        <v>5</v>
      </c>
      <c r="D52" s="757" t="s">
        <v>306</v>
      </c>
      <c r="E52" s="687">
        <v>1760000</v>
      </c>
      <c r="F52" s="642"/>
      <c r="G52" s="550">
        <v>4</v>
      </c>
      <c r="H52" s="551">
        <v>401000</v>
      </c>
      <c r="I52" s="551">
        <f>G52*H52</f>
        <v>1604000</v>
      </c>
      <c r="J52" s="592"/>
    </row>
    <row r="53" spans="1:12" ht="48" x14ac:dyDescent="0.2">
      <c r="A53" s="684" t="s">
        <v>1049</v>
      </c>
      <c r="B53" s="687"/>
      <c r="C53" s="687"/>
      <c r="D53" s="687"/>
      <c r="E53" s="687"/>
      <c r="F53" s="642"/>
      <c r="G53" s="550">
        <v>0</v>
      </c>
      <c r="H53" s="551">
        <v>367583</v>
      </c>
      <c r="I53" s="551">
        <f>G53*H53</f>
        <v>0</v>
      </c>
      <c r="J53" s="592"/>
      <c r="K53" s="693">
        <f>SUM(I40:I53)</f>
        <v>87961100</v>
      </c>
      <c r="L53" s="6" t="s">
        <v>943</v>
      </c>
    </row>
    <row r="54" spans="1:12" ht="12.75" x14ac:dyDescent="0.2">
      <c r="A54" s="684"/>
      <c r="B54" s="687"/>
      <c r="C54" s="687"/>
      <c r="D54" s="687"/>
      <c r="E54" s="687"/>
      <c r="F54" s="642"/>
      <c r="G54" s="692"/>
      <c r="H54" s="692"/>
      <c r="I54" s="642"/>
      <c r="J54" s="592"/>
      <c r="K54" s="693"/>
    </row>
    <row r="55" spans="1:12" ht="12.75" x14ac:dyDescent="0.2">
      <c r="A55" s="694" t="s">
        <v>85</v>
      </c>
      <c r="B55" s="687"/>
      <c r="C55" s="687"/>
      <c r="D55" s="687"/>
      <c r="E55" s="687"/>
      <c r="F55" s="642"/>
      <c r="G55" s="692"/>
      <c r="H55" s="692"/>
      <c r="I55" s="642"/>
      <c r="J55" s="592"/>
    </row>
    <row r="56" spans="1:12" ht="12.75" x14ac:dyDescent="0.2">
      <c r="A56" s="691" t="s">
        <v>1050</v>
      </c>
      <c r="B56" s="687"/>
      <c r="C56" s="687"/>
      <c r="D56" s="687"/>
      <c r="E56" s="687">
        <v>0</v>
      </c>
      <c r="F56" s="642"/>
      <c r="G56" s="692"/>
      <c r="H56" s="692"/>
      <c r="I56" s="551">
        <v>0</v>
      </c>
      <c r="J56" s="594"/>
    </row>
    <row r="57" spans="1:12" ht="24" x14ac:dyDescent="0.2">
      <c r="A57" s="684" t="s">
        <v>885</v>
      </c>
      <c r="B57" s="687"/>
      <c r="C57" s="687"/>
      <c r="D57" s="687"/>
      <c r="E57" s="690">
        <v>0</v>
      </c>
      <c r="F57" s="642"/>
      <c r="G57" s="692"/>
      <c r="H57" s="692"/>
      <c r="I57" s="551">
        <v>0</v>
      </c>
      <c r="J57" s="592"/>
    </row>
    <row r="58" spans="1:12" ht="12.75" x14ac:dyDescent="0.2">
      <c r="A58" s="555" t="s">
        <v>886</v>
      </c>
      <c r="B58" s="687"/>
      <c r="C58" s="687"/>
      <c r="D58" s="687"/>
      <c r="E58" s="687"/>
      <c r="F58" s="642"/>
      <c r="G58" s="692"/>
      <c r="H58" s="692"/>
      <c r="I58" s="642"/>
      <c r="J58" s="592"/>
    </row>
    <row r="59" spans="1:12" ht="12.75" x14ac:dyDescent="0.2">
      <c r="A59" s="555" t="s">
        <v>887</v>
      </c>
      <c r="B59" s="687"/>
      <c r="C59" s="687"/>
      <c r="D59" s="687"/>
      <c r="E59" s="687"/>
      <c r="F59" s="642"/>
      <c r="G59" s="692"/>
      <c r="H59" s="692"/>
      <c r="I59" s="642"/>
      <c r="J59" s="592"/>
    </row>
    <row r="60" spans="1:12" ht="12.75" x14ac:dyDescent="0.2">
      <c r="A60" s="555" t="s">
        <v>888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2" ht="36" x14ac:dyDescent="0.2">
      <c r="A61" s="698" t="s">
        <v>1051</v>
      </c>
      <c r="B61" s="691"/>
      <c r="C61" s="700"/>
      <c r="D61" s="687"/>
      <c r="E61" s="687">
        <f>C61*D61/2</f>
        <v>0</v>
      </c>
      <c r="F61" s="552">
        <v>7822</v>
      </c>
      <c r="G61" s="701"/>
      <c r="H61" s="692"/>
      <c r="I61" s="642"/>
      <c r="J61" s="594"/>
    </row>
    <row r="62" spans="1:12" ht="24" x14ac:dyDescent="0.2">
      <c r="A62" s="684" t="s">
        <v>926</v>
      </c>
      <c r="B62" s="687"/>
      <c r="C62" s="691"/>
      <c r="D62" s="687"/>
      <c r="E62" s="687"/>
      <c r="F62" s="642"/>
      <c r="G62" s="557">
        <v>0</v>
      </c>
      <c r="H62" s="692"/>
      <c r="I62" s="642"/>
      <c r="J62" s="594"/>
    </row>
    <row r="63" spans="1:12" ht="12.75" x14ac:dyDescent="0.2">
      <c r="A63" s="555" t="s">
        <v>927</v>
      </c>
      <c r="B63" s="687"/>
      <c r="C63" s="691"/>
      <c r="D63" s="687"/>
      <c r="E63" s="687"/>
      <c r="F63" s="642"/>
      <c r="G63" s="556">
        <v>1</v>
      </c>
      <c r="H63" s="692"/>
      <c r="I63" s="642"/>
      <c r="J63" s="592"/>
    </row>
    <row r="64" spans="1:12" ht="12.75" x14ac:dyDescent="0.2">
      <c r="A64" s="555" t="s">
        <v>892</v>
      </c>
      <c r="B64" s="687"/>
      <c r="C64" s="702">
        <v>0.97299999999999998</v>
      </c>
      <c r="D64" s="687">
        <v>3000000</v>
      </c>
      <c r="E64" s="687"/>
      <c r="F64" s="642"/>
      <c r="G64" s="556">
        <v>2</v>
      </c>
      <c r="H64" s="940">
        <v>3400000</v>
      </c>
      <c r="I64" s="944">
        <f>(2*1+0)*3400000</f>
        <v>6800000</v>
      </c>
      <c r="J64" s="592"/>
    </row>
    <row r="65" spans="1:12" ht="12.75" x14ac:dyDescent="0.2">
      <c r="A65" s="555" t="s">
        <v>893</v>
      </c>
      <c r="B65" s="703"/>
      <c r="C65" s="687">
        <v>80</v>
      </c>
      <c r="D65" s="687">
        <v>55360</v>
      </c>
      <c r="E65" s="687">
        <f>C65*D65</f>
        <v>4428800</v>
      </c>
      <c r="F65" s="753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894</v>
      </c>
      <c r="B66" s="703"/>
      <c r="C66" s="687">
        <v>55</v>
      </c>
      <c r="D66" s="687">
        <v>145000</v>
      </c>
      <c r="E66" s="687">
        <f>C66*D66</f>
        <v>7975000</v>
      </c>
      <c r="F66" s="642"/>
      <c r="G66" s="687"/>
      <c r="H66" s="687"/>
      <c r="I66" s="687"/>
      <c r="J66" s="592"/>
    </row>
    <row r="67" spans="1:12" ht="12.75" x14ac:dyDescent="0.2">
      <c r="A67" s="555" t="s">
        <v>928</v>
      </c>
      <c r="B67" s="703"/>
      <c r="C67" s="687"/>
      <c r="D67" s="687"/>
      <c r="E67" s="687"/>
      <c r="F67" s="753"/>
      <c r="G67" s="552">
        <v>5</v>
      </c>
      <c r="H67" s="552">
        <v>25000</v>
      </c>
      <c r="I67" s="552">
        <f>G67*H67</f>
        <v>125000</v>
      </c>
      <c r="J67" s="592"/>
    </row>
    <row r="68" spans="1:12" ht="12.75" x14ac:dyDescent="0.2">
      <c r="A68" s="555" t="s">
        <v>929</v>
      </c>
      <c r="B68" s="703"/>
      <c r="C68" s="687"/>
      <c r="D68" s="687"/>
      <c r="E68" s="687"/>
      <c r="F68" s="753"/>
      <c r="G68" s="552">
        <v>49</v>
      </c>
      <c r="H68" s="940">
        <v>330000</v>
      </c>
      <c r="I68" s="950">
        <f>G68*H68</f>
        <v>16170000</v>
      </c>
      <c r="J68" s="592"/>
    </row>
    <row r="69" spans="1:12" ht="12.75" x14ac:dyDescent="0.2">
      <c r="A69" s="684" t="s">
        <v>930</v>
      </c>
      <c r="B69" s="758"/>
      <c r="C69" s="552">
        <v>23</v>
      </c>
      <c r="D69" s="552">
        <v>109000</v>
      </c>
      <c r="E69" s="552">
        <f>C69*D69</f>
        <v>2507000</v>
      </c>
      <c r="F69" s="551"/>
      <c r="G69" s="552">
        <v>25</v>
      </c>
      <c r="H69" s="552">
        <v>109000</v>
      </c>
      <c r="I69" s="552">
        <f>G69*H69</f>
        <v>2725000</v>
      </c>
      <c r="J69" s="592"/>
    </row>
    <row r="70" spans="1:12" ht="12.75" x14ac:dyDescent="0.2">
      <c r="A70" s="684" t="s">
        <v>896</v>
      </c>
      <c r="B70" s="758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4" t="s">
        <v>1052</v>
      </c>
      <c r="B71" s="703"/>
      <c r="C71" s="687"/>
      <c r="D71" s="687"/>
      <c r="E71" s="687"/>
      <c r="F71" s="642"/>
      <c r="G71" s="692"/>
      <c r="H71" s="692"/>
      <c r="I71" s="642"/>
      <c r="J71" s="592"/>
    </row>
    <row r="72" spans="1:12" ht="24" x14ac:dyDescent="0.2">
      <c r="A72" s="698" t="s">
        <v>944</v>
      </c>
      <c r="B72" s="703"/>
      <c r="C72" s="687">
        <v>15</v>
      </c>
      <c r="D72" s="687">
        <v>2606040</v>
      </c>
      <c r="E72" s="687">
        <f>C72*D72</f>
        <v>39090600</v>
      </c>
      <c r="F72" s="753"/>
      <c r="G72" s="552">
        <v>15</v>
      </c>
      <c r="H72" s="940">
        <v>2848000</v>
      </c>
      <c r="I72" s="552">
        <f>G72*H72</f>
        <v>42720000</v>
      </c>
      <c r="J72" s="592"/>
    </row>
    <row r="73" spans="1:12" ht="12.75" x14ac:dyDescent="0.2">
      <c r="A73" s="555" t="s">
        <v>901</v>
      </c>
      <c r="B73" s="703"/>
      <c r="C73" s="687"/>
      <c r="D73" s="687"/>
      <c r="E73" s="690">
        <v>37834000</v>
      </c>
      <c r="F73" s="753"/>
      <c r="G73" s="692"/>
      <c r="H73" s="692"/>
      <c r="I73" s="944">
        <v>36824000</v>
      </c>
      <c r="J73" s="596"/>
    </row>
    <row r="74" spans="1:12" ht="12.75" x14ac:dyDescent="0.2">
      <c r="A74" s="555" t="s">
        <v>1054</v>
      </c>
      <c r="B74" s="703"/>
      <c r="C74" s="687"/>
      <c r="D74" s="687"/>
      <c r="E74" s="687"/>
      <c r="F74" s="642"/>
      <c r="G74" s="692"/>
      <c r="H74" s="692"/>
      <c r="I74" s="642"/>
      <c r="J74" s="592"/>
    </row>
    <row r="75" spans="1:12" ht="12.75" x14ac:dyDescent="0.2">
      <c r="A75" s="555" t="s">
        <v>1055</v>
      </c>
      <c r="B75" s="687"/>
      <c r="C75" s="696">
        <v>12.33</v>
      </c>
      <c r="D75" s="687">
        <v>1632000</v>
      </c>
      <c r="E75" s="687">
        <f>C75*D75</f>
        <v>20122560</v>
      </c>
      <c r="F75" s="988" t="s">
        <v>1093</v>
      </c>
      <c r="G75" s="553">
        <v>14.4</v>
      </c>
      <c r="H75" s="940">
        <v>1900000</v>
      </c>
      <c r="I75" s="552">
        <f>G75*H75</f>
        <v>27360000</v>
      </c>
      <c r="J75" s="597"/>
    </row>
    <row r="76" spans="1:12" ht="12.75" x14ac:dyDescent="0.2">
      <c r="A76" s="555" t="s">
        <v>1056</v>
      </c>
      <c r="B76" s="687"/>
      <c r="C76" s="687"/>
      <c r="D76" s="687"/>
      <c r="E76" s="690">
        <v>7038795</v>
      </c>
      <c r="F76" s="753"/>
      <c r="G76" s="692"/>
      <c r="H76" s="692"/>
      <c r="I76" s="944">
        <v>23121669</v>
      </c>
      <c r="J76" s="598"/>
    </row>
    <row r="77" spans="1:12" ht="24" x14ac:dyDescent="0.2">
      <c r="A77" s="684" t="s">
        <v>1057</v>
      </c>
      <c r="B77" s="687"/>
      <c r="C77" s="687"/>
      <c r="D77" s="687"/>
      <c r="E77" s="690"/>
      <c r="F77" s="753"/>
      <c r="G77" s="551">
        <v>0</v>
      </c>
      <c r="H77" s="551">
        <v>285</v>
      </c>
      <c r="I77" s="551">
        <f>G77*H77</f>
        <v>0</v>
      </c>
      <c r="J77" s="592"/>
    </row>
    <row r="78" spans="1:12" ht="12.75" x14ac:dyDescent="0.2">
      <c r="A78" s="684" t="s">
        <v>1058</v>
      </c>
      <c r="B78" s="687"/>
      <c r="C78" s="687"/>
      <c r="D78" s="687"/>
      <c r="E78" s="706"/>
      <c r="F78" s="753"/>
      <c r="G78" s="756"/>
      <c r="H78" s="551"/>
      <c r="I78" s="551"/>
      <c r="J78" s="592"/>
      <c r="K78" s="693">
        <f>SUM(I56:I82)</f>
        <v>174499869</v>
      </c>
      <c r="L78" s="6" t="s">
        <v>945</v>
      </c>
    </row>
    <row r="79" spans="1:12" ht="12.75" x14ac:dyDescent="0.2">
      <c r="A79" s="684" t="s">
        <v>1059</v>
      </c>
      <c r="B79" s="687"/>
      <c r="C79" s="687"/>
      <c r="D79" s="687"/>
      <c r="E79" s="706"/>
      <c r="F79" s="753"/>
      <c r="G79" s="756"/>
      <c r="H79" s="551"/>
      <c r="I79" s="551"/>
      <c r="J79" s="592"/>
      <c r="K79" s="693"/>
    </row>
    <row r="80" spans="1:12" ht="36" x14ac:dyDescent="0.2">
      <c r="A80" s="684" t="s">
        <v>1062</v>
      </c>
      <c r="B80" s="687"/>
      <c r="C80" s="687"/>
      <c r="D80" s="687"/>
      <c r="E80" s="706"/>
      <c r="F80" s="799" t="s">
        <v>1063</v>
      </c>
      <c r="G80" s="756">
        <v>2</v>
      </c>
      <c r="H80" s="551">
        <v>4419000</v>
      </c>
      <c r="I80" s="551">
        <f>G80*H80</f>
        <v>8838000</v>
      </c>
      <c r="J80" s="592"/>
      <c r="K80" s="693"/>
    </row>
    <row r="81" spans="1:14" ht="36" x14ac:dyDescent="0.2">
      <c r="A81" s="684" t="s">
        <v>1127</v>
      </c>
      <c r="B81" s="687"/>
      <c r="C81" s="687"/>
      <c r="D81" s="687"/>
      <c r="E81" s="706"/>
      <c r="F81" s="799" t="s">
        <v>1061</v>
      </c>
      <c r="G81" s="756">
        <v>1.8</v>
      </c>
      <c r="H81" s="551">
        <v>2993000</v>
      </c>
      <c r="I81" s="551">
        <f>G81*H81</f>
        <v>5387400</v>
      </c>
      <c r="J81" s="592"/>
      <c r="K81" s="693"/>
    </row>
    <row r="82" spans="1:14" ht="24" x14ac:dyDescent="0.2">
      <c r="A82" s="684" t="s">
        <v>1064</v>
      </c>
      <c r="B82" s="687"/>
      <c r="C82" s="687"/>
      <c r="D82" s="687"/>
      <c r="E82" s="706"/>
      <c r="F82" s="753"/>
      <c r="G82" s="756"/>
      <c r="H82" s="551">
        <v>0</v>
      </c>
      <c r="I82" s="551">
        <v>0</v>
      </c>
      <c r="J82" s="592"/>
      <c r="K82" s="693"/>
    </row>
    <row r="83" spans="1:14" ht="12.75" x14ac:dyDescent="0.2">
      <c r="A83" s="684"/>
      <c r="B83" s="687"/>
      <c r="C83" s="687"/>
      <c r="D83" s="687"/>
      <c r="E83" s="706"/>
      <c r="F83" s="753"/>
      <c r="G83" s="756"/>
      <c r="H83" s="551"/>
      <c r="I83" s="551"/>
      <c r="J83" s="592"/>
      <c r="K83" s="693"/>
    </row>
    <row r="84" spans="1:14" ht="12.75" x14ac:dyDescent="0.2">
      <c r="A84" s="555" t="s">
        <v>907</v>
      </c>
      <c r="B84" s="687"/>
      <c r="C84" s="687"/>
      <c r="D84" s="687"/>
      <c r="E84" s="706"/>
      <c r="F84" s="642"/>
      <c r="G84" s="692"/>
      <c r="H84" s="692"/>
      <c r="I84" s="642"/>
      <c r="J84" s="592"/>
    </row>
    <row r="85" spans="1:14" ht="12.75" x14ac:dyDescent="0.2">
      <c r="A85" s="555" t="s">
        <v>908</v>
      </c>
      <c r="B85" s="687"/>
      <c r="C85" s="687"/>
      <c r="D85" s="687"/>
      <c r="E85" s="706"/>
      <c r="F85" s="642"/>
      <c r="G85" s="692"/>
      <c r="H85" s="692"/>
      <c r="I85" s="642"/>
      <c r="J85" s="592"/>
    </row>
    <row r="86" spans="1:14" ht="12.75" x14ac:dyDescent="0.2">
      <c r="A86" s="555" t="s">
        <v>909</v>
      </c>
      <c r="B86" s="687"/>
      <c r="C86" s="687">
        <v>4865</v>
      </c>
      <c r="D86" s="687">
        <v>1140</v>
      </c>
      <c r="E86" s="707"/>
      <c r="F86" s="642"/>
      <c r="G86" s="552">
        <v>4705</v>
      </c>
      <c r="H86" s="940">
        <v>1210</v>
      </c>
      <c r="I86" s="289">
        <f>G86*H86</f>
        <v>5693050</v>
      </c>
      <c r="J86" s="592"/>
    </row>
    <row r="87" spans="1:14" ht="48" x14ac:dyDescent="0.2">
      <c r="A87" s="684" t="s">
        <v>910</v>
      </c>
      <c r="B87" s="687"/>
      <c r="C87" s="687"/>
      <c r="D87" s="687"/>
      <c r="E87" s="707"/>
      <c r="F87" s="799" t="s">
        <v>1065</v>
      </c>
      <c r="G87" s="687"/>
      <c r="H87" s="687"/>
      <c r="I87" s="289">
        <v>0</v>
      </c>
      <c r="J87" s="592"/>
    </row>
    <row r="88" spans="1:14" ht="48" x14ac:dyDescent="0.2">
      <c r="A88" s="684" t="s">
        <v>1066</v>
      </c>
      <c r="B88" s="687"/>
      <c r="C88" s="687"/>
      <c r="D88" s="687"/>
      <c r="E88" s="707"/>
      <c r="F88" s="799" t="s">
        <v>1067</v>
      </c>
      <c r="G88" s="687"/>
      <c r="H88" s="687"/>
      <c r="I88" s="289">
        <v>0</v>
      </c>
      <c r="J88" s="592"/>
    </row>
    <row r="89" spans="1:14" ht="12.75" x14ac:dyDescent="0.2">
      <c r="A89" s="698" t="s">
        <v>1068</v>
      </c>
      <c r="B89" s="703"/>
      <c r="C89" s="687"/>
      <c r="D89" s="701"/>
      <c r="E89" s="687"/>
      <c r="F89" s="642"/>
      <c r="G89" s="692"/>
      <c r="H89" s="692"/>
      <c r="I89" s="642"/>
      <c r="J89" s="592"/>
      <c r="K89" s="693">
        <f>SUM(I86+I87)</f>
        <v>5693050</v>
      </c>
      <c r="L89" s="6" t="s">
        <v>946</v>
      </c>
    </row>
    <row r="90" spans="1:14" ht="24" x14ac:dyDescent="0.2">
      <c r="A90" s="708" t="s">
        <v>1069</v>
      </c>
      <c r="B90" s="759"/>
      <c r="C90" s="760"/>
      <c r="D90" s="552"/>
      <c r="E90" s="552"/>
      <c r="F90" s="761"/>
      <c r="G90" s="550"/>
      <c r="H90" s="550"/>
      <c r="I90" s="642"/>
      <c r="J90" s="592"/>
      <c r="K90" s="693"/>
      <c r="L90" s="693">
        <f>I15+I18+I21+I24+I27+I30+I33</f>
        <v>-123432901</v>
      </c>
      <c r="M90" s="762" t="s">
        <v>947</v>
      </c>
      <c r="N90" s="288"/>
    </row>
    <row r="91" spans="1:14" ht="12.75" x14ac:dyDescent="0.2">
      <c r="A91" s="733" t="s">
        <v>1070</v>
      </c>
      <c r="B91" s="763"/>
      <c r="C91" s="764"/>
      <c r="D91" s="765"/>
      <c r="E91" s="765"/>
      <c r="F91" s="766"/>
      <c r="G91" s="767"/>
      <c r="H91" s="767"/>
      <c r="I91" s="768">
        <v>0</v>
      </c>
      <c r="J91" s="592"/>
      <c r="K91" s="693"/>
      <c r="L91" s="693"/>
      <c r="M91" s="762"/>
      <c r="N91" s="288"/>
    </row>
    <row r="92" spans="1:14" ht="12.75" x14ac:dyDescent="0.2">
      <c r="A92" s="733"/>
      <c r="B92" s="763"/>
      <c r="C92" s="764"/>
      <c r="D92" s="765"/>
      <c r="E92" s="765"/>
      <c r="F92" s="763"/>
      <c r="G92" s="767"/>
      <c r="H92" s="767"/>
      <c r="I92" s="714"/>
      <c r="J92" s="592"/>
      <c r="K92" s="693"/>
      <c r="L92" s="693"/>
      <c r="N92" s="288"/>
    </row>
    <row r="93" spans="1:14" ht="12.75" x14ac:dyDescent="0.2">
      <c r="A93" s="733" t="s">
        <v>931</v>
      </c>
      <c r="B93" s="763"/>
      <c r="C93" s="764"/>
      <c r="D93" s="765"/>
      <c r="E93" s="765"/>
      <c r="F93" s="763"/>
      <c r="G93" s="767"/>
      <c r="H93" s="767"/>
      <c r="I93" s="714"/>
      <c r="J93" s="592"/>
      <c r="K93" s="693"/>
      <c r="L93" s="693"/>
      <c r="N93" s="288"/>
    </row>
    <row r="94" spans="1:14" ht="12.75" x14ac:dyDescent="0.2">
      <c r="A94" s="733" t="s">
        <v>932</v>
      </c>
      <c r="B94" s="763"/>
      <c r="C94" s="764"/>
      <c r="D94" s="765"/>
      <c r="E94" s="765"/>
      <c r="F94" s="763"/>
      <c r="G94" s="767"/>
      <c r="H94" s="767"/>
      <c r="I94" s="768">
        <v>0</v>
      </c>
      <c r="J94" s="592"/>
      <c r="K94" s="693"/>
      <c r="L94" s="693"/>
      <c r="N94" s="288"/>
    </row>
    <row r="95" spans="1:14" ht="12.75" x14ac:dyDescent="0.2">
      <c r="A95" s="734" t="s">
        <v>933</v>
      </c>
      <c r="B95" s="763"/>
      <c r="C95" s="764"/>
      <c r="D95" s="765"/>
      <c r="E95" s="765"/>
      <c r="F95" s="763"/>
      <c r="G95" s="767"/>
      <c r="H95" s="767"/>
      <c r="I95" s="768">
        <v>0</v>
      </c>
      <c r="J95" s="592"/>
      <c r="K95" s="693">
        <f>I94+I95</f>
        <v>0</v>
      </c>
      <c r="L95" s="693" t="s">
        <v>948</v>
      </c>
      <c r="N95" s="288"/>
    </row>
    <row r="96" spans="1:14" ht="13.5" thickBot="1" x14ac:dyDescent="0.25">
      <c r="A96" s="710"/>
      <c r="B96" s="711"/>
      <c r="C96" s="712"/>
      <c r="D96" s="713"/>
      <c r="E96" s="712"/>
      <c r="F96" s="714"/>
      <c r="G96" s="715"/>
      <c r="H96" s="715"/>
      <c r="I96" s="714"/>
      <c r="J96" s="592"/>
    </row>
    <row r="97" spans="1:256" ht="12.75" thickBot="1" x14ac:dyDescent="0.25">
      <c r="A97" s="716" t="s">
        <v>912</v>
      </c>
      <c r="B97" s="717"/>
      <c r="C97" s="717"/>
      <c r="D97" s="718"/>
      <c r="E97" s="719" t="e">
        <f>E12+E14+E17+E20+E23+E28+E31+E34+E40+E41+#REF!+E42+E44+E47+E49+E52+E56+E57+E61+E62+E65+E66+E69+#REF!+E72+E73+E75+E76</f>
        <v>#REF!</v>
      </c>
      <c r="F97" s="1196">
        <f>I12+I16+I19+I22+I25+I28+I31+I34+I35+I36+I40+I41+I42+I43+I44+I45+I47+I48+I49+I50+I52+I53+I56+I57+I64+I65+I67+I68+I69+I72+I73+I75+I76+I77+I80+I81+I82+I86+I87+I88+I94+I95+I91</f>
        <v>816493487</v>
      </c>
      <c r="G97" s="1196"/>
      <c r="H97" s="1196"/>
      <c r="I97" s="1197"/>
      <c r="J97" s="7"/>
      <c r="K97" s="720">
        <f>K78+K53+K35+K89</f>
        <v>816493487</v>
      </c>
      <c r="L97" s="769" t="s">
        <v>949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0"/>
      <c r="B99" s="771"/>
      <c r="C99" s="771"/>
      <c r="D99" s="771"/>
      <c r="E99" s="772"/>
      <c r="F99" s="773"/>
      <c r="G99" s="773"/>
      <c r="H99" s="773"/>
      <c r="I99" s="773"/>
    </row>
    <row r="100" spans="1:256" ht="12.75" x14ac:dyDescent="0.2">
      <c r="A100" s="941" t="s">
        <v>1112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95" t="s">
        <v>301</v>
      </c>
      <c r="C1" s="1195"/>
      <c r="D1" s="1195"/>
      <c r="E1" s="1195"/>
    </row>
    <row r="2" spans="1:10" x14ac:dyDescent="0.2">
      <c r="F2" s="1208"/>
      <c r="G2" s="1208"/>
      <c r="H2" s="1208"/>
      <c r="I2" s="1208"/>
    </row>
    <row r="4" spans="1:10" ht="12.75" x14ac:dyDescent="0.2">
      <c r="A4" s="1206" t="s">
        <v>78</v>
      </c>
      <c r="B4" s="1206"/>
      <c r="C4" s="1206"/>
      <c r="D4" s="1206"/>
      <c r="E4" s="1206"/>
      <c r="F4" s="1207"/>
      <c r="G4" s="1207"/>
      <c r="H4" s="1207"/>
      <c r="I4" s="1207"/>
    </row>
    <row r="5" spans="1:10" ht="12.75" x14ac:dyDescent="0.2">
      <c r="A5" s="1206" t="s">
        <v>923</v>
      </c>
      <c r="B5" s="1206"/>
      <c r="C5" s="1206"/>
      <c r="D5" s="1206"/>
      <c r="E5" s="1206"/>
      <c r="F5" s="1207"/>
      <c r="G5" s="1207"/>
      <c r="H5" s="1207"/>
      <c r="I5" s="1207"/>
    </row>
    <row r="7" spans="1:10" ht="13.5" thickBot="1" x14ac:dyDescent="0.25">
      <c r="E7" s="548" t="s">
        <v>20</v>
      </c>
      <c r="F7" s="559"/>
    </row>
    <row r="8" spans="1:10" ht="12.75" customHeight="1" thickBot="1" x14ac:dyDescent="0.25">
      <c r="A8" s="1198" t="s">
        <v>79</v>
      </c>
      <c r="B8" s="1200" t="s">
        <v>112</v>
      </c>
      <c r="C8" s="1201"/>
      <c r="D8" s="1201"/>
      <c r="E8" s="1201"/>
      <c r="F8" s="1200" t="s">
        <v>934</v>
      </c>
      <c r="G8" s="1201"/>
      <c r="H8" s="1201"/>
      <c r="I8" s="1201"/>
    </row>
    <row r="9" spans="1:10" s="7" customFormat="1" ht="49.5" customHeight="1" thickBot="1" x14ac:dyDescent="0.25">
      <c r="A9" s="1199"/>
      <c r="B9" s="286" t="s">
        <v>80</v>
      </c>
      <c r="C9" s="192" t="s">
        <v>81</v>
      </c>
      <c r="D9" s="192" t="s">
        <v>705</v>
      </c>
      <c r="E9" s="287" t="s">
        <v>82</v>
      </c>
      <c r="F9" s="286" t="s">
        <v>80</v>
      </c>
      <c r="G9" s="192" t="s">
        <v>81</v>
      </c>
      <c r="H9" s="192" t="s">
        <v>705</v>
      </c>
      <c r="I9" s="287" t="s">
        <v>82</v>
      </c>
    </row>
    <row r="10" spans="1:10" ht="13.5" customHeight="1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10" ht="13.5" customHeight="1" x14ac:dyDescent="0.2">
      <c r="A11" s="193" t="s">
        <v>844</v>
      </c>
      <c r="B11" s="194"/>
      <c r="C11" s="194"/>
      <c r="D11" s="194"/>
      <c r="E11" s="194"/>
      <c r="F11" s="549"/>
      <c r="G11" s="549"/>
      <c r="H11" s="549"/>
      <c r="I11" s="549"/>
      <c r="J11" s="592"/>
    </row>
    <row r="12" spans="1:10" ht="30.75" customHeight="1" x14ac:dyDescent="0.2">
      <c r="A12" s="684" t="s">
        <v>845</v>
      </c>
      <c r="B12" s="552">
        <v>4865</v>
      </c>
      <c r="C12" s="685">
        <v>18.690000000000001</v>
      </c>
      <c r="D12" s="552">
        <v>4580000</v>
      </c>
      <c r="E12" s="552">
        <f>C12*D12</f>
        <v>85600200</v>
      </c>
      <c r="F12" s="551">
        <v>4837</v>
      </c>
      <c r="G12" s="550">
        <v>18.62</v>
      </c>
      <c r="H12" s="550">
        <v>4580000</v>
      </c>
      <c r="I12" s="551">
        <f>G12*H12</f>
        <v>85279600</v>
      </c>
      <c r="J12" s="592"/>
    </row>
    <row r="13" spans="1:10" ht="13.5" customHeight="1" x14ac:dyDescent="0.2">
      <c r="A13" s="555" t="s">
        <v>846</v>
      </c>
      <c r="B13" s="552"/>
      <c r="C13" s="552"/>
      <c r="D13" s="552"/>
      <c r="E13" s="552"/>
      <c r="F13" s="551"/>
      <c r="G13" s="550"/>
      <c r="H13" s="550"/>
      <c r="I13" s="551"/>
      <c r="J13" s="592"/>
    </row>
    <row r="14" spans="1:10" ht="30" customHeight="1" x14ac:dyDescent="0.2">
      <c r="A14" s="684" t="s">
        <v>847</v>
      </c>
      <c r="B14" s="552"/>
      <c r="C14" s="553"/>
      <c r="D14" s="552" t="s">
        <v>302</v>
      </c>
      <c r="E14" s="552">
        <v>8328800</v>
      </c>
      <c r="F14" s="551"/>
      <c r="G14" s="550"/>
      <c r="H14" s="550" t="s">
        <v>302</v>
      </c>
      <c r="I14" s="551">
        <v>8329050</v>
      </c>
      <c r="J14" s="592"/>
    </row>
    <row r="15" spans="1:10" ht="30" customHeight="1" x14ac:dyDescent="0.2">
      <c r="A15" s="684" t="s">
        <v>848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10" ht="30" customHeight="1" x14ac:dyDescent="0.2">
      <c r="A16" s="684" t="s">
        <v>849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6.5" customHeight="1" x14ac:dyDescent="0.2">
      <c r="A17" s="555" t="s">
        <v>850</v>
      </c>
      <c r="B17" s="552"/>
      <c r="C17" s="552"/>
      <c r="D17" s="686" t="s">
        <v>303</v>
      </c>
      <c r="E17" s="552">
        <v>18272000</v>
      </c>
      <c r="F17" s="551"/>
      <c r="G17" s="550"/>
      <c r="H17" s="550" t="s">
        <v>304</v>
      </c>
      <c r="I17" s="551">
        <v>18304000</v>
      </c>
      <c r="J17" s="592"/>
    </row>
    <row r="18" spans="1:10" ht="16.5" customHeight="1" x14ac:dyDescent="0.2">
      <c r="A18" s="555" t="s">
        <v>848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6.5" customHeight="1" x14ac:dyDescent="0.2">
      <c r="A19" s="555" t="s">
        <v>851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3.5" customHeight="1" x14ac:dyDescent="0.2">
      <c r="A20" s="555" t="s">
        <v>852</v>
      </c>
      <c r="B20" s="687"/>
      <c r="C20" s="687" t="s">
        <v>853</v>
      </c>
      <c r="D20" s="688" t="s">
        <v>706</v>
      </c>
      <c r="E20" s="687">
        <v>1355022</v>
      </c>
      <c r="F20" s="642"/>
      <c r="G20" s="687"/>
      <c r="H20" s="689" t="s">
        <v>706</v>
      </c>
      <c r="I20" s="551">
        <v>1355022</v>
      </c>
      <c r="J20" s="592"/>
    </row>
    <row r="21" spans="1:10" ht="13.5" customHeight="1" x14ac:dyDescent="0.2">
      <c r="A21" s="555" t="s">
        <v>854</v>
      </c>
      <c r="B21" s="687"/>
      <c r="C21" s="687"/>
      <c r="D21" s="688"/>
      <c r="E21" s="687"/>
      <c r="F21" s="642"/>
      <c r="G21" s="687"/>
      <c r="H21" s="689"/>
      <c r="I21" s="551">
        <v>-1355022</v>
      </c>
      <c r="J21" s="592"/>
    </row>
    <row r="22" spans="1:10" ht="13.5" customHeight="1" x14ac:dyDescent="0.2">
      <c r="A22" s="555" t="s">
        <v>855</v>
      </c>
      <c r="B22" s="687"/>
      <c r="C22" s="687"/>
      <c r="D22" s="688"/>
      <c r="E22" s="687"/>
      <c r="F22" s="642"/>
      <c r="G22" s="687"/>
      <c r="H22" s="689"/>
      <c r="I22" s="551">
        <f>I20+I21</f>
        <v>0</v>
      </c>
      <c r="J22" s="592"/>
    </row>
    <row r="23" spans="1:10" ht="13.5" customHeight="1" x14ac:dyDescent="0.2">
      <c r="A23" s="555" t="s">
        <v>856</v>
      </c>
      <c r="B23" s="552"/>
      <c r="C23" s="553"/>
      <c r="D23" s="686" t="s">
        <v>707</v>
      </c>
      <c r="E23" s="552">
        <v>6369620</v>
      </c>
      <c r="F23" s="551"/>
      <c r="G23" s="550"/>
      <c r="H23" s="686" t="s">
        <v>707</v>
      </c>
      <c r="I23" s="551">
        <v>6369620</v>
      </c>
      <c r="J23" s="592"/>
    </row>
    <row r="24" spans="1:10" ht="13.5" customHeight="1" x14ac:dyDescent="0.2">
      <c r="A24" s="555" t="s">
        <v>854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3.5" customHeight="1" x14ac:dyDescent="0.2">
      <c r="A25" s="555" t="s">
        <v>857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3.5" customHeight="1" x14ac:dyDescent="0.2">
      <c r="A26" s="555" t="s">
        <v>858</v>
      </c>
      <c r="B26" s="552">
        <v>4865</v>
      </c>
      <c r="C26" s="552"/>
      <c r="D26" s="552">
        <v>2700</v>
      </c>
      <c r="E26" s="552">
        <f>B26*D26</f>
        <v>13135500</v>
      </c>
      <c r="F26" s="551">
        <v>4837</v>
      </c>
      <c r="G26" s="550"/>
      <c r="H26" s="552">
        <v>2700</v>
      </c>
      <c r="I26" s="551">
        <f>F26*H26</f>
        <v>13059900</v>
      </c>
      <c r="J26" s="592"/>
    </row>
    <row r="27" spans="1:10" ht="13.5" customHeight="1" x14ac:dyDescent="0.2">
      <c r="A27" s="555" t="s">
        <v>859</v>
      </c>
      <c r="B27" s="552"/>
      <c r="C27" s="552"/>
      <c r="D27" s="552"/>
      <c r="E27" s="552">
        <v>-13135500</v>
      </c>
      <c r="F27" s="551"/>
      <c r="G27" s="550"/>
      <c r="H27" s="550"/>
      <c r="I27" s="551">
        <v>-13059900</v>
      </c>
      <c r="J27" s="592"/>
    </row>
    <row r="28" spans="1:10" ht="13.5" customHeight="1" x14ac:dyDescent="0.2">
      <c r="A28" s="555" t="s">
        <v>860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3.5" customHeight="1" x14ac:dyDescent="0.2">
      <c r="A29" s="555" t="s">
        <v>861</v>
      </c>
      <c r="B29" s="687">
        <v>10</v>
      </c>
      <c r="C29" s="687"/>
      <c r="D29" s="687" t="s">
        <v>305</v>
      </c>
      <c r="E29" s="690">
        <v>25500</v>
      </c>
      <c r="F29" s="551">
        <v>11</v>
      </c>
      <c r="G29" s="550"/>
      <c r="H29" s="552" t="s">
        <v>305</v>
      </c>
      <c r="I29" s="551">
        <v>28050</v>
      </c>
      <c r="J29" s="592"/>
    </row>
    <row r="30" spans="1:10" ht="13.5" customHeight="1" x14ac:dyDescent="0.2">
      <c r="A30" s="555" t="s">
        <v>862</v>
      </c>
      <c r="B30" s="687"/>
      <c r="C30" s="687"/>
      <c r="D30" s="687"/>
      <c r="E30" s="690">
        <v>-25500</v>
      </c>
      <c r="F30" s="551"/>
      <c r="G30" s="550"/>
      <c r="H30" s="550"/>
      <c r="I30" s="551">
        <v>-28050</v>
      </c>
      <c r="J30" s="592"/>
    </row>
    <row r="31" spans="1:10" ht="13.5" customHeight="1" x14ac:dyDescent="0.2">
      <c r="A31" s="555" t="s">
        <v>863</v>
      </c>
      <c r="B31" s="687"/>
      <c r="C31" s="687"/>
      <c r="D31" s="687"/>
      <c r="E31" s="690">
        <v>0</v>
      </c>
      <c r="F31" s="551"/>
      <c r="G31" s="550"/>
      <c r="H31" s="550"/>
      <c r="I31" s="551">
        <f>I29+I30</f>
        <v>0</v>
      </c>
      <c r="J31" s="592"/>
    </row>
    <row r="32" spans="1:10" ht="13.5" customHeight="1" x14ac:dyDescent="0.2">
      <c r="A32" s="555" t="s">
        <v>864</v>
      </c>
      <c r="B32" s="552"/>
      <c r="C32" s="552">
        <v>487729000</v>
      </c>
      <c r="D32" s="553">
        <v>1.55</v>
      </c>
      <c r="E32" s="552">
        <f>C32*D32</f>
        <v>755979950</v>
      </c>
      <c r="F32" s="551"/>
      <c r="G32" s="735">
        <v>482296000</v>
      </c>
      <c r="H32" s="736">
        <v>1.55</v>
      </c>
      <c r="I32" s="735">
        <f>G32*H32</f>
        <v>747558800</v>
      </c>
      <c r="J32" s="592"/>
    </row>
    <row r="33" spans="1:11" ht="13.5" customHeight="1" x14ac:dyDescent="0.2">
      <c r="A33" s="555" t="s">
        <v>859</v>
      </c>
      <c r="B33" s="552"/>
      <c r="C33" s="552"/>
      <c r="D33" s="556"/>
      <c r="E33" s="552">
        <v>-98054262</v>
      </c>
      <c r="F33" s="551"/>
      <c r="G33" s="550"/>
      <c r="H33" s="550"/>
      <c r="I33" s="551">
        <v>-69343482</v>
      </c>
      <c r="J33" s="592"/>
    </row>
    <row r="34" spans="1:11" ht="13.5" customHeight="1" x14ac:dyDescent="0.2">
      <c r="A34" s="555" t="s">
        <v>865</v>
      </c>
      <c r="B34" s="552"/>
      <c r="C34" s="552"/>
      <c r="D34" s="556"/>
      <c r="E34" s="552">
        <f>E32+E33</f>
        <v>657925688</v>
      </c>
      <c r="F34" s="551"/>
      <c r="G34" s="550"/>
      <c r="H34" s="550"/>
      <c r="I34" s="551">
        <f>I32+I33</f>
        <v>678215318</v>
      </c>
      <c r="J34" s="592"/>
    </row>
    <row r="35" spans="1:11" ht="13.5" customHeight="1" x14ac:dyDescent="0.2">
      <c r="A35" s="691" t="s">
        <v>866</v>
      </c>
      <c r="B35" s="687"/>
      <c r="C35" s="687"/>
      <c r="D35" s="687"/>
      <c r="E35" s="687">
        <v>0</v>
      </c>
      <c r="F35" s="642"/>
      <c r="G35" s="692"/>
      <c r="H35" s="692"/>
      <c r="I35" s="642">
        <v>0</v>
      </c>
      <c r="J35" s="592"/>
    </row>
    <row r="36" spans="1:11" ht="13.5" customHeight="1" x14ac:dyDescent="0.2">
      <c r="A36" s="691"/>
      <c r="B36" s="687"/>
      <c r="C36" s="687"/>
      <c r="D36" s="687"/>
      <c r="E36" s="687"/>
      <c r="F36" s="642"/>
      <c r="G36" s="692"/>
      <c r="H36" s="692"/>
      <c r="I36" s="642"/>
      <c r="J36" s="592"/>
      <c r="K36" s="693"/>
    </row>
    <row r="37" spans="1:11" ht="24.95" customHeight="1" x14ac:dyDescent="0.2">
      <c r="A37" s="694" t="s">
        <v>84</v>
      </c>
      <c r="B37" s="687"/>
      <c r="C37" s="687"/>
      <c r="D37" s="687"/>
      <c r="E37" s="687"/>
      <c r="F37" s="642"/>
      <c r="G37" s="692"/>
      <c r="H37" s="692"/>
      <c r="I37" s="642"/>
      <c r="J37" s="592"/>
    </row>
    <row r="38" spans="1:11" ht="15" customHeight="1" x14ac:dyDescent="0.2">
      <c r="A38" s="684" t="s">
        <v>867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1" ht="24" customHeight="1" x14ac:dyDescent="0.2">
      <c r="A39" s="684" t="s">
        <v>868</v>
      </c>
      <c r="B39" s="552"/>
      <c r="C39" s="553">
        <v>13.1</v>
      </c>
      <c r="D39" s="552">
        <v>4152000</v>
      </c>
      <c r="E39" s="552">
        <f>C39*D39*8/12</f>
        <v>36260800</v>
      </c>
      <c r="F39" s="551"/>
      <c r="G39" s="550">
        <v>13.3</v>
      </c>
      <c r="H39" s="551">
        <v>4308000</v>
      </c>
      <c r="I39" s="551">
        <f>G39*8/12*4308000</f>
        <v>38197600</v>
      </c>
      <c r="J39" s="592"/>
    </row>
    <row r="40" spans="1:11" ht="24" customHeight="1" x14ac:dyDescent="0.2">
      <c r="A40" s="684" t="s">
        <v>869</v>
      </c>
      <c r="B40" s="552"/>
      <c r="C40" s="553">
        <v>13.1</v>
      </c>
      <c r="D40" s="554">
        <v>4152000</v>
      </c>
      <c r="E40" s="552">
        <f>C40*D40*4/12</f>
        <v>18130400</v>
      </c>
      <c r="F40" s="551"/>
      <c r="G40" s="695">
        <v>13.4</v>
      </c>
      <c r="H40" s="551">
        <v>4308000</v>
      </c>
      <c r="I40" s="551">
        <f>G40*4/12*H40</f>
        <v>19242400</v>
      </c>
      <c r="J40" s="592"/>
    </row>
    <row r="41" spans="1:11" ht="24.95" customHeight="1" x14ac:dyDescent="0.2">
      <c r="A41" s="684" t="s">
        <v>935</v>
      </c>
      <c r="B41" s="687"/>
      <c r="C41" s="696">
        <v>13.1</v>
      </c>
      <c r="D41" s="697">
        <v>35000</v>
      </c>
      <c r="E41" s="687">
        <f>C41*D41</f>
        <v>458500</v>
      </c>
      <c r="F41" s="642"/>
      <c r="G41" s="695">
        <v>13.4</v>
      </c>
      <c r="H41" s="551">
        <v>35000</v>
      </c>
      <c r="I41" s="551">
        <f>G41*H41</f>
        <v>469000</v>
      </c>
      <c r="J41" s="592"/>
    </row>
    <row r="42" spans="1:11" ht="24.95" customHeight="1" x14ac:dyDescent="0.2">
      <c r="A42" s="684" t="s">
        <v>870</v>
      </c>
      <c r="B42" s="687"/>
      <c r="C42" s="687">
        <v>10</v>
      </c>
      <c r="D42" s="687">
        <v>1800000</v>
      </c>
      <c r="E42" s="690">
        <f>C42*D42*8/12</f>
        <v>12000000</v>
      </c>
      <c r="F42" s="642"/>
      <c r="G42" s="695">
        <v>9</v>
      </c>
      <c r="H42" s="551">
        <v>1800000</v>
      </c>
      <c r="I42" s="551">
        <f>G42*H42*8/12</f>
        <v>10800000</v>
      </c>
      <c r="J42" s="592"/>
    </row>
    <row r="43" spans="1:11" ht="35.25" customHeight="1" x14ac:dyDescent="0.2">
      <c r="A43" s="698" t="s">
        <v>871</v>
      </c>
      <c r="B43" s="687"/>
      <c r="C43" s="687"/>
      <c r="D43" s="687"/>
      <c r="E43" s="690"/>
      <c r="F43" s="642"/>
      <c r="G43" s="695">
        <v>1</v>
      </c>
      <c r="H43" s="551">
        <v>4308000</v>
      </c>
      <c r="I43" s="551">
        <f>G43*H43*8/12</f>
        <v>2872000</v>
      </c>
      <c r="J43" s="592"/>
    </row>
    <row r="44" spans="1:11" ht="35.25" customHeight="1" x14ac:dyDescent="0.2">
      <c r="A44" s="684" t="s">
        <v>872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551">
        <v>1800000</v>
      </c>
      <c r="I44" s="551">
        <f>G44*H44*4/12</f>
        <v>5400000</v>
      </c>
      <c r="J44" s="593"/>
    </row>
    <row r="45" spans="1:11" ht="35.25" customHeight="1" x14ac:dyDescent="0.2">
      <c r="A45" s="684" t="s">
        <v>873</v>
      </c>
      <c r="B45" s="687"/>
      <c r="C45" s="687"/>
      <c r="D45" s="687"/>
      <c r="E45" s="687"/>
      <c r="F45" s="642"/>
      <c r="G45" s="695">
        <v>1</v>
      </c>
      <c r="H45" s="551">
        <v>4308000</v>
      </c>
      <c r="I45" s="551">
        <f>G45*H45*4/12</f>
        <v>1436000</v>
      </c>
      <c r="J45" s="593"/>
    </row>
    <row r="46" spans="1:11" ht="13.5" customHeight="1" x14ac:dyDescent="0.2">
      <c r="A46" s="684" t="s">
        <v>874</v>
      </c>
      <c r="B46" s="687"/>
      <c r="C46" s="687"/>
      <c r="D46" s="687"/>
      <c r="E46" s="687"/>
      <c r="F46" s="642"/>
      <c r="G46" s="695">
        <v>1</v>
      </c>
      <c r="H46" s="551">
        <v>35000</v>
      </c>
      <c r="I46" s="551">
        <f>G46*H46</f>
        <v>35000</v>
      </c>
      <c r="J46" s="593"/>
    </row>
    <row r="47" spans="1:11" ht="13.5" customHeight="1" x14ac:dyDescent="0.2">
      <c r="A47" s="555" t="s">
        <v>875</v>
      </c>
      <c r="B47" s="687"/>
      <c r="C47" s="687"/>
      <c r="D47" s="687"/>
      <c r="E47" s="687"/>
      <c r="F47" s="642"/>
      <c r="G47" s="692"/>
      <c r="H47" s="692"/>
      <c r="I47" s="642"/>
      <c r="J47" s="592"/>
    </row>
    <row r="48" spans="1:11" ht="13.5" customHeight="1" x14ac:dyDescent="0.2">
      <c r="A48" s="684" t="s">
        <v>876</v>
      </c>
      <c r="B48" s="552"/>
      <c r="C48" s="552"/>
      <c r="D48" s="552"/>
      <c r="E48" s="552"/>
      <c r="F48" s="551"/>
      <c r="G48" s="551">
        <v>0</v>
      </c>
      <c r="H48" s="552">
        <v>80000</v>
      </c>
      <c r="I48" s="551">
        <f>G48*H48*8/12</f>
        <v>0</v>
      </c>
      <c r="J48" s="592"/>
    </row>
    <row r="49" spans="1:11" ht="13.5" customHeight="1" x14ac:dyDescent="0.2">
      <c r="A49" s="684" t="s">
        <v>877</v>
      </c>
      <c r="B49" s="552"/>
      <c r="C49" s="552">
        <v>142</v>
      </c>
      <c r="D49" s="552">
        <v>70000</v>
      </c>
      <c r="E49" s="552">
        <f>C49*D49*8/12</f>
        <v>6626666.666666667</v>
      </c>
      <c r="F49" s="551"/>
      <c r="G49" s="551">
        <v>144</v>
      </c>
      <c r="H49" s="552">
        <v>80000</v>
      </c>
      <c r="I49" s="551">
        <f>G49*H49*8/12</f>
        <v>7680000</v>
      </c>
      <c r="J49" s="592"/>
    </row>
    <row r="50" spans="1:11" ht="13.5" customHeight="1" x14ac:dyDescent="0.2">
      <c r="A50" s="684" t="s">
        <v>878</v>
      </c>
      <c r="B50" s="687"/>
      <c r="C50" s="687"/>
      <c r="D50" s="687"/>
      <c r="E50" s="687"/>
      <c r="F50" s="642"/>
      <c r="G50" s="551">
        <v>0</v>
      </c>
      <c r="H50" s="552">
        <v>80000</v>
      </c>
      <c r="I50" s="551">
        <f>G50*H50*8/12</f>
        <v>0</v>
      </c>
      <c r="J50" s="592"/>
    </row>
    <row r="51" spans="1:11" ht="39.75" customHeight="1" x14ac:dyDescent="0.2">
      <c r="A51" s="684" t="s">
        <v>879</v>
      </c>
      <c r="B51" s="687"/>
      <c r="C51" s="687">
        <v>142</v>
      </c>
      <c r="D51" s="687">
        <v>70000</v>
      </c>
      <c r="E51" s="687">
        <f>C51*D51*4/12</f>
        <v>3313333.3333333335</v>
      </c>
      <c r="F51" s="642"/>
      <c r="G51" s="551">
        <v>144</v>
      </c>
      <c r="H51" s="552">
        <v>80000</v>
      </c>
      <c r="I51" s="551">
        <f>G51*H51*4/12</f>
        <v>3840000</v>
      </c>
      <c r="J51" s="592"/>
    </row>
    <row r="52" spans="1:11" ht="50.25" customHeight="1" x14ac:dyDescent="0.2">
      <c r="A52" s="555" t="s">
        <v>880</v>
      </c>
      <c r="B52" s="687"/>
      <c r="C52" s="687"/>
      <c r="D52" s="687"/>
      <c r="E52" s="687">
        <v>0</v>
      </c>
      <c r="F52" s="642"/>
      <c r="G52" s="692"/>
      <c r="H52" s="692"/>
      <c r="I52" s="551">
        <v>740000</v>
      </c>
      <c r="J52" s="595"/>
    </row>
    <row r="53" spans="1:11" ht="13.5" customHeight="1" x14ac:dyDescent="0.2">
      <c r="A53" s="555" t="s">
        <v>881</v>
      </c>
      <c r="B53" s="552"/>
      <c r="C53" s="552"/>
      <c r="D53" s="552"/>
      <c r="E53" s="552"/>
      <c r="F53" s="551"/>
      <c r="G53" s="550"/>
      <c r="H53" s="550"/>
      <c r="I53" s="551"/>
      <c r="J53" s="592"/>
    </row>
    <row r="54" spans="1:11" ht="13.5" customHeight="1" x14ac:dyDescent="0.2">
      <c r="A54" s="684" t="s">
        <v>882</v>
      </c>
      <c r="B54" s="552"/>
      <c r="C54" s="552">
        <v>5</v>
      </c>
      <c r="D54" s="699" t="s">
        <v>306</v>
      </c>
      <c r="E54" s="552">
        <v>1760000</v>
      </c>
      <c r="F54" s="551"/>
      <c r="G54" s="551">
        <v>5</v>
      </c>
      <c r="H54" s="551">
        <v>384000</v>
      </c>
      <c r="I54" s="551">
        <f>G54*H54</f>
        <v>1920000</v>
      </c>
      <c r="J54" s="592"/>
    </row>
    <row r="55" spans="1:11" ht="13.5" customHeight="1" x14ac:dyDescent="0.2">
      <c r="A55" s="684" t="s">
        <v>883</v>
      </c>
      <c r="B55" s="687"/>
      <c r="C55" s="687"/>
      <c r="D55" s="687"/>
      <c r="E55" s="687"/>
      <c r="F55" s="642"/>
      <c r="G55" s="551">
        <v>1</v>
      </c>
      <c r="H55" s="551">
        <v>352000</v>
      </c>
      <c r="I55" s="551">
        <f>G55*H55</f>
        <v>352000</v>
      </c>
      <c r="J55" s="592"/>
    </row>
    <row r="56" spans="1:11" ht="12.75" customHeight="1" x14ac:dyDescent="0.2">
      <c r="A56" s="691"/>
      <c r="B56" s="687"/>
      <c r="C56" s="687"/>
      <c r="D56" s="687"/>
      <c r="E56" s="687"/>
      <c r="F56" s="642"/>
      <c r="G56" s="692"/>
      <c r="H56" s="692"/>
      <c r="I56" s="642"/>
      <c r="J56" s="592"/>
      <c r="K56" s="693"/>
    </row>
    <row r="57" spans="1:11" ht="13.5" customHeight="1" x14ac:dyDescent="0.2">
      <c r="A57" s="694" t="s">
        <v>85</v>
      </c>
      <c r="B57" s="687"/>
      <c r="C57" s="687"/>
      <c r="D57" s="687"/>
      <c r="E57" s="687"/>
      <c r="F57" s="642"/>
      <c r="G57" s="692"/>
      <c r="H57" s="692"/>
      <c r="I57" s="642"/>
      <c r="J57" s="592"/>
    </row>
    <row r="58" spans="1:11" ht="33.75" customHeight="1" x14ac:dyDescent="0.2">
      <c r="A58" s="691" t="s">
        <v>884</v>
      </c>
      <c r="B58" s="687"/>
      <c r="C58" s="687"/>
      <c r="D58" s="687"/>
      <c r="E58" s="687">
        <v>0</v>
      </c>
      <c r="F58" s="642"/>
      <c r="G58" s="692"/>
      <c r="H58" s="692"/>
      <c r="I58" s="642">
        <v>0</v>
      </c>
      <c r="J58" s="594"/>
    </row>
    <row r="59" spans="1:11" ht="27" customHeight="1" x14ac:dyDescent="0.2">
      <c r="A59" s="698" t="s">
        <v>885</v>
      </c>
      <c r="B59" s="687"/>
      <c r="C59" s="687"/>
      <c r="D59" s="687"/>
      <c r="E59" s="690">
        <v>0</v>
      </c>
      <c r="F59" s="642"/>
      <c r="G59" s="692"/>
      <c r="H59" s="692"/>
      <c r="I59" s="642">
        <v>0</v>
      </c>
      <c r="J59" s="592"/>
    </row>
    <row r="60" spans="1:11" ht="13.5" customHeight="1" x14ac:dyDescent="0.2">
      <c r="A60" s="555" t="s">
        <v>886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1" ht="13.5" customHeight="1" x14ac:dyDescent="0.2">
      <c r="A61" s="555" t="s">
        <v>887</v>
      </c>
      <c r="B61" s="687"/>
      <c r="C61" s="687"/>
      <c r="D61" s="687"/>
      <c r="E61" s="687"/>
      <c r="F61" s="642"/>
      <c r="G61" s="692"/>
      <c r="H61" s="692"/>
      <c r="I61" s="642"/>
      <c r="J61" s="592"/>
    </row>
    <row r="62" spans="1:11" ht="13.5" customHeight="1" x14ac:dyDescent="0.2">
      <c r="A62" s="555" t="s">
        <v>888</v>
      </c>
      <c r="B62" s="687"/>
      <c r="C62" s="687"/>
      <c r="D62" s="687"/>
      <c r="E62" s="687"/>
      <c r="F62" s="642"/>
      <c r="G62" s="692"/>
      <c r="H62" s="692"/>
      <c r="I62" s="642"/>
      <c r="J62" s="592"/>
    </row>
    <row r="63" spans="1:11" ht="28.5" customHeight="1" x14ac:dyDescent="0.2">
      <c r="A63" s="684" t="s">
        <v>889</v>
      </c>
      <c r="B63" s="691"/>
      <c r="C63" s="700"/>
      <c r="D63" s="687"/>
      <c r="E63" s="687">
        <f>C63*D63/2</f>
        <v>0</v>
      </c>
      <c r="F63" s="552">
        <v>7916</v>
      </c>
      <c r="G63" s="701"/>
      <c r="H63" s="692"/>
      <c r="I63" s="642"/>
      <c r="J63" s="594"/>
    </row>
    <row r="64" spans="1:11" ht="24.95" customHeight="1" x14ac:dyDescent="0.2">
      <c r="A64" s="698" t="s">
        <v>890</v>
      </c>
      <c r="B64" s="687"/>
      <c r="C64" s="691"/>
      <c r="D64" s="687"/>
      <c r="E64" s="687"/>
      <c r="F64" s="642"/>
      <c r="G64" s="557">
        <v>0</v>
      </c>
      <c r="H64" s="692"/>
      <c r="I64" s="642"/>
      <c r="J64" s="594"/>
    </row>
    <row r="65" spans="1:10" ht="24.95" customHeight="1" x14ac:dyDescent="0.2">
      <c r="A65" s="691" t="s">
        <v>891</v>
      </c>
      <c r="B65" s="687"/>
      <c r="C65" s="691"/>
      <c r="D65" s="687"/>
      <c r="E65" s="687"/>
      <c r="F65" s="642"/>
      <c r="G65" s="556">
        <v>1</v>
      </c>
      <c r="H65" s="692"/>
      <c r="I65" s="642"/>
      <c r="J65" s="592"/>
    </row>
    <row r="66" spans="1:10" ht="24.95" customHeight="1" x14ac:dyDescent="0.2">
      <c r="A66" s="555" t="s">
        <v>892</v>
      </c>
      <c r="B66" s="687"/>
      <c r="C66" s="702">
        <v>0.97299999999999998</v>
      </c>
      <c r="D66" s="687">
        <v>3000000</v>
      </c>
      <c r="E66" s="687"/>
      <c r="F66" s="642"/>
      <c r="G66" s="556">
        <v>2</v>
      </c>
      <c r="H66" s="552">
        <v>3000000</v>
      </c>
      <c r="I66" s="551">
        <f>(2*1+0)*3000000</f>
        <v>6000000</v>
      </c>
      <c r="J66" s="592"/>
    </row>
    <row r="67" spans="1:10" ht="13.5" customHeight="1" x14ac:dyDescent="0.2">
      <c r="A67" s="555" t="s">
        <v>893</v>
      </c>
      <c r="B67" s="703"/>
      <c r="C67" s="687">
        <v>80</v>
      </c>
      <c r="D67" s="687">
        <v>55360</v>
      </c>
      <c r="E67" s="687">
        <f>C67*D67</f>
        <v>4428800</v>
      </c>
      <c r="F67" s="642"/>
      <c r="G67" s="552">
        <v>80</v>
      </c>
      <c r="H67" s="552">
        <v>55360</v>
      </c>
      <c r="I67" s="552">
        <f>G67*H67</f>
        <v>4428800</v>
      </c>
      <c r="J67" s="592"/>
    </row>
    <row r="68" spans="1:10" ht="13.5" customHeight="1" x14ac:dyDescent="0.2">
      <c r="A68" s="555" t="s">
        <v>894</v>
      </c>
      <c r="B68" s="703"/>
      <c r="C68" s="687">
        <v>55</v>
      </c>
      <c r="D68" s="687">
        <v>145000</v>
      </c>
      <c r="E68" s="687">
        <f>C68*D68</f>
        <v>7975000</v>
      </c>
      <c r="F68" s="642"/>
      <c r="G68" s="552">
        <v>50</v>
      </c>
      <c r="H68" s="552">
        <v>145000</v>
      </c>
      <c r="I68" s="552">
        <f>G68*H68</f>
        <v>7250000</v>
      </c>
      <c r="J68" s="592"/>
    </row>
    <row r="69" spans="1:10" ht="13.5" customHeight="1" x14ac:dyDescent="0.2">
      <c r="A69" s="698" t="s">
        <v>895</v>
      </c>
      <c r="B69" s="704"/>
      <c r="C69" s="687">
        <v>23</v>
      </c>
      <c r="D69" s="687">
        <v>109000</v>
      </c>
      <c r="E69" s="687">
        <f>C69*D69</f>
        <v>2507000</v>
      </c>
      <c r="F69" s="642"/>
      <c r="G69" s="552">
        <v>23</v>
      </c>
      <c r="H69" s="552">
        <v>109000</v>
      </c>
      <c r="I69" s="552">
        <f>G69*H69</f>
        <v>2507000</v>
      </c>
      <c r="J69" s="592"/>
    </row>
    <row r="70" spans="1:10" ht="15" customHeight="1" x14ac:dyDescent="0.2">
      <c r="A70" s="684" t="s">
        <v>896</v>
      </c>
      <c r="B70" s="704"/>
      <c r="C70" s="687"/>
      <c r="D70" s="687"/>
      <c r="E70" s="687"/>
      <c r="F70" s="642"/>
      <c r="G70" s="692"/>
      <c r="H70" s="692"/>
      <c r="I70" s="642"/>
      <c r="J70" s="592"/>
    </row>
    <row r="71" spans="1:10" ht="13.5" customHeight="1" x14ac:dyDescent="0.2">
      <c r="A71" s="691" t="s">
        <v>897</v>
      </c>
      <c r="B71" s="691"/>
      <c r="C71" s="691"/>
      <c r="D71" s="642"/>
      <c r="E71" s="687"/>
      <c r="F71" s="642"/>
      <c r="G71" s="692"/>
      <c r="H71" s="692"/>
      <c r="I71" s="642"/>
      <c r="J71" s="592"/>
    </row>
    <row r="72" spans="1:10" ht="13.5" customHeight="1" x14ac:dyDescent="0.2">
      <c r="A72" s="555" t="s">
        <v>898</v>
      </c>
      <c r="B72" s="705"/>
      <c r="C72" s="687">
        <v>13</v>
      </c>
      <c r="D72" s="687">
        <v>494100</v>
      </c>
      <c r="E72" s="687">
        <f>C72*D72</f>
        <v>6423300</v>
      </c>
      <c r="F72" s="642"/>
      <c r="G72" s="552">
        <v>15</v>
      </c>
      <c r="H72" s="552">
        <v>494100</v>
      </c>
      <c r="I72" s="552">
        <f>G72*H72</f>
        <v>7411500</v>
      </c>
      <c r="J72" s="592"/>
    </row>
    <row r="73" spans="1:10" ht="13.5" customHeight="1" x14ac:dyDescent="0.2">
      <c r="A73" s="684" t="s">
        <v>899</v>
      </c>
      <c r="B73" s="703"/>
      <c r="C73" s="687"/>
      <c r="D73" s="687"/>
      <c r="E73" s="687"/>
      <c r="F73" s="642"/>
      <c r="G73" s="692"/>
      <c r="H73" s="692"/>
      <c r="I73" s="642"/>
      <c r="J73" s="592"/>
    </row>
    <row r="74" spans="1:10" ht="13.5" customHeight="1" x14ac:dyDescent="0.2">
      <c r="A74" s="684" t="s">
        <v>900</v>
      </c>
      <c r="B74" s="703"/>
      <c r="C74" s="687">
        <v>15</v>
      </c>
      <c r="D74" s="687">
        <v>2606040</v>
      </c>
      <c r="E74" s="687">
        <f>C74*D74</f>
        <v>39090600</v>
      </c>
      <c r="F74" s="642"/>
      <c r="G74" s="552">
        <v>15</v>
      </c>
      <c r="H74" s="552">
        <v>2606040</v>
      </c>
      <c r="I74" s="552">
        <f>G74*H74</f>
        <v>39090600</v>
      </c>
      <c r="J74" s="592"/>
    </row>
    <row r="75" spans="1:10" ht="24.95" customHeight="1" x14ac:dyDescent="0.2">
      <c r="A75" s="555" t="s">
        <v>901</v>
      </c>
      <c r="B75" s="703"/>
      <c r="C75" s="687"/>
      <c r="D75" s="687"/>
      <c r="E75" s="690">
        <v>37834000</v>
      </c>
      <c r="F75" s="642"/>
      <c r="G75" s="692"/>
      <c r="H75" s="692"/>
      <c r="I75" s="551">
        <v>31081000</v>
      </c>
      <c r="J75" s="596"/>
    </row>
    <row r="76" spans="1:10" ht="15" customHeight="1" x14ac:dyDescent="0.2">
      <c r="A76" s="555" t="s">
        <v>902</v>
      </c>
      <c r="B76" s="703"/>
      <c r="C76" s="687"/>
      <c r="D76" s="687"/>
      <c r="E76" s="687"/>
      <c r="F76" s="642"/>
      <c r="G76" s="692"/>
      <c r="H76" s="692"/>
      <c r="I76" s="642"/>
      <c r="J76" s="592"/>
    </row>
    <row r="77" spans="1:10" ht="34.5" customHeight="1" x14ac:dyDescent="0.2">
      <c r="A77" s="555" t="s">
        <v>903</v>
      </c>
      <c r="B77" s="687"/>
      <c r="C77" s="696">
        <v>12.33</v>
      </c>
      <c r="D77" s="687">
        <v>1632000</v>
      </c>
      <c r="E77" s="687">
        <f>C77*D77</f>
        <v>20122560</v>
      </c>
      <c r="F77" s="642"/>
      <c r="G77" s="553">
        <v>13.81</v>
      </c>
      <c r="H77" s="552">
        <v>1632000</v>
      </c>
      <c r="I77" s="552">
        <f>G77*H77</f>
        <v>22537920</v>
      </c>
      <c r="J77" s="597"/>
    </row>
    <row r="78" spans="1:10" ht="13.5" customHeight="1" x14ac:dyDescent="0.2">
      <c r="A78" s="555" t="s">
        <v>904</v>
      </c>
      <c r="B78" s="687"/>
      <c r="C78" s="687"/>
      <c r="D78" s="687"/>
      <c r="E78" s="690">
        <v>7038795</v>
      </c>
      <c r="F78" s="642"/>
      <c r="G78" s="692"/>
      <c r="H78" s="692"/>
      <c r="I78" s="551">
        <v>10352656</v>
      </c>
      <c r="J78" s="598"/>
    </row>
    <row r="79" spans="1:10" ht="13.5" customHeight="1" x14ac:dyDescent="0.2">
      <c r="A79" s="684" t="s">
        <v>905</v>
      </c>
      <c r="B79" s="687"/>
      <c r="C79" s="687"/>
      <c r="D79" s="687"/>
      <c r="E79" s="690"/>
      <c r="F79" s="642"/>
      <c r="G79" s="551">
        <v>280</v>
      </c>
      <c r="H79" s="551">
        <v>285</v>
      </c>
      <c r="I79" s="551">
        <f>G79*H79</f>
        <v>79800</v>
      </c>
      <c r="J79" s="592"/>
    </row>
    <row r="80" spans="1:10" ht="31.5" customHeight="1" x14ac:dyDescent="0.2">
      <c r="A80" s="555" t="s">
        <v>906</v>
      </c>
      <c r="B80" s="687"/>
      <c r="C80" s="687"/>
      <c r="D80" s="687"/>
      <c r="E80" s="690">
        <v>0</v>
      </c>
      <c r="F80" s="642"/>
      <c r="G80" s="692"/>
      <c r="H80" s="692"/>
      <c r="I80" s="551">
        <v>0</v>
      </c>
      <c r="J80" s="592"/>
    </row>
    <row r="81" spans="1:256" ht="28.5" customHeight="1" x14ac:dyDescent="0.2">
      <c r="A81" s="691"/>
      <c r="B81" s="687"/>
      <c r="C81" s="687"/>
      <c r="D81" s="687"/>
      <c r="E81" s="706"/>
      <c r="F81" s="642"/>
      <c r="G81" s="692"/>
      <c r="H81" s="692"/>
      <c r="I81" s="642"/>
      <c r="J81" s="592"/>
      <c r="K81" s="693"/>
    </row>
    <row r="82" spans="1:256" ht="13.5" customHeight="1" x14ac:dyDescent="0.2">
      <c r="A82" s="694" t="s">
        <v>907</v>
      </c>
      <c r="B82" s="687"/>
      <c r="C82" s="687"/>
      <c r="D82" s="687"/>
      <c r="E82" s="706"/>
      <c r="F82" s="642"/>
      <c r="G82" s="692"/>
      <c r="H82" s="692"/>
      <c r="I82" s="642"/>
      <c r="J82" s="592"/>
    </row>
    <row r="83" spans="1:256" ht="13.5" customHeight="1" x14ac:dyDescent="0.2">
      <c r="A83" s="555" t="s">
        <v>908</v>
      </c>
      <c r="B83" s="687"/>
      <c r="C83" s="687"/>
      <c r="D83" s="687"/>
      <c r="E83" s="706"/>
      <c r="F83" s="642"/>
      <c r="G83" s="692"/>
      <c r="H83" s="692"/>
      <c r="I83" s="642"/>
      <c r="J83" s="592"/>
    </row>
    <row r="84" spans="1:256" ht="13.5" customHeight="1" x14ac:dyDescent="0.2">
      <c r="A84" s="555" t="s">
        <v>909</v>
      </c>
      <c r="B84" s="687"/>
      <c r="C84" s="687">
        <v>4865</v>
      </c>
      <c r="D84" s="687">
        <v>1140</v>
      </c>
      <c r="E84" s="707"/>
      <c r="F84" s="642"/>
      <c r="G84" s="552">
        <v>4837</v>
      </c>
      <c r="H84" s="552">
        <v>1140</v>
      </c>
      <c r="I84" s="289">
        <f>G84*H84</f>
        <v>5514180</v>
      </c>
      <c r="J84" s="592"/>
    </row>
    <row r="85" spans="1:256" ht="30" customHeight="1" x14ac:dyDescent="0.2">
      <c r="A85" s="684" t="s">
        <v>910</v>
      </c>
      <c r="B85" s="687"/>
      <c r="C85" s="687"/>
      <c r="D85" s="687"/>
      <c r="E85" s="707"/>
      <c r="F85" s="642"/>
      <c r="G85" s="687"/>
      <c r="H85" s="687"/>
      <c r="I85" s="289">
        <v>0</v>
      </c>
      <c r="J85" s="592"/>
    </row>
    <row r="86" spans="1:256" ht="13.5" customHeight="1" x14ac:dyDescent="0.2">
      <c r="A86" s="698"/>
      <c r="B86" s="703"/>
      <c r="C86" s="687"/>
      <c r="D86" s="701"/>
      <c r="E86" s="687"/>
      <c r="F86" s="642"/>
      <c r="G86" s="692"/>
      <c r="H86" s="692"/>
      <c r="I86" s="642"/>
      <c r="J86" s="592"/>
      <c r="K86" s="693"/>
    </row>
    <row r="87" spans="1:256" ht="25.5" customHeight="1" x14ac:dyDescent="0.2">
      <c r="A87" s="708" t="s">
        <v>911</v>
      </c>
      <c r="B87" s="703"/>
      <c r="C87" s="709"/>
      <c r="D87" s="687"/>
      <c r="E87" s="690"/>
      <c r="F87" s="703"/>
      <c r="G87" s="692"/>
      <c r="H87" s="692"/>
      <c r="I87" s="642"/>
      <c r="J87" s="592"/>
      <c r="K87" s="693"/>
      <c r="L87" s="693"/>
      <c r="N87" s="288"/>
    </row>
    <row r="88" spans="1:256" ht="13.5" customHeight="1" thickBot="1" x14ac:dyDescent="0.25">
      <c r="A88" s="710"/>
      <c r="B88" s="711"/>
      <c r="C88" s="712"/>
      <c r="D88" s="713"/>
      <c r="E88" s="712"/>
      <c r="F88" s="714"/>
      <c r="G88" s="715"/>
      <c r="H88" s="715"/>
      <c r="I88" s="714"/>
      <c r="J88" s="592"/>
    </row>
    <row r="89" spans="1:256" ht="11.25" customHeight="1" thickBot="1" x14ac:dyDescent="0.25">
      <c r="A89" s="716" t="s">
        <v>912</v>
      </c>
      <c r="B89" s="717"/>
      <c r="C89" s="717"/>
      <c r="D89" s="718"/>
      <c r="E89" s="719">
        <f>E12+E14+E17+E20+E23+E28+E31+E34+E39+E40+E41+E42+E44+E49+E51+E54+E58+E59+E63+E64+E67+E68+E69+E72+E74+E75+E77+E78</f>
        <v>987821085</v>
      </c>
      <c r="F89" s="1196">
        <f>I12+I16+I19+I22+I25+I28+I31+I34+I35+I39+I40+I41+I42+I44+I49+I50+I51+I52+I54+I58+I59+I66+I67+I68+I69+I72+I74+I75+I77+I78+I79+I80+I84+I45+I46+I43+I55</f>
        <v>992732374</v>
      </c>
      <c r="G89" s="1196"/>
      <c r="H89" s="1196"/>
      <c r="I89" s="1197"/>
      <c r="J89" s="7"/>
      <c r="K89" s="72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1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7" customWidth="1"/>
    <col min="6" max="6" width="15.140625" style="3" customWidth="1"/>
    <col min="7" max="7" width="0" style="247" hidden="1" customWidth="1"/>
    <col min="8" max="8" width="0" style="299" hidden="1" customWidth="1"/>
    <col min="9" max="9" width="10.28515625" style="247" hidden="1" customWidth="1"/>
    <col min="10" max="16384" width="9.140625" style="4"/>
  </cols>
  <sheetData>
    <row r="1" spans="1:10" ht="27.75" customHeight="1" x14ac:dyDescent="0.2">
      <c r="A1" s="1209" t="s">
        <v>1366</v>
      </c>
      <c r="B1" s="1209"/>
      <c r="C1" s="1209"/>
      <c r="D1" s="1209"/>
      <c r="E1" s="1209"/>
      <c r="F1" s="1209"/>
      <c r="G1" s="1209"/>
      <c r="H1" s="1209"/>
      <c r="I1" s="1209"/>
    </row>
    <row r="3" spans="1:10" ht="15" customHeight="1" x14ac:dyDescent="0.2">
      <c r="B3" s="1212" t="s">
        <v>78</v>
      </c>
      <c r="C3" s="1212"/>
      <c r="D3" s="1212"/>
      <c r="E3" s="1212"/>
      <c r="F3" s="1212"/>
      <c r="G3" s="1213"/>
      <c r="H3" s="1213"/>
      <c r="I3" s="1213"/>
    </row>
    <row r="4" spans="1:10" ht="15" customHeight="1" x14ac:dyDescent="0.2">
      <c r="B4" s="1216" t="s">
        <v>1080</v>
      </c>
      <c r="C4" s="1216"/>
      <c r="D4" s="1216"/>
      <c r="E4" s="1216"/>
      <c r="F4" s="1216"/>
      <c r="G4" s="4"/>
      <c r="H4" s="4"/>
      <c r="I4" s="4"/>
    </row>
    <row r="5" spans="1:10" ht="15" customHeight="1" x14ac:dyDescent="0.2">
      <c r="B5" s="1212"/>
      <c r="C5" s="1212"/>
      <c r="D5" s="1212"/>
      <c r="E5" s="1212"/>
    </row>
    <row r="6" spans="1:10" ht="15" customHeight="1" x14ac:dyDescent="0.2">
      <c r="B6" s="1214" t="s">
        <v>310</v>
      </c>
      <c r="C6" s="1215"/>
      <c r="D6" s="1215"/>
      <c r="E6" s="1215"/>
      <c r="F6" s="1215"/>
      <c r="G6" s="1215"/>
      <c r="H6" s="1215"/>
      <c r="I6" s="1215"/>
    </row>
    <row r="7" spans="1:10" ht="48.75" customHeight="1" x14ac:dyDescent="0.2">
      <c r="B7" s="230" t="s">
        <v>86</v>
      </c>
      <c r="C7" s="155" t="s">
        <v>1139</v>
      </c>
      <c r="D7" s="1211" t="s">
        <v>1140</v>
      </c>
      <c r="E7" s="1211"/>
      <c r="F7" s="1211"/>
      <c r="G7" s="1211" t="s">
        <v>583</v>
      </c>
      <c r="H7" s="1211"/>
      <c r="I7" s="1211"/>
    </row>
    <row r="8" spans="1:10" ht="35.450000000000003" customHeight="1" x14ac:dyDescent="0.2">
      <c r="B8" s="231"/>
      <c r="C8" s="31"/>
      <c r="D8" s="156" t="s">
        <v>62</v>
      </c>
      <c r="E8" s="232" t="s">
        <v>63</v>
      </c>
      <c r="F8" s="232" t="s">
        <v>1141</v>
      </c>
      <c r="G8" s="4"/>
      <c r="H8" s="4"/>
      <c r="I8" s="4"/>
    </row>
    <row r="9" spans="1:10" ht="15.95" customHeight="1" x14ac:dyDescent="0.2">
      <c r="B9" s="233" t="s">
        <v>595</v>
      </c>
      <c r="C9" s="234"/>
      <c r="D9" s="235"/>
      <c r="E9" s="236"/>
      <c r="F9" s="475"/>
      <c r="G9" s="4"/>
      <c r="H9" s="4"/>
      <c r="I9" s="4"/>
      <c r="J9" s="611"/>
    </row>
    <row r="10" spans="1:10" ht="36" customHeight="1" x14ac:dyDescent="0.2">
      <c r="B10" s="1099" t="s">
        <v>596</v>
      </c>
      <c r="C10" s="1100" t="s">
        <v>580</v>
      </c>
      <c r="D10" s="1101">
        <v>164390</v>
      </c>
      <c r="E10" s="1102">
        <v>98610</v>
      </c>
      <c r="F10" s="1103">
        <f>SUM(D10:E10)</f>
        <v>263000</v>
      </c>
      <c r="G10" s="4"/>
      <c r="H10" s="4"/>
      <c r="I10" s="4"/>
      <c r="J10" s="611"/>
    </row>
    <row r="11" spans="1:10" ht="23.25" customHeight="1" x14ac:dyDescent="0.2">
      <c r="B11" s="1099" t="s">
        <v>597</v>
      </c>
      <c r="C11" s="1099" t="s">
        <v>299</v>
      </c>
      <c r="D11" s="1104">
        <v>304606</v>
      </c>
      <c r="E11" s="1102">
        <v>305394</v>
      </c>
      <c r="F11" s="1103">
        <f>SUM(D11:E11)</f>
        <v>610000</v>
      </c>
      <c r="G11" s="4"/>
      <c r="H11" s="4"/>
      <c r="I11" s="4"/>
      <c r="J11" s="643"/>
    </row>
    <row r="12" spans="1:10" ht="22.5" customHeight="1" x14ac:dyDescent="0.2">
      <c r="B12" s="1099" t="s">
        <v>598</v>
      </c>
      <c r="C12" s="1105" t="s">
        <v>599</v>
      </c>
      <c r="D12" s="1104">
        <v>220919</v>
      </c>
      <c r="E12" s="1102">
        <v>286081</v>
      </c>
      <c r="F12" s="1103">
        <f>SUM(D12:E12)</f>
        <v>507000</v>
      </c>
      <c r="G12" s="4"/>
      <c r="H12" s="4"/>
      <c r="I12" s="4"/>
      <c r="J12" s="611"/>
    </row>
    <row r="13" spans="1:10" ht="23.25" customHeight="1" x14ac:dyDescent="0.2">
      <c r="B13" s="1106" t="s">
        <v>600</v>
      </c>
      <c r="C13" s="1105"/>
      <c r="D13" s="1107">
        <f>SUM(D10:D12)</f>
        <v>689915</v>
      </c>
      <c r="E13" s="1108">
        <f>SUM(E10:E12)</f>
        <v>690085</v>
      </c>
      <c r="F13" s="1109">
        <f>SUM(D13:E13)</f>
        <v>1380000</v>
      </c>
      <c r="G13" s="4"/>
      <c r="H13" s="4"/>
      <c r="I13" s="4"/>
      <c r="J13" s="611"/>
    </row>
    <row r="14" spans="1:10" ht="15.95" customHeight="1" x14ac:dyDescent="0.2">
      <c r="C14" s="238"/>
      <c r="D14" s="335"/>
      <c r="E14" s="267"/>
      <c r="F14" s="476">
        <f t="shared" ref="F14:F31" si="0">SUM(D14:E14)</f>
        <v>0</v>
      </c>
      <c r="G14" s="4"/>
      <c r="H14" s="4"/>
      <c r="I14" s="4"/>
      <c r="J14" s="611"/>
    </row>
    <row r="15" spans="1:10" s="311" customFormat="1" ht="45.75" customHeight="1" x14ac:dyDescent="0.2">
      <c r="B15" s="577" t="s">
        <v>601</v>
      </c>
      <c r="C15" s="578"/>
      <c r="D15" s="886">
        <v>1750</v>
      </c>
      <c r="E15" s="269"/>
      <c r="F15" s="887">
        <f>D15+E15</f>
        <v>1750</v>
      </c>
      <c r="J15" s="612"/>
    </row>
    <row r="16" spans="1:10" ht="15.95" customHeight="1" x14ac:dyDescent="0.2">
      <c r="B16" s="234"/>
      <c r="C16" s="240"/>
      <c r="D16" s="335"/>
      <c r="E16" s="267"/>
      <c r="F16" s="476">
        <f t="shared" si="0"/>
        <v>0</v>
      </c>
      <c r="G16" s="4"/>
      <c r="H16" s="4"/>
      <c r="I16" s="4"/>
      <c r="J16" s="611"/>
    </row>
    <row r="17" spans="1:10" ht="15.95" customHeight="1" x14ac:dyDescent="0.2">
      <c r="B17" s="1210" t="s">
        <v>602</v>
      </c>
      <c r="C17" s="1210"/>
      <c r="D17" s="335"/>
      <c r="E17" s="267"/>
      <c r="F17" s="476">
        <f t="shared" si="0"/>
        <v>0</v>
      </c>
      <c r="G17" s="4"/>
      <c r="H17" s="4"/>
      <c r="I17" s="4"/>
      <c r="J17" s="611"/>
    </row>
    <row r="18" spans="1:10" ht="15.95" customHeight="1" x14ac:dyDescent="0.2">
      <c r="C18" s="238"/>
      <c r="D18" s="335"/>
      <c r="E18" s="267"/>
      <c r="F18" s="476">
        <f t="shared" si="0"/>
        <v>0</v>
      </c>
      <c r="G18" s="4"/>
      <c r="H18" s="4"/>
      <c r="I18" s="4"/>
      <c r="J18" s="611"/>
    </row>
    <row r="19" spans="1:10" ht="28.5" customHeight="1" x14ac:dyDescent="0.2">
      <c r="B19" s="241"/>
      <c r="C19" s="242"/>
      <c r="D19" s="335"/>
      <c r="E19" s="267"/>
      <c r="F19" s="476">
        <f t="shared" si="0"/>
        <v>0</v>
      </c>
      <c r="G19" s="4"/>
      <c r="H19" s="4"/>
      <c r="I19" s="4"/>
      <c r="J19" s="611"/>
    </row>
    <row r="20" spans="1:10" ht="78.75" customHeight="1" x14ac:dyDescent="0.2">
      <c r="B20" s="243" t="s">
        <v>603</v>
      </c>
      <c r="C20" s="244" t="s">
        <v>604</v>
      </c>
      <c r="D20" s="335">
        <v>17000</v>
      </c>
      <c r="E20" s="267"/>
      <c r="F20" s="476">
        <f t="shared" si="0"/>
        <v>17000</v>
      </c>
      <c r="G20" s="4"/>
      <c r="H20" s="4"/>
      <c r="I20" s="4"/>
      <c r="J20" s="611"/>
    </row>
    <row r="21" spans="1:10" ht="15.95" customHeight="1" x14ac:dyDescent="0.2">
      <c r="A21" s="4"/>
      <c r="B21" s="234" t="s">
        <v>605</v>
      </c>
      <c r="C21" s="240"/>
      <c r="D21" s="886">
        <f>SUM(D18:D20)</f>
        <v>17000</v>
      </c>
      <c r="E21" s="269"/>
      <c r="F21" s="887">
        <f t="shared" si="0"/>
        <v>17000</v>
      </c>
      <c r="G21" s="4"/>
      <c r="H21" s="4"/>
      <c r="I21" s="4"/>
      <c r="J21" s="611"/>
    </row>
    <row r="22" spans="1:10" ht="15.95" customHeight="1" x14ac:dyDescent="0.2">
      <c r="A22" s="4"/>
      <c r="B22" s="234"/>
      <c r="C22" s="240"/>
      <c r="D22" s="335"/>
      <c r="E22" s="267"/>
      <c r="F22" s="476">
        <f t="shared" si="0"/>
        <v>0</v>
      </c>
      <c r="G22" s="4"/>
      <c r="H22" s="4"/>
      <c r="I22" s="4"/>
      <c r="J22" s="611"/>
    </row>
    <row r="23" spans="1:10" ht="15.95" customHeight="1" x14ac:dyDescent="0.2">
      <c r="A23" s="4"/>
      <c r="B23" s="233" t="s">
        <v>606</v>
      </c>
      <c r="C23" s="240"/>
      <c r="D23" s="335"/>
      <c r="E23" s="267"/>
      <c r="F23" s="476">
        <f t="shared" si="0"/>
        <v>0</v>
      </c>
      <c r="G23" s="4"/>
      <c r="H23" s="4"/>
      <c r="I23" s="4"/>
      <c r="J23" s="611"/>
    </row>
    <row r="24" spans="1:10" ht="15.95" customHeight="1" x14ac:dyDescent="0.2">
      <c r="A24" s="4"/>
      <c r="B24" s="3" t="s">
        <v>607</v>
      </c>
      <c r="C24" s="240"/>
      <c r="D24" s="335"/>
      <c r="E24" s="267"/>
      <c r="F24" s="476">
        <f t="shared" si="0"/>
        <v>0</v>
      </c>
      <c r="G24" s="4"/>
      <c r="H24" s="4"/>
      <c r="I24" s="4"/>
      <c r="J24" s="611"/>
    </row>
    <row r="25" spans="1:10" s="311" customFormat="1" ht="15.95" customHeight="1" x14ac:dyDescent="0.2">
      <c r="B25" s="4" t="s">
        <v>111</v>
      </c>
      <c r="C25" s="334"/>
      <c r="D25" s="335">
        <v>820</v>
      </c>
      <c r="E25" s="267"/>
      <c r="F25" s="476">
        <f t="shared" si="0"/>
        <v>820</v>
      </c>
      <c r="G25" s="4"/>
      <c r="J25" s="612"/>
    </row>
    <row r="26" spans="1:10" s="311" customFormat="1" ht="15.95" customHeight="1" x14ac:dyDescent="0.2">
      <c r="B26" s="4" t="s">
        <v>566</v>
      </c>
      <c r="C26" s="334"/>
      <c r="D26" s="335">
        <v>1500</v>
      </c>
      <c r="E26" s="267"/>
      <c r="F26" s="476">
        <f>SUM(D26:E26)</f>
        <v>1500</v>
      </c>
      <c r="G26" s="4"/>
      <c r="J26" s="612"/>
    </row>
    <row r="27" spans="1:10" ht="15.95" customHeight="1" x14ac:dyDescent="0.2">
      <c r="A27" s="4"/>
      <c r="B27" s="3" t="s">
        <v>608</v>
      </c>
      <c r="C27" s="240"/>
      <c r="D27" s="335">
        <v>84</v>
      </c>
      <c r="E27" s="267"/>
      <c r="F27" s="476">
        <f t="shared" si="0"/>
        <v>84</v>
      </c>
      <c r="G27" s="4"/>
      <c r="H27" s="4"/>
      <c r="I27" s="4"/>
      <c r="J27" s="611"/>
    </row>
    <row r="28" spans="1:10" ht="15.95" customHeight="1" x14ac:dyDescent="0.2">
      <c r="A28" s="4"/>
      <c r="B28" s="3" t="s">
        <v>609</v>
      </c>
      <c r="C28" s="240"/>
      <c r="D28" s="335"/>
      <c r="E28" s="267"/>
      <c r="F28" s="476">
        <f t="shared" si="0"/>
        <v>0</v>
      </c>
      <c r="G28" s="4"/>
      <c r="H28" s="4"/>
      <c r="I28" s="4"/>
      <c r="J28" s="611"/>
    </row>
    <row r="29" spans="1:10" ht="15.95" customHeight="1" x14ac:dyDescent="0.2">
      <c r="A29" s="4"/>
      <c r="B29" s="3" t="s">
        <v>1319</v>
      </c>
      <c r="C29" s="240"/>
      <c r="D29" s="335">
        <v>1</v>
      </c>
      <c r="E29" s="267"/>
      <c r="F29" s="476">
        <f t="shared" si="0"/>
        <v>1</v>
      </c>
      <c r="G29" s="4"/>
      <c r="H29" s="4"/>
      <c r="I29" s="4"/>
      <c r="J29" s="611"/>
    </row>
    <row r="30" spans="1:10" ht="15.95" customHeight="1" x14ac:dyDescent="0.2">
      <c r="A30" s="4"/>
      <c r="B30" s="234" t="s">
        <v>610</v>
      </c>
      <c r="C30" s="240"/>
      <c r="D30" s="886">
        <f>SUM(D24:D29)</f>
        <v>2405</v>
      </c>
      <c r="E30" s="269">
        <f>SUM(E24:E28)</f>
        <v>0</v>
      </c>
      <c r="F30" s="887">
        <f t="shared" si="0"/>
        <v>2405</v>
      </c>
      <c r="G30" s="4"/>
      <c r="H30" s="4"/>
      <c r="I30" s="4"/>
      <c r="J30" s="611"/>
    </row>
    <row r="31" spans="1:10" ht="15.95" customHeight="1" x14ac:dyDescent="0.2">
      <c r="A31" s="4"/>
      <c r="B31" s="234"/>
      <c r="C31" s="240"/>
      <c r="D31" s="335"/>
      <c r="E31" s="267"/>
      <c r="F31" s="888">
        <f t="shared" si="0"/>
        <v>0</v>
      </c>
      <c r="G31" s="4"/>
      <c r="H31" s="4"/>
      <c r="I31" s="4"/>
      <c r="J31" s="611"/>
    </row>
    <row r="32" spans="1:10" ht="15.95" customHeight="1" x14ac:dyDescent="0.2">
      <c r="A32" s="4"/>
      <c r="B32" s="245" t="s">
        <v>611</v>
      </c>
      <c r="C32" s="246"/>
      <c r="D32" s="889">
        <f>D13+D15+D21+D30</f>
        <v>711070</v>
      </c>
      <c r="E32" s="889">
        <f>E13+E15+E21+E30</f>
        <v>690085</v>
      </c>
      <c r="F32" s="889">
        <f>SUM(D32:E32)</f>
        <v>1401155</v>
      </c>
      <c r="G32" s="4"/>
      <c r="H32" s="4"/>
      <c r="I32" s="4"/>
    </row>
    <row r="33" spans="1:9" ht="15.95" customHeight="1" x14ac:dyDescent="0.2">
      <c r="A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04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217" t="s">
        <v>1367</v>
      </c>
      <c r="C1" s="1217"/>
      <c r="D1" s="1217"/>
      <c r="E1" s="1217"/>
    </row>
    <row r="2" spans="1:8" x14ac:dyDescent="0.2">
      <c r="B2" s="197"/>
    </row>
    <row r="3" spans="1:8" x14ac:dyDescent="0.2">
      <c r="A3" s="1221" t="s">
        <v>54</v>
      </c>
      <c r="B3" s="1221"/>
      <c r="C3" s="1221"/>
      <c r="D3" s="1221"/>
      <c r="E3" s="1221"/>
    </row>
    <row r="4" spans="1:8" ht="11.25" customHeight="1" x14ac:dyDescent="0.2">
      <c r="A4" s="1221" t="s">
        <v>1113</v>
      </c>
      <c r="B4" s="1221"/>
      <c r="C4" s="1221"/>
      <c r="D4" s="1221"/>
      <c r="E4" s="1221"/>
    </row>
    <row r="5" spans="1:8" x14ac:dyDescent="0.2">
      <c r="A5" s="1221" t="s">
        <v>1256</v>
      </c>
      <c r="B5" s="1221"/>
      <c r="C5" s="1221"/>
      <c r="D5" s="1221"/>
      <c r="E5" s="1221"/>
    </row>
    <row r="6" spans="1:8" ht="12.75" x14ac:dyDescent="0.2">
      <c r="B6" s="1222" t="s">
        <v>310</v>
      </c>
      <c r="C6" s="1223"/>
      <c r="D6" s="1223"/>
      <c r="E6" s="1223"/>
    </row>
    <row r="7" spans="1:8" ht="24" customHeight="1" x14ac:dyDescent="0.2">
      <c r="A7" s="1224" t="s">
        <v>77</v>
      </c>
      <c r="B7" s="1218" t="s">
        <v>86</v>
      </c>
      <c r="C7" s="1220" t="s">
        <v>1142</v>
      </c>
      <c r="D7" s="1220"/>
      <c r="E7" s="1220"/>
    </row>
    <row r="8" spans="1:8" ht="21" x14ac:dyDescent="0.2">
      <c r="A8" s="1224"/>
      <c r="B8" s="1219"/>
      <c r="C8" s="854" t="s">
        <v>62</v>
      </c>
      <c r="D8" s="854" t="s">
        <v>63</v>
      </c>
      <c r="E8" s="854" t="s">
        <v>64</v>
      </c>
      <c r="F8" s="599"/>
    </row>
    <row r="9" spans="1:8" x14ac:dyDescent="0.2">
      <c r="A9" s="782" t="s">
        <v>493</v>
      </c>
      <c r="B9" s="857" t="s">
        <v>87</v>
      </c>
      <c r="C9" s="169"/>
      <c r="D9" s="169"/>
      <c r="E9" s="855"/>
      <c r="F9" s="852"/>
    </row>
    <row r="10" spans="1:8" ht="12" thickBot="1" x14ac:dyDescent="0.25">
      <c r="A10" s="782" t="s">
        <v>501</v>
      </c>
      <c r="B10" s="198" t="s">
        <v>88</v>
      </c>
      <c r="C10" s="292"/>
      <c r="D10" s="169"/>
      <c r="E10" s="445">
        <f>SUM(C10:D10)</f>
        <v>0</v>
      </c>
      <c r="F10" s="852"/>
    </row>
    <row r="11" spans="1:8" s="9" customFormat="1" ht="12" thickBot="1" x14ac:dyDescent="0.25">
      <c r="A11" s="932" t="s">
        <v>502</v>
      </c>
      <c r="B11" s="1058" t="s">
        <v>169</v>
      </c>
      <c r="C11" s="1060">
        <f>C12+C13+C14+C15</f>
        <v>743360</v>
      </c>
      <c r="D11" s="1060">
        <f t="shared" ref="D11:E11" si="0">D12+D13+D14+D15</f>
        <v>103025</v>
      </c>
      <c r="E11" s="563">
        <f t="shared" si="0"/>
        <v>846385</v>
      </c>
      <c r="F11" s="774"/>
      <c r="G11" s="774"/>
    </row>
    <row r="12" spans="1:8" s="9" customFormat="1" x14ac:dyDescent="0.2">
      <c r="A12" s="782" t="s">
        <v>503</v>
      </c>
      <c r="B12" s="200" t="s">
        <v>166</v>
      </c>
      <c r="C12" s="738">
        <v>548782</v>
      </c>
      <c r="D12" s="738"/>
      <c r="E12" s="856">
        <f t="shared" ref="E12:E15" si="1">C12+D12</f>
        <v>548782</v>
      </c>
      <c r="F12" s="774"/>
    </row>
    <row r="13" spans="1:8" s="9" customFormat="1" x14ac:dyDescent="0.2">
      <c r="A13" s="782" t="s">
        <v>504</v>
      </c>
      <c r="B13" s="200" t="s">
        <v>167</v>
      </c>
      <c r="C13" s="738">
        <v>86710</v>
      </c>
      <c r="D13" s="738"/>
      <c r="E13" s="856">
        <f t="shared" si="1"/>
        <v>86710</v>
      </c>
      <c r="F13" s="774"/>
    </row>
    <row r="14" spans="1:8" s="9" customFormat="1" x14ac:dyDescent="0.2">
      <c r="A14" s="782" t="s">
        <v>505</v>
      </c>
      <c r="B14" s="200" t="s">
        <v>168</v>
      </c>
      <c r="C14" s="738">
        <v>97303</v>
      </c>
      <c r="D14" s="738">
        <v>103025</v>
      </c>
      <c r="E14" s="856">
        <f t="shared" si="1"/>
        <v>200328</v>
      </c>
      <c r="F14" s="774"/>
      <c r="G14" s="774"/>
    </row>
    <row r="15" spans="1:8" s="9" customFormat="1" x14ac:dyDescent="0.2">
      <c r="A15" s="782" t="s">
        <v>508</v>
      </c>
      <c r="B15" s="200" t="s">
        <v>185</v>
      </c>
      <c r="C15" s="169">
        <v>10565</v>
      </c>
      <c r="D15" s="169"/>
      <c r="E15" s="445">
        <f t="shared" si="1"/>
        <v>10565</v>
      </c>
      <c r="F15" s="774"/>
    </row>
    <row r="16" spans="1:8" s="9" customFormat="1" ht="12" thickBot="1" x14ac:dyDescent="0.25">
      <c r="A16" s="1062" t="s">
        <v>549</v>
      </c>
      <c r="B16" s="1063" t="s">
        <v>170</v>
      </c>
      <c r="C16" s="1064">
        <v>0</v>
      </c>
      <c r="D16" s="1064"/>
      <c r="E16" s="1066">
        <v>0</v>
      </c>
      <c r="F16" s="774"/>
      <c r="H16" s="774"/>
    </row>
    <row r="17" spans="1:7" s="9" customFormat="1" ht="12" thickBot="1" x14ac:dyDescent="0.25">
      <c r="A17" s="932" t="s">
        <v>550</v>
      </c>
      <c r="B17" s="1058" t="s">
        <v>194</v>
      </c>
      <c r="C17" s="937">
        <v>4785</v>
      </c>
      <c r="D17" s="1059"/>
      <c r="E17" s="938">
        <f>C17+D17</f>
        <v>4785</v>
      </c>
      <c r="F17" s="1065"/>
    </row>
    <row r="18" spans="1:7" s="9" customFormat="1" ht="12" thickBot="1" x14ac:dyDescent="0.25">
      <c r="A18" s="932" t="s">
        <v>551</v>
      </c>
      <c r="B18" s="1058" t="s">
        <v>289</v>
      </c>
      <c r="C18" s="305">
        <v>294</v>
      </c>
      <c r="D18" s="305">
        <v>988</v>
      </c>
      <c r="E18" s="929">
        <f>C18+D18</f>
        <v>1282</v>
      </c>
      <c r="F18" s="774"/>
      <c r="G18" s="774"/>
    </row>
    <row r="19" spans="1:7" x14ac:dyDescent="0.2">
      <c r="A19" s="782" t="s">
        <v>552</v>
      </c>
      <c r="B19" s="199"/>
      <c r="C19" s="169"/>
      <c r="D19" s="169"/>
      <c r="E19" s="445"/>
      <c r="F19" s="852"/>
    </row>
    <row r="20" spans="1:7" x14ac:dyDescent="0.2">
      <c r="A20" s="782" t="s">
        <v>553</v>
      </c>
      <c r="B20" s="198" t="s">
        <v>17</v>
      </c>
      <c r="C20" s="173"/>
      <c r="D20" s="173"/>
      <c r="E20" s="448"/>
      <c r="F20" s="852"/>
    </row>
    <row r="21" spans="1:7" x14ac:dyDescent="0.2">
      <c r="A21" s="782" t="s">
        <v>554</v>
      </c>
      <c r="B21" s="200" t="s">
        <v>89</v>
      </c>
      <c r="C21" s="173">
        <f>SUM(C22:C31)</f>
        <v>10302</v>
      </c>
      <c r="D21" s="173">
        <f>SUM(D22:D32)</f>
        <v>7728</v>
      </c>
      <c r="E21" s="173">
        <f>SUM(E22:E32)</f>
        <v>18030</v>
      </c>
      <c r="F21" s="852"/>
      <c r="G21" s="852"/>
    </row>
    <row r="22" spans="1:7" x14ac:dyDescent="0.2">
      <c r="A22" s="782" t="s">
        <v>555</v>
      </c>
      <c r="B22" s="199" t="s">
        <v>1094</v>
      </c>
      <c r="C22" s="169">
        <v>0</v>
      </c>
      <c r="D22" s="169"/>
      <c r="E22" s="445">
        <f>C22+D22</f>
        <v>0</v>
      </c>
      <c r="F22" s="852"/>
    </row>
    <row r="23" spans="1:7" x14ac:dyDescent="0.2">
      <c r="A23" s="782" t="s">
        <v>556</v>
      </c>
      <c r="B23" s="199" t="s">
        <v>1095</v>
      </c>
      <c r="C23" s="169">
        <v>0</v>
      </c>
      <c r="D23" s="169"/>
      <c r="E23" s="445">
        <f>C23+D23</f>
        <v>0</v>
      </c>
      <c r="F23" s="852"/>
    </row>
    <row r="24" spans="1:7" x14ac:dyDescent="0.2">
      <c r="A24" s="782" t="s">
        <v>558</v>
      </c>
      <c r="B24" s="199" t="s">
        <v>979</v>
      </c>
      <c r="C24" s="169">
        <v>0</v>
      </c>
      <c r="D24" s="169"/>
      <c r="E24" s="445">
        <f>C24+D24</f>
        <v>0</v>
      </c>
      <c r="F24" s="852"/>
    </row>
    <row r="25" spans="1:7" x14ac:dyDescent="0.2">
      <c r="A25" s="782" t="s">
        <v>559</v>
      </c>
      <c r="B25" s="199" t="s">
        <v>93</v>
      </c>
      <c r="C25" s="169">
        <v>0</v>
      </c>
      <c r="D25" s="169"/>
      <c r="E25" s="445">
        <f t="shared" ref="E25:E32" si="2">SUM(C25:D25)</f>
        <v>0</v>
      </c>
      <c r="F25" s="852"/>
    </row>
    <row r="26" spans="1:7" x14ac:dyDescent="0.2">
      <c r="A26" s="782" t="s">
        <v>560</v>
      </c>
      <c r="B26" s="199" t="s">
        <v>568</v>
      </c>
      <c r="C26" s="169">
        <v>0</v>
      </c>
      <c r="D26" s="169"/>
      <c r="E26" s="445">
        <f t="shared" si="2"/>
        <v>0</v>
      </c>
      <c r="F26" s="852"/>
    </row>
    <row r="27" spans="1:7" x14ac:dyDescent="0.2">
      <c r="A27" s="782" t="s">
        <v>561</v>
      </c>
      <c r="B27" s="199" t="s">
        <v>163</v>
      </c>
      <c r="C27" s="169">
        <v>153</v>
      </c>
      <c r="D27" s="169"/>
      <c r="E27" s="445">
        <f t="shared" si="2"/>
        <v>153</v>
      </c>
      <c r="F27" s="852"/>
    </row>
    <row r="28" spans="1:7" x14ac:dyDescent="0.2">
      <c r="A28" s="782" t="s">
        <v>562</v>
      </c>
      <c r="B28" s="199" t="s">
        <v>1176</v>
      </c>
      <c r="C28" s="169"/>
      <c r="D28" s="169">
        <v>2450</v>
      </c>
      <c r="E28" s="445">
        <f t="shared" si="2"/>
        <v>2450</v>
      </c>
      <c r="F28" s="852"/>
    </row>
    <row r="29" spans="1:7" x14ac:dyDescent="0.2">
      <c r="A29" s="782" t="s">
        <v>563</v>
      </c>
      <c r="B29" s="199" t="s">
        <v>1217</v>
      </c>
      <c r="C29" s="169"/>
      <c r="D29" s="169">
        <v>2468</v>
      </c>
      <c r="E29" s="445">
        <f t="shared" si="2"/>
        <v>2468</v>
      </c>
      <c r="F29" s="852"/>
    </row>
    <row r="30" spans="1:7" x14ac:dyDescent="0.2">
      <c r="A30" s="782" t="s">
        <v>564</v>
      </c>
      <c r="B30" s="199" t="s">
        <v>1177</v>
      </c>
      <c r="C30" s="169">
        <v>10149</v>
      </c>
      <c r="D30" s="169"/>
      <c r="E30" s="445">
        <f t="shared" si="2"/>
        <v>10149</v>
      </c>
      <c r="F30" s="852"/>
    </row>
    <row r="31" spans="1:7" x14ac:dyDescent="0.2">
      <c r="A31" s="782" t="s">
        <v>565</v>
      </c>
      <c r="B31" s="199" t="s">
        <v>1178</v>
      </c>
      <c r="C31" s="169"/>
      <c r="D31" s="169">
        <v>2460</v>
      </c>
      <c r="E31" s="445">
        <f t="shared" si="2"/>
        <v>2460</v>
      </c>
      <c r="F31" s="852"/>
    </row>
    <row r="32" spans="1:7" x14ac:dyDescent="0.2">
      <c r="A32" s="782" t="s">
        <v>585</v>
      </c>
      <c r="B32" s="199" t="s">
        <v>1320</v>
      </c>
      <c r="C32" s="169"/>
      <c r="D32" s="169">
        <v>350</v>
      </c>
      <c r="E32" s="445">
        <f t="shared" si="2"/>
        <v>350</v>
      </c>
      <c r="F32" s="852"/>
    </row>
    <row r="33" spans="1:7" x14ac:dyDescent="0.2">
      <c r="A33" s="782" t="s">
        <v>586</v>
      </c>
      <c r="B33" s="199"/>
      <c r="C33" s="169"/>
      <c r="D33" s="169"/>
      <c r="E33" s="445"/>
      <c r="F33" s="852"/>
    </row>
    <row r="34" spans="1:7" x14ac:dyDescent="0.2">
      <c r="A34" s="782" t="s">
        <v>587</v>
      </c>
      <c r="B34" s="200" t="s">
        <v>71</v>
      </c>
      <c r="C34" s="173">
        <f>SUM(C35:C36)</f>
        <v>6935</v>
      </c>
      <c r="D34" s="173">
        <f t="shared" ref="D34:E34" si="3">SUM(D35:D36)</f>
        <v>0</v>
      </c>
      <c r="E34" s="448">
        <f t="shared" si="3"/>
        <v>6935</v>
      </c>
      <c r="F34" s="852"/>
    </row>
    <row r="35" spans="1:7" x14ac:dyDescent="0.2">
      <c r="A35" s="782" t="s">
        <v>588</v>
      </c>
      <c r="B35" s="180" t="s">
        <v>94</v>
      </c>
      <c r="C35" s="169">
        <v>6935</v>
      </c>
      <c r="D35" s="169"/>
      <c r="E35" s="445">
        <f t="shared" ref="E35:E36" si="4">C35+D35</f>
        <v>6935</v>
      </c>
      <c r="F35" s="852"/>
    </row>
    <row r="36" spans="1:7" x14ac:dyDescent="0.2">
      <c r="A36" s="782" t="s">
        <v>589</v>
      </c>
      <c r="B36" s="201" t="s">
        <v>95</v>
      </c>
      <c r="C36" s="169">
        <v>0</v>
      </c>
      <c r="D36" s="169"/>
      <c r="E36" s="445">
        <f t="shared" si="4"/>
        <v>0</v>
      </c>
      <c r="F36" s="852"/>
      <c r="G36" s="852"/>
    </row>
    <row r="37" spans="1:7" x14ac:dyDescent="0.2">
      <c r="A37" s="782" t="s">
        <v>590</v>
      </c>
      <c r="B37" s="210"/>
      <c r="C37" s="169"/>
      <c r="D37" s="169"/>
      <c r="E37" s="445"/>
      <c r="F37" s="852"/>
    </row>
    <row r="38" spans="1:7" x14ac:dyDescent="0.2">
      <c r="A38" s="782" t="s">
        <v>591</v>
      </c>
      <c r="B38" s="915" t="s">
        <v>997</v>
      </c>
      <c r="C38" s="173">
        <f>SUM(C39:C39)</f>
        <v>0</v>
      </c>
      <c r="D38" s="173">
        <f>SUM(D39:D39)</f>
        <v>0</v>
      </c>
      <c r="E38" s="448">
        <f>SUM(E39:E39)</f>
        <v>0</v>
      </c>
      <c r="F38" s="852"/>
    </row>
    <row r="39" spans="1:7" ht="12" thickBot="1" x14ac:dyDescent="0.25">
      <c r="A39" s="782" t="s">
        <v>592</v>
      </c>
      <c r="B39" s="210"/>
      <c r="C39" s="169"/>
      <c r="D39" s="169"/>
      <c r="E39" s="445"/>
      <c r="F39" s="852"/>
      <c r="G39" s="852"/>
    </row>
    <row r="40" spans="1:7" ht="12" thickBot="1" x14ac:dyDescent="0.25">
      <c r="A40" s="782" t="s">
        <v>593</v>
      </c>
      <c r="B40" s="507" t="s">
        <v>164</v>
      </c>
      <c r="C40" s="305">
        <f>C21+C34+C38</f>
        <v>17237</v>
      </c>
      <c r="D40" s="305">
        <f t="shared" ref="D40:E40" si="5">D21+D34+D38</f>
        <v>7728</v>
      </c>
      <c r="E40" s="929">
        <f t="shared" si="5"/>
        <v>24965</v>
      </c>
      <c r="F40" s="852"/>
      <c r="G40" s="852"/>
    </row>
    <row r="41" spans="1:7" x14ac:dyDescent="0.2">
      <c r="A41" s="782" t="s">
        <v>648</v>
      </c>
      <c r="B41" s="178"/>
      <c r="C41" s="173"/>
      <c r="D41" s="173"/>
      <c r="E41" s="448"/>
      <c r="F41" s="852"/>
    </row>
    <row r="42" spans="1:7" x14ac:dyDescent="0.2">
      <c r="A42" s="782" t="s">
        <v>649</v>
      </c>
      <c r="B42" s="180" t="s">
        <v>998</v>
      </c>
      <c r="C42" s="173"/>
      <c r="D42" s="173"/>
      <c r="E42" s="448"/>
      <c r="F42" s="852"/>
    </row>
    <row r="43" spans="1:7" x14ac:dyDescent="0.2">
      <c r="A43" s="782" t="s">
        <v>650</v>
      </c>
      <c r="B43" s="180" t="s">
        <v>1177</v>
      </c>
      <c r="C43" s="169"/>
      <c r="D43" s="169">
        <v>0</v>
      </c>
      <c r="E43" s="445">
        <f>C43+D43</f>
        <v>0</v>
      </c>
      <c r="F43" s="852"/>
    </row>
    <row r="44" spans="1:7" x14ac:dyDescent="0.2">
      <c r="A44" s="782" t="s">
        <v>651</v>
      </c>
      <c r="B44" s="180" t="s">
        <v>1178</v>
      </c>
      <c r="C44" s="169"/>
      <c r="D44" s="169">
        <v>273</v>
      </c>
      <c r="E44" s="445">
        <f t="shared" ref="E44:E50" si="6">C44+D44</f>
        <v>273</v>
      </c>
      <c r="F44" s="852"/>
    </row>
    <row r="45" spans="1:7" x14ac:dyDescent="0.2">
      <c r="A45" s="782" t="s">
        <v>121</v>
      </c>
      <c r="B45" s="180" t="s">
        <v>1124</v>
      </c>
      <c r="C45" s="173"/>
      <c r="D45" s="169">
        <v>2</v>
      </c>
      <c r="E45" s="445">
        <f t="shared" si="6"/>
        <v>2</v>
      </c>
      <c r="F45" s="852"/>
    </row>
    <row r="46" spans="1:7" x14ac:dyDescent="0.2">
      <c r="A46" s="782" t="s">
        <v>676</v>
      </c>
      <c r="B46" s="180" t="s">
        <v>1179</v>
      </c>
      <c r="C46" s="173"/>
      <c r="D46" s="169">
        <v>57498</v>
      </c>
      <c r="E46" s="445">
        <f t="shared" si="6"/>
        <v>57498</v>
      </c>
      <c r="F46" s="852"/>
    </row>
    <row r="47" spans="1:7" x14ac:dyDescent="0.2">
      <c r="A47" s="782" t="s">
        <v>677</v>
      </c>
      <c r="B47" s="180" t="s">
        <v>1259</v>
      </c>
      <c r="C47" s="173"/>
      <c r="D47" s="169">
        <v>1139</v>
      </c>
      <c r="E47" s="445">
        <f t="shared" si="6"/>
        <v>1139</v>
      </c>
      <c r="F47" s="852"/>
    </row>
    <row r="48" spans="1:7" x14ac:dyDescent="0.2">
      <c r="A48" s="782" t="s">
        <v>124</v>
      </c>
      <c r="B48" s="180" t="s">
        <v>1264</v>
      </c>
      <c r="C48" s="173"/>
      <c r="D48" s="169">
        <v>10126</v>
      </c>
      <c r="E48" s="445">
        <f t="shared" si="6"/>
        <v>10126</v>
      </c>
      <c r="F48" s="852"/>
    </row>
    <row r="49" spans="1:7" x14ac:dyDescent="0.2">
      <c r="A49" s="782" t="s">
        <v>125</v>
      </c>
      <c r="B49" s="180" t="s">
        <v>1260</v>
      </c>
      <c r="C49" s="169">
        <v>1</v>
      </c>
      <c r="D49" s="169"/>
      <c r="E49" s="445">
        <f t="shared" si="6"/>
        <v>1</v>
      </c>
      <c r="F49" s="852"/>
    </row>
    <row r="50" spans="1:7" x14ac:dyDescent="0.2">
      <c r="A50" s="782" t="s">
        <v>126</v>
      </c>
      <c r="B50" s="180" t="s">
        <v>1323</v>
      </c>
      <c r="C50" s="169"/>
      <c r="D50" s="169">
        <v>47581</v>
      </c>
      <c r="E50" s="445">
        <f t="shared" si="6"/>
        <v>47581</v>
      </c>
      <c r="F50" s="852"/>
    </row>
    <row r="51" spans="1:7" ht="12" thickBot="1" x14ac:dyDescent="0.25">
      <c r="A51" s="782" t="s">
        <v>129</v>
      </c>
      <c r="B51" s="1142"/>
      <c r="C51" s="1064"/>
      <c r="D51" s="1143"/>
      <c r="E51" s="1144"/>
      <c r="F51" s="852"/>
    </row>
    <row r="52" spans="1:7" ht="12" thickBot="1" x14ac:dyDescent="0.25">
      <c r="A52" s="782" t="s">
        <v>132</v>
      </c>
      <c r="B52" s="507" t="s">
        <v>998</v>
      </c>
      <c r="C52" s="305">
        <f>SUM(C43:C51)</f>
        <v>1</v>
      </c>
      <c r="D52" s="305">
        <f>SUM(D43:D51)</f>
        <v>116619</v>
      </c>
      <c r="E52" s="806">
        <f>SUM(E43:E51)</f>
        <v>116620</v>
      </c>
      <c r="F52" s="852"/>
      <c r="G52" s="852"/>
    </row>
    <row r="53" spans="1:7" ht="12" thickBot="1" x14ac:dyDescent="0.25">
      <c r="A53" s="782" t="s">
        <v>133</v>
      </c>
      <c r="B53" s="178"/>
      <c r="C53" s="173"/>
      <c r="D53" s="173"/>
      <c r="E53" s="448"/>
      <c r="F53" s="852"/>
    </row>
    <row r="54" spans="1:7" ht="12" thickBot="1" x14ac:dyDescent="0.25">
      <c r="A54" s="782" t="s">
        <v>134</v>
      </c>
      <c r="B54" s="507" t="s">
        <v>96</v>
      </c>
      <c r="C54" s="305">
        <f>C11+C16+IC17+C18+C21+C34+C38+C52+C17</f>
        <v>765677</v>
      </c>
      <c r="D54" s="305">
        <f>D11+D16+ID17+D18+D21+D34+D38+D52+D17</f>
        <v>228360</v>
      </c>
      <c r="E54" s="929">
        <f>E11+E16+IE17+E18+E21+E34+E38+E52+E17</f>
        <v>994037</v>
      </c>
      <c r="F54" s="852"/>
    </row>
    <row r="55" spans="1:7" x14ac:dyDescent="0.2">
      <c r="A55" s="782" t="s">
        <v>135</v>
      </c>
      <c r="B55" s="178"/>
      <c r="C55" s="173"/>
      <c r="D55" s="173"/>
      <c r="E55" s="448"/>
      <c r="F55" s="852"/>
    </row>
    <row r="56" spans="1:7" x14ac:dyDescent="0.2">
      <c r="A56" s="782" t="s">
        <v>138</v>
      </c>
      <c r="B56" s="853" t="s">
        <v>338</v>
      </c>
      <c r="C56" s="173"/>
      <c r="D56" s="173"/>
      <c r="E56" s="448"/>
      <c r="F56" s="852"/>
    </row>
    <row r="57" spans="1:7" x14ac:dyDescent="0.2">
      <c r="A57" s="782" t="s">
        <v>141</v>
      </c>
      <c r="B57" s="180" t="s">
        <v>1180</v>
      </c>
      <c r="C57" s="169">
        <v>1387</v>
      </c>
      <c r="D57" s="169"/>
      <c r="E57" s="445">
        <f>SUM(C57:D57)</f>
        <v>1387</v>
      </c>
      <c r="F57" s="852"/>
    </row>
    <row r="58" spans="1:7" x14ac:dyDescent="0.2">
      <c r="A58" s="782" t="s">
        <v>144</v>
      </c>
      <c r="B58" s="180" t="s">
        <v>1325</v>
      </c>
      <c r="C58" s="169"/>
      <c r="D58" s="169">
        <v>77</v>
      </c>
      <c r="E58" s="445">
        <f>SUM(C58:D58)</f>
        <v>77</v>
      </c>
      <c r="F58" s="852"/>
    </row>
    <row r="59" spans="1:7" ht="12" thickBot="1" x14ac:dyDescent="0.25">
      <c r="A59" s="782" t="s">
        <v>145</v>
      </c>
      <c r="B59" s="178" t="s">
        <v>19</v>
      </c>
      <c r="C59" s="1064">
        <f>SUM(C57:C58)</f>
        <v>1387</v>
      </c>
      <c r="D59" s="1064">
        <f t="shared" ref="D59:E59" si="7">SUM(D57:D58)</f>
        <v>77</v>
      </c>
      <c r="E59" s="1064">
        <f t="shared" si="7"/>
        <v>1464</v>
      </c>
      <c r="F59" s="852"/>
    </row>
    <row r="60" spans="1:7" ht="12" thickBot="1" x14ac:dyDescent="0.25">
      <c r="A60" s="782" t="s">
        <v>148</v>
      </c>
      <c r="B60" s="1147" t="s">
        <v>690</v>
      </c>
      <c r="C60" s="173">
        <f>SUM(C59)</f>
        <v>1387</v>
      </c>
      <c r="D60" s="173">
        <f>SUM(D59)</f>
        <v>77</v>
      </c>
      <c r="E60" s="448">
        <f>SUM(C60:D60)</f>
        <v>1464</v>
      </c>
      <c r="F60" s="852"/>
    </row>
    <row r="61" spans="1:7" x14ac:dyDescent="0.2">
      <c r="A61" s="782" t="s">
        <v>149</v>
      </c>
      <c r="B61" s="1147"/>
      <c r="C61" s="1146"/>
      <c r="D61" s="1146"/>
      <c r="E61" s="1145"/>
      <c r="F61" s="852"/>
    </row>
    <row r="62" spans="1:7" x14ac:dyDescent="0.2">
      <c r="A62" s="782" t="s">
        <v>150</v>
      </c>
      <c r="B62" s="853" t="s">
        <v>691</v>
      </c>
      <c r="C62" s="173"/>
      <c r="D62" s="173"/>
      <c r="E62" s="448"/>
      <c r="F62" s="852"/>
    </row>
    <row r="63" spans="1:7" x14ac:dyDescent="0.2">
      <c r="A63" s="782" t="s">
        <v>151</v>
      </c>
      <c r="B63" s="180" t="s">
        <v>171</v>
      </c>
      <c r="C63" s="169"/>
      <c r="D63" s="169">
        <v>5247</v>
      </c>
      <c r="E63" s="445">
        <f>SUM(C63:D63)</f>
        <v>5247</v>
      </c>
      <c r="F63" s="852"/>
    </row>
    <row r="64" spans="1:7" x14ac:dyDescent="0.2">
      <c r="A64" s="782" t="s">
        <v>152</v>
      </c>
      <c r="B64" s="180" t="s">
        <v>172</v>
      </c>
      <c r="C64" s="169"/>
      <c r="D64" s="169"/>
      <c r="E64" s="445"/>
      <c r="F64" s="852"/>
    </row>
    <row r="65" spans="1:7" ht="12" thickBot="1" x14ac:dyDescent="0.25">
      <c r="A65" s="782" t="s">
        <v>154</v>
      </c>
      <c r="B65" s="178" t="s">
        <v>19</v>
      </c>
      <c r="C65" s="173">
        <f>SUM(C63:C64)</f>
        <v>0</v>
      </c>
      <c r="D65" s="173">
        <f>SUM(D63:D64)</f>
        <v>5247</v>
      </c>
      <c r="E65" s="448">
        <f>SUM(E63:E64)</f>
        <v>5247</v>
      </c>
      <c r="F65" s="852"/>
    </row>
    <row r="66" spans="1:7" ht="12" thickBot="1" x14ac:dyDescent="0.25">
      <c r="A66" s="782" t="s">
        <v>157</v>
      </c>
      <c r="B66" s="507" t="s">
        <v>173</v>
      </c>
      <c r="C66" s="305">
        <f>C65</f>
        <v>0</v>
      </c>
      <c r="D66" s="305">
        <f>D65</f>
        <v>5247</v>
      </c>
      <c r="E66" s="929">
        <f>E65</f>
        <v>5247</v>
      </c>
      <c r="F66" s="852"/>
    </row>
    <row r="67" spans="1:7" x14ac:dyDescent="0.2">
      <c r="A67" s="782" t="s">
        <v>159</v>
      </c>
      <c r="B67" s="178"/>
      <c r="C67" s="173"/>
      <c r="D67" s="173"/>
      <c r="E67" s="1145"/>
      <c r="F67" s="852"/>
    </row>
    <row r="68" spans="1:7" x14ac:dyDescent="0.2">
      <c r="A68" s="782" t="s">
        <v>160</v>
      </c>
      <c r="B68" s="853" t="s">
        <v>1265</v>
      </c>
      <c r="C68" s="173"/>
      <c r="D68" s="173"/>
      <c r="E68" s="173"/>
      <c r="F68" s="599"/>
    </row>
    <row r="69" spans="1:7" ht="12" thickBot="1" x14ac:dyDescent="0.25">
      <c r="A69" s="782" t="s">
        <v>161</v>
      </c>
      <c r="B69" s="1142" t="s">
        <v>171</v>
      </c>
      <c r="C69" s="1064"/>
      <c r="D69" s="1143">
        <v>247</v>
      </c>
      <c r="E69" s="1143">
        <v>247</v>
      </c>
      <c r="F69" s="599"/>
    </row>
    <row r="70" spans="1:7" ht="12" thickBot="1" x14ac:dyDescent="0.25">
      <c r="A70" s="782" t="s">
        <v>1181</v>
      </c>
      <c r="B70" s="507" t="s">
        <v>19</v>
      </c>
      <c r="C70" s="305">
        <f>C69</f>
        <v>0</v>
      </c>
      <c r="D70" s="305">
        <f t="shared" ref="D70:E70" si="8">D69</f>
        <v>247</v>
      </c>
      <c r="E70" s="305">
        <f t="shared" si="8"/>
        <v>247</v>
      </c>
      <c r="F70" s="599"/>
    </row>
    <row r="71" spans="1:7" ht="12" thickBot="1" x14ac:dyDescent="0.25">
      <c r="A71" s="782" t="s">
        <v>1182</v>
      </c>
      <c r="B71" s="1142" t="s">
        <v>1266</v>
      </c>
      <c r="C71" s="305"/>
      <c r="D71" s="1149">
        <v>490</v>
      </c>
      <c r="E71" s="1149">
        <f>C71+D71</f>
        <v>490</v>
      </c>
      <c r="F71" s="599"/>
    </row>
    <row r="72" spans="1:7" ht="12" thickBot="1" x14ac:dyDescent="0.25">
      <c r="A72" s="782" t="s">
        <v>1183</v>
      </c>
      <c r="B72" s="507" t="s">
        <v>998</v>
      </c>
      <c r="C72" s="173">
        <f>C71</f>
        <v>0</v>
      </c>
      <c r="D72" s="173">
        <f t="shared" ref="D72:E72" si="9">D71</f>
        <v>490</v>
      </c>
      <c r="E72" s="173">
        <f t="shared" si="9"/>
        <v>490</v>
      </c>
      <c r="F72" s="599"/>
    </row>
    <row r="73" spans="1:7" ht="12" thickBot="1" x14ac:dyDescent="0.25">
      <c r="A73" s="782" t="s">
        <v>1218</v>
      </c>
      <c r="B73" s="507" t="s">
        <v>1267</v>
      </c>
      <c r="C73" s="305">
        <f>C70+C72</f>
        <v>0</v>
      </c>
      <c r="D73" s="305">
        <f t="shared" ref="D73:E73" si="10">D70+D72</f>
        <v>737</v>
      </c>
      <c r="E73" s="305">
        <f t="shared" si="10"/>
        <v>737</v>
      </c>
      <c r="F73" s="599"/>
    </row>
    <row r="74" spans="1:7" x14ac:dyDescent="0.2">
      <c r="A74" s="782" t="s">
        <v>1257</v>
      </c>
      <c r="B74" s="178"/>
      <c r="C74" s="169"/>
      <c r="D74" s="169"/>
      <c r="E74" s="1148"/>
      <c r="F74" s="852"/>
    </row>
    <row r="75" spans="1:7" x14ac:dyDescent="0.2">
      <c r="A75" s="782" t="s">
        <v>1258</v>
      </c>
      <c r="B75" s="853" t="s">
        <v>98</v>
      </c>
      <c r="C75" s="292"/>
      <c r="D75" s="292"/>
      <c r="E75" s="471"/>
      <c r="F75" s="852"/>
      <c r="G75" s="852"/>
    </row>
    <row r="76" spans="1:7" x14ac:dyDescent="0.2">
      <c r="A76" s="782" t="s">
        <v>1261</v>
      </c>
      <c r="B76" s="178" t="s">
        <v>17</v>
      </c>
      <c r="C76" s="292"/>
      <c r="D76" s="292"/>
      <c r="E76" s="471"/>
      <c r="F76" s="852"/>
    </row>
    <row r="77" spans="1:7" x14ac:dyDescent="0.2">
      <c r="A77" s="782" t="s">
        <v>1262</v>
      </c>
      <c r="B77" s="180" t="s">
        <v>97</v>
      </c>
      <c r="C77" s="292">
        <v>10570</v>
      </c>
      <c r="D77" s="292"/>
      <c r="E77" s="471">
        <f>SUM(C77:D77)</f>
        <v>10570</v>
      </c>
      <c r="F77" s="852"/>
    </row>
    <row r="78" spans="1:7" x14ac:dyDescent="0.2">
      <c r="A78" s="782" t="s">
        <v>1263</v>
      </c>
      <c r="B78" s="180" t="s">
        <v>307</v>
      </c>
      <c r="C78" s="292">
        <v>9719</v>
      </c>
      <c r="D78" s="292"/>
      <c r="E78" s="471">
        <f>SUM(C78:D78)</f>
        <v>9719</v>
      </c>
      <c r="F78" s="852"/>
    </row>
    <row r="79" spans="1:7" x14ac:dyDescent="0.2">
      <c r="A79" s="782" t="s">
        <v>1268</v>
      </c>
      <c r="B79" s="180" t="s">
        <v>308</v>
      </c>
      <c r="C79" s="292">
        <v>432</v>
      </c>
      <c r="D79" s="292"/>
      <c r="E79" s="471">
        <f>SUM(C79:D79)</f>
        <v>432</v>
      </c>
      <c r="F79" s="852"/>
    </row>
    <row r="80" spans="1:7" x14ac:dyDescent="0.2">
      <c r="A80" s="782" t="s">
        <v>1269</v>
      </c>
      <c r="B80" s="180" t="s">
        <v>172</v>
      </c>
      <c r="C80" s="292"/>
      <c r="D80" s="292"/>
      <c r="E80" s="471"/>
      <c r="F80" s="852"/>
    </row>
    <row r="81" spans="1:9" x14ac:dyDescent="0.2">
      <c r="A81" s="782" t="s">
        <v>1270</v>
      </c>
      <c r="B81" s="180" t="s">
        <v>171</v>
      </c>
      <c r="C81" s="292"/>
      <c r="D81" s="292">
        <v>5745</v>
      </c>
      <c r="E81" s="471">
        <f>SUM(C81:D81)</f>
        <v>5745</v>
      </c>
      <c r="F81" s="852"/>
    </row>
    <row r="82" spans="1:9" ht="12" thickBot="1" x14ac:dyDescent="0.25">
      <c r="A82" s="782" t="s">
        <v>1271</v>
      </c>
      <c r="B82" s="178" t="s">
        <v>19</v>
      </c>
      <c r="C82" s="360">
        <f>SUM(C77:C81)</f>
        <v>20721</v>
      </c>
      <c r="D82" s="360">
        <f>SUM(D77:D81)</f>
        <v>5745</v>
      </c>
      <c r="E82" s="446">
        <f>SUM(E77:E81)</f>
        <v>26466</v>
      </c>
      <c r="F82" s="852"/>
    </row>
    <row r="83" spans="1:9" ht="12" thickBot="1" x14ac:dyDescent="0.25">
      <c r="A83" s="782" t="s">
        <v>1272</v>
      </c>
      <c r="B83" s="1061" t="s">
        <v>99</v>
      </c>
      <c r="C83" s="937">
        <f>C82</f>
        <v>20721</v>
      </c>
      <c r="D83" s="937">
        <f>D82</f>
        <v>5745</v>
      </c>
      <c r="E83" s="938">
        <f>E82</f>
        <v>26466</v>
      </c>
      <c r="F83" s="852"/>
    </row>
    <row r="84" spans="1:9" s="9" customFormat="1" x14ac:dyDescent="0.2">
      <c r="A84" s="782" t="s">
        <v>1273</v>
      </c>
      <c r="B84" s="178"/>
      <c r="C84" s="360"/>
      <c r="D84" s="360"/>
      <c r="E84" s="446"/>
      <c r="F84" s="774"/>
    </row>
    <row r="85" spans="1:9" s="9" customFormat="1" x14ac:dyDescent="0.2">
      <c r="A85" s="782" t="s">
        <v>1274</v>
      </c>
      <c r="B85" s="178" t="s">
        <v>18</v>
      </c>
      <c r="C85" s="360">
        <f>C40+C65+C82+C59+C70</f>
        <v>39345</v>
      </c>
      <c r="D85" s="360">
        <f t="shared" ref="D85:E85" si="11">D40+D65+D82+D59+D70</f>
        <v>19044</v>
      </c>
      <c r="E85" s="360">
        <f t="shared" si="11"/>
        <v>58389</v>
      </c>
      <c r="F85" s="1150"/>
      <c r="G85" s="774"/>
    </row>
    <row r="86" spans="1:9" x14ac:dyDescent="0.2">
      <c r="A86" s="782" t="s">
        <v>1321</v>
      </c>
      <c r="B86" s="178" t="s">
        <v>100</v>
      </c>
      <c r="C86" s="173">
        <f>C52+C72</f>
        <v>1</v>
      </c>
      <c r="D86" s="173">
        <f>D52+D72</f>
        <v>117109</v>
      </c>
      <c r="E86" s="173">
        <f>E52+E72</f>
        <v>117110</v>
      </c>
      <c r="F86" s="599"/>
    </row>
    <row r="87" spans="1:9" ht="12" thickBot="1" x14ac:dyDescent="0.25">
      <c r="A87" s="782" t="s">
        <v>1322</v>
      </c>
      <c r="B87" s="183"/>
      <c r="E87" s="445"/>
      <c r="F87" s="852"/>
      <c r="G87" s="852"/>
    </row>
    <row r="88" spans="1:9" s="10" customFormat="1" ht="12" thickBot="1" x14ac:dyDescent="0.25">
      <c r="A88" s="782" t="s">
        <v>1324</v>
      </c>
      <c r="B88" s="507" t="s">
        <v>102</v>
      </c>
      <c r="C88" s="305">
        <f>C54+C83+C66+C60+C73</f>
        <v>787785</v>
      </c>
      <c r="D88" s="305">
        <f>D54+D83+D66+D60+D73</f>
        <v>240166</v>
      </c>
      <c r="E88" s="305">
        <f>E54+E83+E66+E60+E73</f>
        <v>1027951</v>
      </c>
      <c r="F88" s="1067"/>
      <c r="G88" s="291"/>
      <c r="H88" s="291"/>
    </row>
    <row r="89" spans="1:9" s="10" customFormat="1" x14ac:dyDescent="0.2">
      <c r="A89" s="164"/>
      <c r="B89" s="157"/>
      <c r="C89" s="158"/>
      <c r="D89" s="564"/>
      <c r="E89" s="564"/>
      <c r="I89" s="291"/>
    </row>
    <row r="90" spans="1:9" x14ac:dyDescent="0.2">
      <c r="B90" s="157"/>
    </row>
    <row r="91" spans="1:9" x14ac:dyDescent="0.2">
      <c r="B91" s="157"/>
      <c r="G91" s="852"/>
    </row>
    <row r="92" spans="1:9" x14ac:dyDescent="0.2">
      <c r="B92" s="183"/>
      <c r="G92" s="852"/>
    </row>
    <row r="93" spans="1:9" x14ac:dyDescent="0.2">
      <c r="B93" s="183"/>
    </row>
    <row r="95" spans="1:9" x14ac:dyDescent="0.2">
      <c r="B95" s="183"/>
    </row>
    <row r="96" spans="1:9" x14ac:dyDescent="0.2">
      <c r="B96" s="183"/>
    </row>
    <row r="97" spans="2:2" x14ac:dyDescent="0.2">
      <c r="B97" s="183"/>
    </row>
    <row r="98" spans="2:2" x14ac:dyDescent="0.2">
      <c r="B98" s="183"/>
    </row>
    <row r="99" spans="2:2" x14ac:dyDescent="0.2">
      <c r="B99" s="183"/>
    </row>
    <row r="100" spans="2:2" x14ac:dyDescent="0.2">
      <c r="B100" s="157"/>
    </row>
    <row r="101" spans="2:2" x14ac:dyDescent="0.2">
      <c r="B101" s="183"/>
    </row>
    <row r="102" spans="2:2" x14ac:dyDescent="0.2">
      <c r="B102" s="183"/>
    </row>
    <row r="103" spans="2:2" x14ac:dyDescent="0.2">
      <c r="B103" s="183"/>
    </row>
    <row r="104" spans="2:2" x14ac:dyDescent="0.2">
      <c r="B104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0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95" t="s">
        <v>301</v>
      </c>
      <c r="B1" s="1195"/>
      <c r="C1" s="1195"/>
      <c r="D1" s="1195"/>
      <c r="E1" s="1195"/>
      <c r="F1" s="1195"/>
      <c r="G1" s="1195"/>
      <c r="H1" s="1195"/>
      <c r="I1" s="1195"/>
    </row>
    <row r="2" spans="1:256" x14ac:dyDescent="0.2">
      <c r="F2" s="1205"/>
      <c r="G2" s="1205"/>
      <c r="H2" s="1205"/>
      <c r="I2" s="1205"/>
    </row>
    <row r="4" spans="1:256" ht="30" customHeight="1" x14ac:dyDescent="0.2">
      <c r="A4" s="1206" t="s">
        <v>78</v>
      </c>
      <c r="B4" s="1206"/>
      <c r="C4" s="1206"/>
      <c r="D4" s="1206"/>
      <c r="E4" s="1206"/>
      <c r="F4" s="1207"/>
      <c r="G4" s="1207"/>
      <c r="H4" s="1207"/>
      <c r="I4" s="1207"/>
    </row>
    <row r="5" spans="1:256" ht="33" customHeight="1" x14ac:dyDescent="0.2">
      <c r="A5" s="1206" t="s">
        <v>1090</v>
      </c>
      <c r="B5" s="1206"/>
      <c r="C5" s="1206"/>
      <c r="D5" s="1206"/>
      <c r="E5" s="1206"/>
      <c r="F5" s="1207"/>
      <c r="G5" s="1207"/>
      <c r="H5" s="1207"/>
      <c r="I5" s="1207"/>
    </row>
    <row r="7" spans="1:256" ht="13.5" thickBot="1" x14ac:dyDescent="0.25">
      <c r="E7" s="548" t="s">
        <v>20</v>
      </c>
      <c r="F7" s="943"/>
    </row>
    <row r="8" spans="1:256" ht="30.75" customHeight="1" thickBot="1" x14ac:dyDescent="0.25">
      <c r="A8" s="1198" t="s">
        <v>79</v>
      </c>
      <c r="B8" s="1200" t="s">
        <v>112</v>
      </c>
      <c r="C8" s="1201"/>
      <c r="D8" s="1201"/>
      <c r="E8" s="1201"/>
      <c r="F8" s="1202" t="s">
        <v>1044</v>
      </c>
      <c r="G8" s="1203"/>
      <c r="H8" s="1203"/>
      <c r="I8" s="1204"/>
    </row>
    <row r="9" spans="1:256" ht="36.75" thickBot="1" x14ac:dyDescent="0.25">
      <c r="A9" s="1199"/>
      <c r="B9" s="286" t="s">
        <v>80</v>
      </c>
      <c r="C9" s="192" t="s">
        <v>81</v>
      </c>
      <c r="D9" s="192" t="s">
        <v>705</v>
      </c>
      <c r="E9" s="287" t="s">
        <v>82</v>
      </c>
      <c r="F9" s="286" t="s">
        <v>80</v>
      </c>
      <c r="G9" s="192" t="s">
        <v>81</v>
      </c>
      <c r="H9" s="192" t="s">
        <v>705</v>
      </c>
      <c r="I9" s="287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60" t="s">
        <v>83</v>
      </c>
      <c r="B10" s="561"/>
      <c r="C10" s="561"/>
      <c r="D10" s="561"/>
      <c r="E10" s="561"/>
      <c r="F10" s="562"/>
      <c r="G10" s="562"/>
      <c r="H10" s="562"/>
      <c r="I10" s="562"/>
      <c r="J10" s="592"/>
    </row>
    <row r="11" spans="1:256" ht="12.75" x14ac:dyDescent="0.2">
      <c r="A11" s="555" t="s">
        <v>844</v>
      </c>
      <c r="B11" s="687"/>
      <c r="C11" s="687"/>
      <c r="D11" s="687"/>
      <c r="E11" s="687"/>
      <c r="F11" s="751"/>
      <c r="G11" s="751"/>
      <c r="H11" s="751"/>
      <c r="I11" s="751"/>
      <c r="J11" s="592"/>
    </row>
    <row r="12" spans="1:256" ht="36" x14ac:dyDescent="0.2">
      <c r="A12" s="684" t="s">
        <v>845</v>
      </c>
      <c r="B12" s="687">
        <v>4865</v>
      </c>
      <c r="C12" s="752">
        <v>18.690000000000001</v>
      </c>
      <c r="D12" s="687">
        <v>4580000</v>
      </c>
      <c r="E12" s="687">
        <f>C12*D12</f>
        <v>85600200</v>
      </c>
      <c r="F12" s="799" t="s">
        <v>1045</v>
      </c>
      <c r="G12" s="550">
        <v>18.32</v>
      </c>
      <c r="H12" s="550">
        <v>4580000</v>
      </c>
      <c r="I12" s="551">
        <f>G12*H12</f>
        <v>83905600</v>
      </c>
      <c r="J12" s="592"/>
    </row>
    <row r="13" spans="1:256" ht="12.75" x14ac:dyDescent="0.2">
      <c r="A13" s="555" t="s">
        <v>846</v>
      </c>
      <c r="B13" s="687"/>
      <c r="C13" s="687"/>
      <c r="D13" s="687"/>
      <c r="E13" s="687"/>
      <c r="F13" s="642"/>
      <c r="G13" s="692"/>
      <c r="H13" s="692"/>
      <c r="I13" s="642"/>
      <c r="J13" s="592"/>
    </row>
    <row r="14" spans="1:256" ht="12.75" x14ac:dyDescent="0.2">
      <c r="A14" s="684" t="s">
        <v>847</v>
      </c>
      <c r="B14" s="687"/>
      <c r="C14" s="696"/>
      <c r="D14" s="687" t="s">
        <v>302</v>
      </c>
      <c r="E14" s="687">
        <v>8328800</v>
      </c>
      <c r="F14" s="642"/>
      <c r="G14" s="692"/>
      <c r="H14" s="550" t="s">
        <v>302</v>
      </c>
      <c r="I14" s="551">
        <v>8329050</v>
      </c>
      <c r="J14" s="592"/>
    </row>
    <row r="15" spans="1:256" ht="12.75" x14ac:dyDescent="0.2">
      <c r="A15" s="684" t="s">
        <v>848</v>
      </c>
      <c r="B15" s="552"/>
      <c r="C15" s="553"/>
      <c r="D15" s="552"/>
      <c r="E15" s="552"/>
      <c r="F15" s="551"/>
      <c r="G15" s="550"/>
      <c r="H15" s="550"/>
      <c r="I15" s="551">
        <v>-8329050</v>
      </c>
      <c r="J15" s="592"/>
    </row>
    <row r="16" spans="1:256" ht="24" x14ac:dyDescent="0.2">
      <c r="A16" s="684" t="s">
        <v>849</v>
      </c>
      <c r="B16" s="552"/>
      <c r="C16" s="553"/>
      <c r="D16" s="552"/>
      <c r="E16" s="552"/>
      <c r="F16" s="551"/>
      <c r="G16" s="550"/>
      <c r="H16" s="550"/>
      <c r="I16" s="551">
        <f>I14+I15</f>
        <v>0</v>
      </c>
      <c r="J16" s="592"/>
    </row>
    <row r="17" spans="1:10" ht="12.75" x14ac:dyDescent="0.2">
      <c r="A17" s="555" t="s">
        <v>850</v>
      </c>
      <c r="B17" s="687"/>
      <c r="C17" s="687"/>
      <c r="D17" s="755" t="s">
        <v>303</v>
      </c>
      <c r="E17" s="687">
        <v>18272000</v>
      </c>
      <c r="F17" s="642"/>
      <c r="G17" s="692"/>
      <c r="H17" s="550" t="s">
        <v>304</v>
      </c>
      <c r="I17" s="551">
        <v>18304000</v>
      </c>
      <c r="J17" s="592"/>
    </row>
    <row r="18" spans="1:10" ht="12.75" x14ac:dyDescent="0.2">
      <c r="A18" s="555" t="s">
        <v>848</v>
      </c>
      <c r="B18" s="552"/>
      <c r="C18" s="552"/>
      <c r="D18" s="686"/>
      <c r="E18" s="552"/>
      <c r="F18" s="551"/>
      <c r="G18" s="550"/>
      <c r="H18" s="550"/>
      <c r="I18" s="551">
        <v>-18304000</v>
      </c>
      <c r="J18" s="592"/>
    </row>
    <row r="19" spans="1:10" ht="12.75" x14ac:dyDescent="0.2">
      <c r="A19" s="555" t="s">
        <v>851</v>
      </c>
      <c r="B19" s="552"/>
      <c r="C19" s="552"/>
      <c r="D19" s="686"/>
      <c r="E19" s="552"/>
      <c r="F19" s="551"/>
      <c r="G19" s="550"/>
      <c r="H19" s="550"/>
      <c r="I19" s="551">
        <f>I17+I18</f>
        <v>0</v>
      </c>
      <c r="J19" s="592"/>
    </row>
    <row r="20" spans="1:10" ht="12.75" x14ac:dyDescent="0.2">
      <c r="A20" s="555" t="s">
        <v>852</v>
      </c>
      <c r="B20" s="687"/>
      <c r="C20" s="687" t="s">
        <v>853</v>
      </c>
      <c r="D20" s="688" t="s">
        <v>706</v>
      </c>
      <c r="E20" s="687">
        <v>1355022</v>
      </c>
      <c r="F20" s="642"/>
      <c r="G20" s="687"/>
      <c r="H20" s="689" t="s">
        <v>706</v>
      </c>
      <c r="I20" s="551">
        <v>1355022</v>
      </c>
      <c r="J20" s="592"/>
    </row>
    <row r="21" spans="1:10" ht="12.75" x14ac:dyDescent="0.2">
      <c r="A21" s="555" t="s">
        <v>854</v>
      </c>
      <c r="B21" s="552"/>
      <c r="C21" s="552"/>
      <c r="D21" s="689"/>
      <c r="E21" s="552"/>
      <c r="F21" s="551"/>
      <c r="G21" s="552"/>
      <c r="H21" s="689"/>
      <c r="I21" s="551">
        <v>-1355022</v>
      </c>
      <c r="J21" s="592"/>
    </row>
    <row r="22" spans="1:10" ht="12.75" x14ac:dyDescent="0.2">
      <c r="A22" s="555" t="s">
        <v>855</v>
      </c>
      <c r="B22" s="552"/>
      <c r="C22" s="552"/>
      <c r="D22" s="689"/>
      <c r="E22" s="552"/>
      <c r="F22" s="551"/>
      <c r="G22" s="552"/>
      <c r="H22" s="689"/>
      <c r="I22" s="551">
        <f>I20+I21</f>
        <v>0</v>
      </c>
      <c r="J22" s="592"/>
    </row>
    <row r="23" spans="1:10" ht="12.75" x14ac:dyDescent="0.2">
      <c r="A23" s="555" t="s">
        <v>856</v>
      </c>
      <c r="B23" s="687"/>
      <c r="C23" s="696"/>
      <c r="D23" s="755" t="s">
        <v>707</v>
      </c>
      <c r="E23" s="687">
        <v>6369620</v>
      </c>
      <c r="F23" s="642"/>
      <c r="G23" s="692"/>
      <c r="H23" s="686" t="s">
        <v>707</v>
      </c>
      <c r="I23" s="551">
        <v>6369620</v>
      </c>
      <c r="J23" s="592"/>
    </row>
    <row r="24" spans="1:10" ht="12.75" x14ac:dyDescent="0.2">
      <c r="A24" s="555" t="s">
        <v>854</v>
      </c>
      <c r="B24" s="552"/>
      <c r="C24" s="553"/>
      <c r="D24" s="686"/>
      <c r="E24" s="552"/>
      <c r="F24" s="551"/>
      <c r="G24" s="550"/>
      <c r="H24" s="686"/>
      <c r="I24" s="551">
        <v>-6369620</v>
      </c>
      <c r="J24" s="592"/>
    </row>
    <row r="25" spans="1:10" ht="12.75" x14ac:dyDescent="0.2">
      <c r="A25" s="555" t="s">
        <v>857</v>
      </c>
      <c r="B25" s="552"/>
      <c r="C25" s="553"/>
      <c r="D25" s="686"/>
      <c r="E25" s="552"/>
      <c r="F25" s="551"/>
      <c r="G25" s="550"/>
      <c r="H25" s="686"/>
      <c r="I25" s="551">
        <f>I23+I24</f>
        <v>0</v>
      </c>
      <c r="J25" s="592"/>
    </row>
    <row r="26" spans="1:10" ht="12.75" x14ac:dyDescent="0.2">
      <c r="A26" s="555" t="s">
        <v>858</v>
      </c>
      <c r="B26" s="687">
        <v>4865</v>
      </c>
      <c r="C26" s="687"/>
      <c r="D26" s="687">
        <v>2700</v>
      </c>
      <c r="E26" s="687">
        <f>B26*D26</f>
        <v>13135500</v>
      </c>
      <c r="F26" s="551">
        <v>4705</v>
      </c>
      <c r="G26" s="692"/>
      <c r="H26" s="552">
        <v>2700</v>
      </c>
      <c r="I26" s="551">
        <f>F26*H26</f>
        <v>12703500</v>
      </c>
      <c r="J26" s="592"/>
    </row>
    <row r="27" spans="1:10" ht="12.75" x14ac:dyDescent="0.2">
      <c r="A27" s="555" t="s">
        <v>859</v>
      </c>
      <c r="B27" s="552"/>
      <c r="C27" s="552"/>
      <c r="D27" s="552"/>
      <c r="E27" s="552">
        <v>-13135500</v>
      </c>
      <c r="F27" s="551"/>
      <c r="G27" s="550"/>
      <c r="H27" s="550"/>
      <c r="I27" s="551">
        <v>-12703500</v>
      </c>
      <c r="J27" s="592"/>
    </row>
    <row r="28" spans="1:10" ht="12.75" x14ac:dyDescent="0.2">
      <c r="A28" s="555" t="s">
        <v>860</v>
      </c>
      <c r="B28" s="552"/>
      <c r="C28" s="552"/>
      <c r="D28" s="552"/>
      <c r="E28" s="552">
        <f>E26+E27</f>
        <v>0</v>
      </c>
      <c r="F28" s="551"/>
      <c r="G28" s="550"/>
      <c r="H28" s="550"/>
      <c r="I28" s="551">
        <f>I26+I27</f>
        <v>0</v>
      </c>
      <c r="J28" s="592"/>
    </row>
    <row r="29" spans="1:10" ht="12.75" x14ac:dyDescent="0.2">
      <c r="A29" s="555" t="s">
        <v>861</v>
      </c>
      <c r="B29" s="687">
        <v>10</v>
      </c>
      <c r="C29" s="687"/>
      <c r="D29" s="687" t="s">
        <v>305</v>
      </c>
      <c r="E29" s="690">
        <v>25500</v>
      </c>
      <c r="F29" s="944">
        <v>21</v>
      </c>
      <c r="G29" s="692"/>
      <c r="H29" s="552" t="s">
        <v>305</v>
      </c>
      <c r="I29" s="944">
        <v>53550</v>
      </c>
      <c r="J29" s="592"/>
    </row>
    <row r="30" spans="1:10" ht="12.75" x14ac:dyDescent="0.2">
      <c r="A30" s="555" t="s">
        <v>862</v>
      </c>
      <c r="B30" s="552"/>
      <c r="C30" s="552"/>
      <c r="D30" s="552"/>
      <c r="E30" s="552">
        <v>-25500</v>
      </c>
      <c r="F30" s="551"/>
      <c r="G30" s="550"/>
      <c r="H30" s="550"/>
      <c r="I30" s="944">
        <v>-53550</v>
      </c>
      <c r="J30" s="592"/>
    </row>
    <row r="31" spans="1:10" ht="12.75" x14ac:dyDescent="0.2">
      <c r="A31" s="555" t="s">
        <v>863</v>
      </c>
      <c r="B31" s="687"/>
      <c r="C31" s="687"/>
      <c r="D31" s="687"/>
      <c r="E31" s="690">
        <v>0</v>
      </c>
      <c r="F31" s="642"/>
      <c r="G31" s="692"/>
      <c r="H31" s="692"/>
      <c r="I31" s="944">
        <f>I29+I30</f>
        <v>0</v>
      </c>
      <c r="J31" s="592"/>
    </row>
    <row r="32" spans="1:10" ht="12.75" x14ac:dyDescent="0.2">
      <c r="A32" s="754" t="s">
        <v>970</v>
      </c>
      <c r="B32" s="687"/>
      <c r="C32" s="687">
        <v>487729000</v>
      </c>
      <c r="D32" s="696">
        <v>1.55</v>
      </c>
      <c r="E32" s="687">
        <f>C32*D32</f>
        <v>755979950</v>
      </c>
      <c r="F32" s="642"/>
      <c r="G32" s="551">
        <v>540752027</v>
      </c>
      <c r="H32" s="553">
        <v>1</v>
      </c>
      <c r="I32" s="551">
        <f>G32*H32</f>
        <v>540752027</v>
      </c>
      <c r="J32" s="592"/>
    </row>
    <row r="33" spans="1:18" ht="12.75" x14ac:dyDescent="0.2">
      <c r="A33" s="555" t="s">
        <v>859</v>
      </c>
      <c r="B33" s="552"/>
      <c r="C33" s="552"/>
      <c r="D33" s="556"/>
      <c r="E33" s="552">
        <v>-98054262</v>
      </c>
      <c r="F33" s="551"/>
      <c r="G33" s="550"/>
      <c r="H33" s="550"/>
      <c r="I33" s="944">
        <v>-76318159</v>
      </c>
      <c r="J33" s="592"/>
    </row>
    <row r="34" spans="1:18" ht="12.75" x14ac:dyDescent="0.2">
      <c r="A34" s="555" t="s">
        <v>865</v>
      </c>
      <c r="B34" s="687"/>
      <c r="C34" s="687"/>
      <c r="D34" s="701"/>
      <c r="E34" s="687">
        <f>E32+E33</f>
        <v>657925688</v>
      </c>
      <c r="F34" s="642"/>
      <c r="G34" s="692"/>
      <c r="H34" s="692"/>
      <c r="I34" s="944">
        <f>I32+I33</f>
        <v>464433868</v>
      </c>
      <c r="J34" s="592"/>
    </row>
    <row r="35" spans="1:18" ht="12.75" x14ac:dyDescent="0.2">
      <c r="A35" s="691" t="s">
        <v>1046</v>
      </c>
      <c r="B35" s="687"/>
      <c r="C35" s="687"/>
      <c r="D35" s="687"/>
      <c r="E35" s="687">
        <v>0</v>
      </c>
      <c r="F35" s="642"/>
      <c r="G35" s="692"/>
      <c r="H35" s="692"/>
      <c r="I35" s="551">
        <v>0</v>
      </c>
      <c r="J35" s="592"/>
      <c r="K35" s="945">
        <f>I12+I16+I19+I25+I28+I31+I34+I35</f>
        <v>548339468</v>
      </c>
      <c r="L35" s="6" t="s">
        <v>940</v>
      </c>
    </row>
    <row r="36" spans="1:18" ht="24" x14ac:dyDescent="0.2">
      <c r="A36" s="684" t="s">
        <v>1047</v>
      </c>
      <c r="B36" s="687"/>
      <c r="C36" s="687"/>
      <c r="D36" s="687"/>
      <c r="E36" s="687"/>
      <c r="F36" s="642"/>
      <c r="G36" s="692"/>
      <c r="H36" s="692"/>
      <c r="I36" s="551">
        <v>0</v>
      </c>
      <c r="J36" s="592"/>
      <c r="K36" s="693"/>
    </row>
    <row r="37" spans="1:18" ht="12.75" x14ac:dyDescent="0.2">
      <c r="A37" s="691"/>
      <c r="B37" s="687"/>
      <c r="C37" s="687"/>
      <c r="D37" s="687"/>
      <c r="E37" s="687"/>
      <c r="F37" s="642"/>
      <c r="G37" s="692"/>
      <c r="H37" s="692"/>
      <c r="I37" s="642"/>
      <c r="J37" s="592"/>
      <c r="K37" s="693"/>
    </row>
    <row r="38" spans="1:18" ht="12.75" x14ac:dyDescent="0.2">
      <c r="A38" s="694" t="s">
        <v>84</v>
      </c>
      <c r="B38" s="687"/>
      <c r="C38" s="687"/>
      <c r="D38" s="687"/>
      <c r="E38" s="687"/>
      <c r="F38" s="642"/>
      <c r="G38" s="692"/>
      <c r="H38" s="692"/>
      <c r="I38" s="642"/>
      <c r="J38" s="592"/>
    </row>
    <row r="39" spans="1:18" ht="24" x14ac:dyDescent="0.2">
      <c r="A39" s="684" t="s">
        <v>867</v>
      </c>
      <c r="B39" s="687"/>
      <c r="C39" s="687"/>
      <c r="D39" s="687"/>
      <c r="E39" s="687"/>
      <c r="F39" s="642"/>
      <c r="G39" s="692"/>
      <c r="H39" s="692"/>
      <c r="I39" s="642"/>
      <c r="J39" s="592"/>
    </row>
    <row r="40" spans="1:18" ht="12.75" x14ac:dyDescent="0.2">
      <c r="A40" s="684" t="s">
        <v>868</v>
      </c>
      <c r="B40" s="687"/>
      <c r="C40" s="696">
        <v>13.1</v>
      </c>
      <c r="D40" s="687">
        <v>4152000</v>
      </c>
      <c r="E40" s="687">
        <f>C40*D40*8/12</f>
        <v>36260800</v>
      </c>
      <c r="F40" s="946" t="s">
        <v>1091</v>
      </c>
      <c r="G40" s="947">
        <v>12.5</v>
      </c>
      <c r="H40" s="939">
        <v>4419000</v>
      </c>
      <c r="I40" s="944">
        <f>G40*8/12*4419000</f>
        <v>36825000</v>
      </c>
      <c r="J40" s="592"/>
    </row>
    <row r="41" spans="1:18" ht="12.75" x14ac:dyDescent="0.2">
      <c r="A41" s="684" t="s">
        <v>869</v>
      </c>
      <c r="B41" s="687"/>
      <c r="C41" s="696">
        <v>13.1</v>
      </c>
      <c r="D41" s="697">
        <v>4152000</v>
      </c>
      <c r="E41" s="687">
        <f>C41*D41*4/12</f>
        <v>18130400</v>
      </c>
      <c r="F41" s="946" t="s">
        <v>1091</v>
      </c>
      <c r="G41" s="948">
        <v>12.5</v>
      </c>
      <c r="H41" s="939">
        <v>4419000</v>
      </c>
      <c r="I41" s="944">
        <f>G41*4/12*H41</f>
        <v>18412500</v>
      </c>
      <c r="J41" s="592"/>
    </row>
    <row r="42" spans="1:18" ht="24" x14ac:dyDescent="0.2">
      <c r="A42" s="684" t="s">
        <v>870</v>
      </c>
      <c r="B42" s="687"/>
      <c r="C42" s="687">
        <v>10</v>
      </c>
      <c r="D42" s="687">
        <v>1800000</v>
      </c>
      <c r="E42" s="690">
        <f>C42*D42*8/12</f>
        <v>12000000</v>
      </c>
      <c r="F42" s="753"/>
      <c r="G42" s="695">
        <v>9</v>
      </c>
      <c r="H42" s="939">
        <v>2205000</v>
      </c>
      <c r="I42" s="551">
        <f>G42*H42*8/12</f>
        <v>13230000</v>
      </c>
      <c r="J42" s="592"/>
    </row>
    <row r="43" spans="1:18" ht="24" x14ac:dyDescent="0.2">
      <c r="A43" s="684" t="s">
        <v>971</v>
      </c>
      <c r="B43" s="687"/>
      <c r="C43" s="687"/>
      <c r="D43" s="687"/>
      <c r="E43" s="690"/>
      <c r="F43" s="642"/>
      <c r="G43" s="695">
        <v>0</v>
      </c>
      <c r="H43" s="939">
        <v>4419000</v>
      </c>
      <c r="I43" s="551">
        <f>G43*H43*8/12</f>
        <v>0</v>
      </c>
      <c r="J43" s="592"/>
    </row>
    <row r="44" spans="1:18" ht="24" x14ac:dyDescent="0.2">
      <c r="A44" s="684" t="s">
        <v>872</v>
      </c>
      <c r="B44" s="687"/>
      <c r="C44" s="687">
        <v>10</v>
      </c>
      <c r="D44" s="687">
        <v>1800000</v>
      </c>
      <c r="E44" s="687">
        <f>C44*D44*4/12</f>
        <v>6000000</v>
      </c>
      <c r="F44" s="642"/>
      <c r="G44" s="695">
        <v>9</v>
      </c>
      <c r="H44" s="939">
        <v>2205000</v>
      </c>
      <c r="I44" s="551">
        <f>G44*H44*4/12</f>
        <v>6615000</v>
      </c>
      <c r="J44" s="593"/>
    </row>
    <row r="45" spans="1:18" ht="39" x14ac:dyDescent="0.2">
      <c r="A45" s="684" t="s">
        <v>972</v>
      </c>
      <c r="B45" s="687"/>
      <c r="C45" s="687"/>
      <c r="D45" s="687"/>
      <c r="E45" s="687"/>
      <c r="F45" s="642"/>
      <c r="G45" s="695">
        <v>0</v>
      </c>
      <c r="H45" s="939">
        <v>4419000</v>
      </c>
      <c r="I45" s="551">
        <f>G45*H45*4/12</f>
        <v>0</v>
      </c>
      <c r="J45" s="593"/>
      <c r="K45" s="858" t="s">
        <v>941</v>
      </c>
      <c r="L45" s="693">
        <f>I12+I14+I17+I20+I23+I26+I29+I32</f>
        <v>671772369</v>
      </c>
      <c r="N45" s="859" t="s">
        <v>1092</v>
      </c>
      <c r="O45" s="693">
        <v>123432901</v>
      </c>
      <c r="P45" s="693">
        <f>I15+I18+I21+I24+I27+I30</f>
        <v>-47114742</v>
      </c>
      <c r="Q45" s="693">
        <f>O45+P45</f>
        <v>76318159</v>
      </c>
      <c r="R45" s="859" t="s">
        <v>942</v>
      </c>
    </row>
    <row r="46" spans="1:18" ht="12.75" x14ac:dyDescent="0.2">
      <c r="A46" s="555" t="s">
        <v>875</v>
      </c>
      <c r="B46" s="687"/>
      <c r="C46" s="687"/>
      <c r="D46" s="687"/>
      <c r="E46" s="687"/>
      <c r="F46" s="642"/>
      <c r="G46" s="692"/>
      <c r="H46" s="692"/>
      <c r="I46" s="642"/>
      <c r="J46" s="592"/>
    </row>
    <row r="47" spans="1:18" ht="24" x14ac:dyDescent="0.2">
      <c r="A47" s="684" t="s">
        <v>973</v>
      </c>
      <c r="B47" s="687"/>
      <c r="C47" s="687">
        <v>142</v>
      </c>
      <c r="D47" s="687">
        <v>70000</v>
      </c>
      <c r="E47" s="687">
        <f>C47*D47*8/12</f>
        <v>6626666.666666667</v>
      </c>
      <c r="F47" s="799"/>
      <c r="G47" s="944">
        <v>138</v>
      </c>
      <c r="H47" s="552">
        <v>81700</v>
      </c>
      <c r="I47" s="944">
        <f>G47*H47*8/12</f>
        <v>7516400</v>
      </c>
      <c r="J47" s="592"/>
    </row>
    <row r="48" spans="1:18" ht="24" x14ac:dyDescent="0.2">
      <c r="A48" s="684" t="s">
        <v>974</v>
      </c>
      <c r="B48" s="687"/>
      <c r="C48" s="687"/>
      <c r="D48" s="687"/>
      <c r="E48" s="687"/>
      <c r="F48" s="799"/>
      <c r="G48" s="551">
        <v>0</v>
      </c>
      <c r="H48" s="552">
        <v>80000</v>
      </c>
      <c r="I48" s="551">
        <v>0</v>
      </c>
      <c r="J48" s="592"/>
    </row>
    <row r="49" spans="1:12" ht="24" x14ac:dyDescent="0.2">
      <c r="A49" s="684" t="s">
        <v>924</v>
      </c>
      <c r="B49" s="687"/>
      <c r="C49" s="687">
        <v>142</v>
      </c>
      <c r="D49" s="687">
        <v>70000</v>
      </c>
      <c r="E49" s="687">
        <f>C49*D49*4/12</f>
        <v>3313333.3333333335</v>
      </c>
      <c r="F49" s="753"/>
      <c r="G49" s="551">
        <v>138</v>
      </c>
      <c r="H49" s="552">
        <v>81700</v>
      </c>
      <c r="I49" s="944">
        <f>G49*H49*4/12</f>
        <v>3758200</v>
      </c>
      <c r="J49" s="592"/>
    </row>
    <row r="50" spans="1:12" ht="24" x14ac:dyDescent="0.2">
      <c r="A50" s="684" t="s">
        <v>975</v>
      </c>
      <c r="B50" s="687"/>
      <c r="C50" s="687"/>
      <c r="D50" s="687"/>
      <c r="E50" s="687"/>
      <c r="F50" s="753"/>
      <c r="G50" s="551">
        <v>0</v>
      </c>
      <c r="H50" s="552">
        <v>80000</v>
      </c>
      <c r="I50" s="551">
        <v>0</v>
      </c>
      <c r="J50" s="592"/>
    </row>
    <row r="51" spans="1:12" ht="12.75" x14ac:dyDescent="0.2">
      <c r="A51" s="555" t="s">
        <v>925</v>
      </c>
      <c r="B51" s="687"/>
      <c r="C51" s="687"/>
      <c r="D51" s="687"/>
      <c r="E51" s="687"/>
      <c r="F51" s="642"/>
      <c r="G51" s="692"/>
      <c r="H51" s="692"/>
      <c r="I51" s="642"/>
      <c r="J51" s="592"/>
    </row>
    <row r="52" spans="1:12" ht="48" x14ac:dyDescent="0.2">
      <c r="A52" s="684" t="s">
        <v>1048</v>
      </c>
      <c r="B52" s="687"/>
      <c r="C52" s="687">
        <v>5</v>
      </c>
      <c r="D52" s="757" t="s">
        <v>306</v>
      </c>
      <c r="E52" s="687">
        <v>1760000</v>
      </c>
      <c r="F52" s="642"/>
      <c r="G52" s="949">
        <v>4</v>
      </c>
      <c r="H52" s="551">
        <v>401000</v>
      </c>
      <c r="I52" s="944">
        <f>G52*H52</f>
        <v>1604000</v>
      </c>
      <c r="J52" s="592"/>
    </row>
    <row r="53" spans="1:12" ht="48" x14ac:dyDescent="0.2">
      <c r="A53" s="684" t="s">
        <v>1049</v>
      </c>
      <c r="B53" s="687"/>
      <c r="C53" s="687"/>
      <c r="D53" s="687"/>
      <c r="E53" s="687"/>
      <c r="F53" s="642"/>
      <c r="G53" s="550">
        <v>0</v>
      </c>
      <c r="H53" s="551">
        <v>367583</v>
      </c>
      <c r="I53" s="551">
        <f>G53*H53</f>
        <v>0</v>
      </c>
      <c r="J53" s="592"/>
      <c r="K53" s="945">
        <f>SUM(I40:I53)</f>
        <v>87961100</v>
      </c>
      <c r="L53" s="6" t="s">
        <v>943</v>
      </c>
    </row>
    <row r="54" spans="1:12" ht="12.75" x14ac:dyDescent="0.2">
      <c r="A54" s="684"/>
      <c r="B54" s="687"/>
      <c r="C54" s="687"/>
      <c r="D54" s="687"/>
      <c r="E54" s="687"/>
      <c r="F54" s="642"/>
      <c r="G54" s="692"/>
      <c r="H54" s="692"/>
      <c r="I54" s="642"/>
      <c r="J54" s="592"/>
      <c r="K54" s="693"/>
    </row>
    <row r="55" spans="1:12" ht="12.75" x14ac:dyDescent="0.2">
      <c r="A55" s="694" t="s">
        <v>85</v>
      </c>
      <c r="B55" s="687"/>
      <c r="C55" s="687"/>
      <c r="D55" s="687"/>
      <c r="E55" s="687"/>
      <c r="F55" s="642"/>
      <c r="G55" s="692"/>
      <c r="H55" s="692"/>
      <c r="I55" s="642"/>
      <c r="J55" s="592"/>
    </row>
    <row r="56" spans="1:12" ht="12.75" x14ac:dyDescent="0.2">
      <c r="A56" s="691" t="s">
        <v>1050</v>
      </c>
      <c r="B56" s="687"/>
      <c r="C56" s="687"/>
      <c r="D56" s="687"/>
      <c r="E56" s="687">
        <v>0</v>
      </c>
      <c r="F56" s="642"/>
      <c r="G56" s="692"/>
      <c r="H56" s="692"/>
      <c r="I56" s="551">
        <v>0</v>
      </c>
      <c r="J56" s="594"/>
    </row>
    <row r="57" spans="1:12" ht="24" x14ac:dyDescent="0.2">
      <c r="A57" s="684" t="s">
        <v>885</v>
      </c>
      <c r="B57" s="687"/>
      <c r="C57" s="687"/>
      <c r="D57" s="687"/>
      <c r="E57" s="690">
        <v>0</v>
      </c>
      <c r="F57" s="642"/>
      <c r="G57" s="692"/>
      <c r="H57" s="692"/>
      <c r="I57" s="551">
        <v>0</v>
      </c>
      <c r="J57" s="592"/>
    </row>
    <row r="58" spans="1:12" ht="12.75" x14ac:dyDescent="0.2">
      <c r="A58" s="555" t="s">
        <v>886</v>
      </c>
      <c r="B58" s="687"/>
      <c r="C58" s="687"/>
      <c r="D58" s="687"/>
      <c r="E58" s="687"/>
      <c r="F58" s="642"/>
      <c r="G58" s="692"/>
      <c r="H58" s="692"/>
      <c r="I58" s="642"/>
      <c r="J58" s="592"/>
    </row>
    <row r="59" spans="1:12" ht="12.75" x14ac:dyDescent="0.2">
      <c r="A59" s="555" t="s">
        <v>887</v>
      </c>
      <c r="B59" s="687"/>
      <c r="C59" s="687"/>
      <c r="D59" s="687"/>
      <c r="E59" s="687"/>
      <c r="F59" s="642"/>
      <c r="G59" s="692"/>
      <c r="H59" s="692"/>
      <c r="I59" s="642"/>
      <c r="J59" s="592"/>
    </row>
    <row r="60" spans="1:12" ht="12.75" x14ac:dyDescent="0.2">
      <c r="A60" s="555" t="s">
        <v>888</v>
      </c>
      <c r="B60" s="687"/>
      <c r="C60" s="687"/>
      <c r="D60" s="687"/>
      <c r="E60" s="687"/>
      <c r="F60" s="642"/>
      <c r="G60" s="692"/>
      <c r="H60" s="692"/>
      <c r="I60" s="642"/>
      <c r="J60" s="592"/>
    </row>
    <row r="61" spans="1:12" ht="36" x14ac:dyDescent="0.2">
      <c r="A61" s="698" t="s">
        <v>1051</v>
      </c>
      <c r="B61" s="691"/>
      <c r="C61" s="700"/>
      <c r="D61" s="687"/>
      <c r="E61" s="687">
        <f>C61*D61/2</f>
        <v>0</v>
      </c>
      <c r="F61" s="552">
        <v>7822</v>
      </c>
      <c r="G61" s="701"/>
      <c r="H61" s="692"/>
      <c r="I61" s="642"/>
      <c r="J61" s="594"/>
    </row>
    <row r="62" spans="1:12" ht="24" x14ac:dyDescent="0.2">
      <c r="A62" s="684" t="s">
        <v>926</v>
      </c>
      <c r="B62" s="687"/>
      <c r="C62" s="691"/>
      <c r="D62" s="687"/>
      <c r="E62" s="687"/>
      <c r="F62" s="642"/>
      <c r="G62" s="557">
        <v>0</v>
      </c>
      <c r="H62" s="692"/>
      <c r="I62" s="642"/>
      <c r="J62" s="594"/>
    </row>
    <row r="63" spans="1:12" ht="12.75" x14ac:dyDescent="0.2">
      <c r="A63" s="555" t="s">
        <v>927</v>
      </c>
      <c r="B63" s="687"/>
      <c r="C63" s="691"/>
      <c r="D63" s="687"/>
      <c r="E63" s="687"/>
      <c r="F63" s="642"/>
      <c r="G63" s="556">
        <v>1</v>
      </c>
      <c r="H63" s="692"/>
      <c r="I63" s="642"/>
      <c r="J63" s="592"/>
    </row>
    <row r="64" spans="1:12" ht="12.75" x14ac:dyDescent="0.2">
      <c r="A64" s="555" t="s">
        <v>892</v>
      </c>
      <c r="B64" s="687"/>
      <c r="C64" s="702">
        <v>0.97299999999999998</v>
      </c>
      <c r="D64" s="687">
        <v>3000000</v>
      </c>
      <c r="E64" s="687"/>
      <c r="F64" s="642"/>
      <c r="G64" s="556">
        <v>2</v>
      </c>
      <c r="H64" s="552">
        <v>3000000</v>
      </c>
      <c r="I64" s="551">
        <f>(2*1+0)*3000000</f>
        <v>6000000</v>
      </c>
      <c r="J64" s="592"/>
    </row>
    <row r="65" spans="1:12" ht="12.75" x14ac:dyDescent="0.2">
      <c r="A65" s="555" t="s">
        <v>893</v>
      </c>
      <c r="B65" s="703"/>
      <c r="C65" s="687">
        <v>80</v>
      </c>
      <c r="D65" s="687">
        <v>55360</v>
      </c>
      <c r="E65" s="687">
        <f>C65*D65</f>
        <v>4428800</v>
      </c>
      <c r="F65" s="753"/>
      <c r="G65" s="552">
        <v>80</v>
      </c>
      <c r="H65" s="552">
        <v>55360</v>
      </c>
      <c r="I65" s="552">
        <f>G65*H65</f>
        <v>4428800</v>
      </c>
      <c r="J65" s="592"/>
    </row>
    <row r="66" spans="1:12" ht="12.75" x14ac:dyDescent="0.2">
      <c r="A66" s="555" t="s">
        <v>894</v>
      </c>
      <c r="B66" s="703"/>
      <c r="C66" s="687">
        <v>55</v>
      </c>
      <c r="D66" s="687">
        <v>145000</v>
      </c>
      <c r="E66" s="687">
        <f>C66*D66</f>
        <v>7975000</v>
      </c>
      <c r="F66" s="642"/>
      <c r="G66" s="687"/>
      <c r="H66" s="687"/>
      <c r="I66" s="687"/>
      <c r="J66" s="592"/>
    </row>
    <row r="67" spans="1:12" ht="12.75" x14ac:dyDescent="0.2">
      <c r="A67" s="555" t="s">
        <v>928</v>
      </c>
      <c r="B67" s="703"/>
      <c r="C67" s="687"/>
      <c r="D67" s="687"/>
      <c r="E67" s="687"/>
      <c r="F67" s="753"/>
      <c r="G67" s="950">
        <v>5</v>
      </c>
      <c r="H67" s="552">
        <v>25000</v>
      </c>
      <c r="I67" s="950">
        <f>G67*H67</f>
        <v>125000</v>
      </c>
      <c r="J67" s="592"/>
    </row>
    <row r="68" spans="1:12" ht="12.75" x14ac:dyDescent="0.2">
      <c r="A68" s="555" t="s">
        <v>929</v>
      </c>
      <c r="B68" s="703"/>
      <c r="C68" s="687"/>
      <c r="D68" s="687"/>
      <c r="E68" s="687"/>
      <c r="F68" s="753"/>
      <c r="G68" s="950">
        <v>49</v>
      </c>
      <c r="H68" s="552">
        <v>210000</v>
      </c>
      <c r="I68" s="950">
        <f>G68*H68</f>
        <v>10290000</v>
      </c>
      <c r="J68" s="592"/>
    </row>
    <row r="69" spans="1:12" ht="12.75" x14ac:dyDescent="0.2">
      <c r="A69" s="684" t="s">
        <v>930</v>
      </c>
      <c r="B69" s="758"/>
      <c r="C69" s="552">
        <v>23</v>
      </c>
      <c r="D69" s="552">
        <v>109000</v>
      </c>
      <c r="E69" s="552">
        <f>C69*D69</f>
        <v>2507000</v>
      </c>
      <c r="F69" s="551"/>
      <c r="G69" s="950">
        <v>25</v>
      </c>
      <c r="H69" s="552">
        <v>109000</v>
      </c>
      <c r="I69" s="950">
        <f>G69*H69</f>
        <v>2725000</v>
      </c>
      <c r="J69" s="592"/>
    </row>
    <row r="70" spans="1:12" ht="12.75" x14ac:dyDescent="0.2">
      <c r="A70" s="684" t="s">
        <v>896</v>
      </c>
      <c r="B70" s="758"/>
      <c r="C70" s="552"/>
      <c r="D70" s="552"/>
      <c r="E70" s="552"/>
      <c r="F70" s="551"/>
      <c r="G70" s="550"/>
      <c r="H70" s="550"/>
      <c r="I70" s="551"/>
      <c r="J70" s="592"/>
    </row>
    <row r="71" spans="1:12" ht="24" x14ac:dyDescent="0.2">
      <c r="A71" s="684" t="s">
        <v>1052</v>
      </c>
      <c r="B71" s="703"/>
      <c r="C71" s="687"/>
      <c r="D71" s="687"/>
      <c r="E71" s="687"/>
      <c r="F71" s="642"/>
      <c r="G71" s="692"/>
      <c r="H71" s="692"/>
      <c r="I71" s="642"/>
      <c r="J71" s="592"/>
    </row>
    <row r="72" spans="1:12" ht="24" x14ac:dyDescent="0.2">
      <c r="A72" s="698" t="s">
        <v>944</v>
      </c>
      <c r="B72" s="703"/>
      <c r="C72" s="687">
        <v>15</v>
      </c>
      <c r="D72" s="687">
        <v>2606040</v>
      </c>
      <c r="E72" s="687">
        <f>C72*D72</f>
        <v>39090600</v>
      </c>
      <c r="F72" s="753"/>
      <c r="G72" s="552">
        <v>15</v>
      </c>
      <c r="H72" s="552">
        <v>2606040</v>
      </c>
      <c r="I72" s="552">
        <f>G72*H72</f>
        <v>39090600</v>
      </c>
      <c r="J72" s="592"/>
    </row>
    <row r="73" spans="1:12" ht="36" x14ac:dyDescent="0.2">
      <c r="A73" s="555" t="s">
        <v>901</v>
      </c>
      <c r="B73" s="703"/>
      <c r="C73" s="687"/>
      <c r="D73" s="687"/>
      <c r="E73" s="690">
        <v>37834000</v>
      </c>
      <c r="F73" s="753" t="s">
        <v>1053</v>
      </c>
      <c r="G73" s="692"/>
      <c r="H73" s="692"/>
      <c r="I73" s="642">
        <v>30040000</v>
      </c>
      <c r="J73" s="596"/>
    </row>
    <row r="74" spans="1:12" ht="12.75" x14ac:dyDescent="0.2">
      <c r="A74" s="555" t="s">
        <v>1054</v>
      </c>
      <c r="B74" s="703"/>
      <c r="C74" s="687"/>
      <c r="D74" s="687"/>
      <c r="E74" s="687"/>
      <c r="F74" s="642"/>
      <c r="G74" s="692"/>
      <c r="H74" s="692"/>
      <c r="I74" s="642"/>
      <c r="J74" s="592"/>
    </row>
    <row r="75" spans="1:12" ht="12.75" x14ac:dyDescent="0.2">
      <c r="A75" s="555" t="s">
        <v>1055</v>
      </c>
      <c r="B75" s="687"/>
      <c r="C75" s="696">
        <v>12.33</v>
      </c>
      <c r="D75" s="687">
        <v>1632000</v>
      </c>
      <c r="E75" s="687">
        <f>C75*D75</f>
        <v>20122560</v>
      </c>
      <c r="F75" s="951" t="s">
        <v>1093</v>
      </c>
      <c r="G75" s="553">
        <v>14.4</v>
      </c>
      <c r="H75" s="940">
        <v>1900000</v>
      </c>
      <c r="I75" s="552">
        <f>G75*H75</f>
        <v>27360000</v>
      </c>
      <c r="J75" s="597"/>
    </row>
    <row r="76" spans="1:12" ht="36" x14ac:dyDescent="0.2">
      <c r="A76" s="555" t="s">
        <v>1056</v>
      </c>
      <c r="B76" s="687"/>
      <c r="C76" s="687"/>
      <c r="D76" s="687"/>
      <c r="E76" s="690">
        <v>7038795</v>
      </c>
      <c r="F76" s="753" t="s">
        <v>1053</v>
      </c>
      <c r="G76" s="692"/>
      <c r="H76" s="692"/>
      <c r="I76" s="642">
        <v>13278900</v>
      </c>
      <c r="J76" s="598"/>
    </row>
    <row r="77" spans="1:12" ht="24" x14ac:dyDescent="0.2">
      <c r="A77" s="684" t="s">
        <v>1057</v>
      </c>
      <c r="B77" s="687"/>
      <c r="C77" s="687"/>
      <c r="D77" s="687"/>
      <c r="E77" s="690"/>
      <c r="F77" s="753"/>
      <c r="G77" s="944">
        <v>0</v>
      </c>
      <c r="H77" s="551">
        <v>285</v>
      </c>
      <c r="I77" s="944">
        <f>G77*H77</f>
        <v>0</v>
      </c>
      <c r="J77" s="592"/>
    </row>
    <row r="78" spans="1:12" ht="12.75" x14ac:dyDescent="0.2">
      <c r="A78" s="684" t="s">
        <v>1058</v>
      </c>
      <c r="B78" s="687"/>
      <c r="C78" s="687"/>
      <c r="D78" s="687"/>
      <c r="E78" s="706"/>
      <c r="F78" s="753"/>
      <c r="G78" s="756"/>
      <c r="H78" s="551"/>
      <c r="I78" s="551"/>
      <c r="J78" s="592"/>
      <c r="K78" s="693">
        <f>SUM(I56:I82)</f>
        <v>147563700</v>
      </c>
      <c r="L78" s="6" t="s">
        <v>945</v>
      </c>
    </row>
    <row r="79" spans="1:12" ht="12.75" x14ac:dyDescent="0.2">
      <c r="A79" s="684" t="s">
        <v>1059</v>
      </c>
      <c r="B79" s="687"/>
      <c r="C79" s="687"/>
      <c r="D79" s="687"/>
      <c r="E79" s="706"/>
      <c r="F79" s="753"/>
      <c r="G79" s="756"/>
      <c r="H79" s="551"/>
      <c r="I79" s="551"/>
      <c r="J79" s="592"/>
      <c r="K79" s="693"/>
    </row>
    <row r="80" spans="1:12" ht="36" x14ac:dyDescent="0.2">
      <c r="A80" s="684" t="s">
        <v>1060</v>
      </c>
      <c r="B80" s="687"/>
      <c r="C80" s="687"/>
      <c r="D80" s="687"/>
      <c r="E80" s="706"/>
      <c r="F80" s="799" t="s">
        <v>1061</v>
      </c>
      <c r="G80" s="756">
        <v>1.8</v>
      </c>
      <c r="H80" s="551">
        <v>2993000</v>
      </c>
      <c r="I80" s="551">
        <f>G80*H80</f>
        <v>5387400</v>
      </c>
      <c r="J80" s="592"/>
      <c r="K80" s="693"/>
    </row>
    <row r="81" spans="1:14" ht="36" x14ac:dyDescent="0.2">
      <c r="A81" s="684" t="s">
        <v>1062</v>
      </c>
      <c r="B81" s="687"/>
      <c r="C81" s="687"/>
      <c r="D81" s="687"/>
      <c r="E81" s="706"/>
      <c r="F81" s="799" t="s">
        <v>1063</v>
      </c>
      <c r="G81" s="756">
        <v>2</v>
      </c>
      <c r="H81" s="551">
        <v>4419000</v>
      </c>
      <c r="I81" s="551">
        <f>G81*H81</f>
        <v>8838000</v>
      </c>
      <c r="J81" s="592"/>
      <c r="K81" s="693"/>
    </row>
    <row r="82" spans="1:14" ht="24" x14ac:dyDescent="0.2">
      <c r="A82" s="684" t="s">
        <v>1064</v>
      </c>
      <c r="B82" s="687"/>
      <c r="C82" s="687"/>
      <c r="D82" s="687"/>
      <c r="E82" s="706"/>
      <c r="F82" s="753"/>
      <c r="G82" s="756"/>
      <c r="H82" s="551">
        <v>0</v>
      </c>
      <c r="I82" s="551">
        <v>0</v>
      </c>
      <c r="J82" s="592"/>
      <c r="K82" s="693"/>
    </row>
    <row r="83" spans="1:14" ht="12.75" x14ac:dyDescent="0.2">
      <c r="A83" s="684"/>
      <c r="B83" s="687"/>
      <c r="C83" s="687"/>
      <c r="D83" s="687"/>
      <c r="E83" s="706"/>
      <c r="F83" s="753"/>
      <c r="G83" s="756"/>
      <c r="H83" s="551"/>
      <c r="I83" s="551"/>
      <c r="J83" s="592"/>
      <c r="K83" s="693"/>
    </row>
    <row r="84" spans="1:14" ht="12.75" x14ac:dyDescent="0.2">
      <c r="A84" s="555" t="s">
        <v>907</v>
      </c>
      <c r="B84" s="687"/>
      <c r="C84" s="687"/>
      <c r="D84" s="687"/>
      <c r="E84" s="706"/>
      <c r="F84" s="642"/>
      <c r="G84" s="692"/>
      <c r="H84" s="692"/>
      <c r="I84" s="642"/>
      <c r="J84" s="592"/>
    </row>
    <row r="85" spans="1:14" ht="12.75" x14ac:dyDescent="0.2">
      <c r="A85" s="555" t="s">
        <v>908</v>
      </c>
      <c r="B85" s="687"/>
      <c r="C85" s="687"/>
      <c r="D85" s="687"/>
      <c r="E85" s="706"/>
      <c r="F85" s="642"/>
      <c r="G85" s="692"/>
      <c r="H85" s="692"/>
      <c r="I85" s="642"/>
      <c r="J85" s="592"/>
    </row>
    <row r="86" spans="1:14" ht="12.75" x14ac:dyDescent="0.2">
      <c r="A86" s="555" t="s">
        <v>909</v>
      </c>
      <c r="B86" s="687"/>
      <c r="C86" s="687">
        <v>4865</v>
      </c>
      <c r="D86" s="687">
        <v>1140</v>
      </c>
      <c r="E86" s="707"/>
      <c r="F86" s="642"/>
      <c r="G86" s="552">
        <v>4705</v>
      </c>
      <c r="H86" s="940">
        <v>1210</v>
      </c>
      <c r="I86" s="289">
        <f>G86*H86</f>
        <v>5693050</v>
      </c>
      <c r="J86" s="592"/>
    </row>
    <row r="87" spans="1:14" ht="48" x14ac:dyDescent="0.2">
      <c r="A87" s="684" t="s">
        <v>910</v>
      </c>
      <c r="B87" s="687"/>
      <c r="C87" s="687"/>
      <c r="D87" s="687"/>
      <c r="E87" s="707"/>
      <c r="F87" s="799" t="s">
        <v>1065</v>
      </c>
      <c r="G87" s="687"/>
      <c r="H87" s="687"/>
      <c r="I87" s="289">
        <v>0</v>
      </c>
      <c r="J87" s="592"/>
    </row>
    <row r="88" spans="1:14" ht="48" x14ac:dyDescent="0.2">
      <c r="A88" s="684" t="s">
        <v>1066</v>
      </c>
      <c r="B88" s="687"/>
      <c r="C88" s="687"/>
      <c r="D88" s="687"/>
      <c r="E88" s="707"/>
      <c r="F88" s="799" t="s">
        <v>1067</v>
      </c>
      <c r="G88" s="687"/>
      <c r="H88" s="687"/>
      <c r="I88" s="289">
        <v>0</v>
      </c>
      <c r="J88" s="592"/>
    </row>
    <row r="89" spans="1:14" ht="12.75" x14ac:dyDescent="0.2">
      <c r="A89" s="698" t="s">
        <v>1068</v>
      </c>
      <c r="B89" s="703"/>
      <c r="C89" s="687"/>
      <c r="D89" s="701"/>
      <c r="E89" s="687"/>
      <c r="F89" s="642"/>
      <c r="G89" s="692"/>
      <c r="H89" s="692"/>
      <c r="I89" s="642"/>
      <c r="J89" s="592"/>
      <c r="K89" s="693">
        <f>SUM(I86+I87)</f>
        <v>5693050</v>
      </c>
      <c r="L89" s="6" t="s">
        <v>946</v>
      </c>
    </row>
    <row r="90" spans="1:14" ht="24" x14ac:dyDescent="0.2">
      <c r="A90" s="708" t="s">
        <v>1069</v>
      </c>
      <c r="B90" s="759"/>
      <c r="C90" s="760"/>
      <c r="D90" s="552"/>
      <c r="E90" s="552"/>
      <c r="F90" s="761"/>
      <c r="G90" s="550"/>
      <c r="H90" s="550"/>
      <c r="I90" s="642"/>
      <c r="J90" s="592"/>
      <c r="K90" s="693"/>
      <c r="L90" s="693">
        <f>I15+I18+I21+I24+I27+I30+I33</f>
        <v>-123432901</v>
      </c>
      <c r="M90" s="762" t="s">
        <v>947</v>
      </c>
      <c r="N90" s="288"/>
    </row>
    <row r="91" spans="1:14" ht="12.75" x14ac:dyDescent="0.2">
      <c r="A91" s="733" t="s">
        <v>1070</v>
      </c>
      <c r="B91" s="763"/>
      <c r="C91" s="764"/>
      <c r="D91" s="765"/>
      <c r="E91" s="765"/>
      <c r="F91" s="766"/>
      <c r="G91" s="767"/>
      <c r="H91" s="767"/>
      <c r="I91" s="768">
        <v>0</v>
      </c>
      <c r="J91" s="592"/>
      <c r="K91" s="693"/>
      <c r="L91" s="693"/>
      <c r="M91" s="762"/>
      <c r="N91" s="288"/>
    </row>
    <row r="92" spans="1:14" ht="12.75" x14ac:dyDescent="0.2">
      <c r="A92" s="733"/>
      <c r="B92" s="763"/>
      <c r="C92" s="764"/>
      <c r="D92" s="765"/>
      <c r="E92" s="765"/>
      <c r="F92" s="763"/>
      <c r="G92" s="767"/>
      <c r="H92" s="767"/>
      <c r="I92" s="714"/>
      <c r="J92" s="592"/>
      <c r="K92" s="693"/>
      <c r="L92" s="693"/>
      <c r="N92" s="288"/>
    </row>
    <row r="93" spans="1:14" ht="12.75" x14ac:dyDescent="0.2">
      <c r="A93" s="733" t="s">
        <v>931</v>
      </c>
      <c r="B93" s="763"/>
      <c r="C93" s="764"/>
      <c r="D93" s="765"/>
      <c r="E93" s="765"/>
      <c r="F93" s="763"/>
      <c r="G93" s="767"/>
      <c r="H93" s="767"/>
      <c r="I93" s="714"/>
      <c r="J93" s="592"/>
      <c r="K93" s="693"/>
      <c r="L93" s="693"/>
      <c r="N93" s="288"/>
    </row>
    <row r="94" spans="1:14" ht="12.75" x14ac:dyDescent="0.2">
      <c r="A94" s="733" t="s">
        <v>932</v>
      </c>
      <c r="B94" s="763"/>
      <c r="C94" s="764"/>
      <c r="D94" s="765"/>
      <c r="E94" s="765"/>
      <c r="F94" s="763"/>
      <c r="G94" s="767"/>
      <c r="H94" s="767"/>
      <c r="I94" s="768">
        <v>0</v>
      </c>
      <c r="J94" s="592"/>
      <c r="K94" s="693"/>
      <c r="L94" s="693"/>
      <c r="N94" s="288"/>
    </row>
    <row r="95" spans="1:14" ht="12.75" x14ac:dyDescent="0.2">
      <c r="A95" s="734" t="s">
        <v>933</v>
      </c>
      <c r="B95" s="763"/>
      <c r="C95" s="764"/>
      <c r="D95" s="765"/>
      <c r="E95" s="765"/>
      <c r="F95" s="763"/>
      <c r="G95" s="767"/>
      <c r="H95" s="767"/>
      <c r="I95" s="768">
        <v>0</v>
      </c>
      <c r="J95" s="592"/>
      <c r="K95" s="693">
        <f>I94+I95</f>
        <v>0</v>
      </c>
      <c r="L95" s="693" t="s">
        <v>948</v>
      </c>
      <c r="N95" s="288"/>
    </row>
    <row r="96" spans="1:14" ht="13.5" thickBot="1" x14ac:dyDescent="0.25">
      <c r="A96" s="710"/>
      <c r="B96" s="711"/>
      <c r="C96" s="712"/>
      <c r="D96" s="713"/>
      <c r="E96" s="712"/>
      <c r="F96" s="714"/>
      <c r="G96" s="715"/>
      <c r="H96" s="715"/>
      <c r="I96" s="714"/>
      <c r="J96" s="592"/>
    </row>
    <row r="97" spans="1:256" ht="12.75" thickBot="1" x14ac:dyDescent="0.25">
      <c r="A97" s="716" t="s">
        <v>912</v>
      </c>
      <c r="B97" s="717"/>
      <c r="C97" s="717"/>
      <c r="D97" s="718"/>
      <c r="E97" s="719" t="e">
        <f>E12+E14+E17+E20+E23+E28+E31+E34+E40+E41+#REF!+E42+E44+E47+E49+E52+E56+E57+E61+E62+E65+E66+E69+#REF!+E72+E73+E75+E76</f>
        <v>#REF!</v>
      </c>
      <c r="F97" s="1225">
        <f>I12+I16+I19+I22+I25+I28+I31+I34+I35+I36+I40+I41+I42+I43+I44+I45+I47+I48+I49+I50+I52+I53+I56+I57+I64+I65+I67+I68+I69+I72+I73+I75+I76+I77+I80+I81+I82+I86+I87+I88+I94+I95+I91</f>
        <v>789557318</v>
      </c>
      <c r="G97" s="1225"/>
      <c r="H97" s="1225"/>
      <c r="I97" s="1226"/>
      <c r="J97" s="7"/>
      <c r="K97" s="720">
        <f>K78+K53+K35+K89</f>
        <v>789557318</v>
      </c>
      <c r="L97" s="769" t="s">
        <v>949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70"/>
      <c r="B99" s="771"/>
      <c r="C99" s="771"/>
      <c r="D99" s="771"/>
      <c r="E99" s="772"/>
      <c r="F99" s="773"/>
      <c r="G99" s="773"/>
      <c r="H99" s="773"/>
      <c r="I99" s="773"/>
    </row>
    <row r="100" spans="1:256" ht="12.75" x14ac:dyDescent="0.2">
      <c r="A100" s="941" t="s">
        <v>1071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J46"/>
  <sheetViews>
    <sheetView workbookViewId="0">
      <pane ySplit="7" topLeftCell="A23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31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217" t="s">
        <v>1368</v>
      </c>
      <c r="D1" s="1217"/>
      <c r="E1" s="1217"/>
      <c r="F1" s="1217"/>
      <c r="G1" s="1217"/>
      <c r="H1" s="1217"/>
      <c r="I1" s="1217"/>
    </row>
    <row r="2" spans="2:10" ht="14.45" customHeight="1" x14ac:dyDescent="0.2">
      <c r="C2" s="1217"/>
      <c r="D2" s="1217"/>
      <c r="E2" s="1217"/>
      <c r="F2" s="1217"/>
      <c r="G2" s="1217"/>
      <c r="H2" s="1217"/>
      <c r="I2" s="1217"/>
    </row>
    <row r="3" spans="2:10" ht="14.45" customHeight="1" x14ac:dyDescent="0.2">
      <c r="B3" s="1221" t="s">
        <v>54</v>
      </c>
      <c r="C3" s="1213"/>
      <c r="D3" s="1213"/>
      <c r="E3" s="1213"/>
      <c r="F3" s="1213"/>
      <c r="G3" s="1213"/>
      <c r="H3" s="1213"/>
      <c r="I3" s="1213"/>
    </row>
    <row r="4" spans="2:10" s="11" customFormat="1" ht="14.45" customHeight="1" x14ac:dyDescent="0.2">
      <c r="B4" s="1227" t="s">
        <v>1081</v>
      </c>
      <c r="C4" s="1213"/>
      <c r="D4" s="1213"/>
      <c r="E4" s="1213"/>
      <c r="F4" s="1213"/>
      <c r="G4" s="1213"/>
      <c r="H4" s="1213"/>
      <c r="I4" s="1213"/>
    </row>
    <row r="5" spans="2:10" s="11" customFormat="1" ht="14.45" customHeight="1" x14ac:dyDescent="0.15">
      <c r="B5" s="183"/>
    </row>
    <row r="6" spans="2:10" ht="14.45" customHeight="1" x14ac:dyDescent="0.2">
      <c r="B6" s="1231" t="s">
        <v>448</v>
      </c>
      <c r="C6" s="1213"/>
      <c r="D6" s="1213"/>
      <c r="E6" s="1213"/>
      <c r="F6" s="1213"/>
      <c r="G6" s="1213"/>
      <c r="H6" s="1213"/>
      <c r="I6" s="1213"/>
    </row>
    <row r="7" spans="2:10" s="12" customFormat="1" ht="36.75" customHeight="1" x14ac:dyDescent="0.2">
      <c r="B7" s="1228" t="s">
        <v>56</v>
      </c>
      <c r="C7" s="1229" t="s">
        <v>86</v>
      </c>
      <c r="D7" s="1230" t="s">
        <v>1142</v>
      </c>
      <c r="E7" s="1230"/>
      <c r="F7" s="1230"/>
      <c r="G7" s="174"/>
    </row>
    <row r="8" spans="2:10" s="12" customFormat="1" ht="40.9" customHeight="1" x14ac:dyDescent="0.2">
      <c r="B8" s="1228"/>
      <c r="C8" s="1229"/>
      <c r="D8" s="154" t="s">
        <v>62</v>
      </c>
      <c r="E8" s="154" t="s">
        <v>63</v>
      </c>
      <c r="F8" s="154" t="s">
        <v>64</v>
      </c>
      <c r="G8" s="174"/>
      <c r="J8" s="543"/>
    </row>
    <row r="9" spans="2:10" s="12" customFormat="1" ht="10.5" customHeight="1" x14ac:dyDescent="0.2">
      <c r="B9" s="332" t="s">
        <v>493</v>
      </c>
      <c r="C9" s="202"/>
      <c r="D9" s="203"/>
      <c r="E9" s="203"/>
      <c r="F9" s="444"/>
      <c r="G9" s="174"/>
      <c r="J9" s="543"/>
    </row>
    <row r="10" spans="2:10" s="12" customFormat="1" ht="14.45" customHeight="1" x14ac:dyDescent="0.2">
      <c r="B10" s="332" t="s">
        <v>501</v>
      </c>
      <c r="C10" s="204" t="s">
        <v>87</v>
      </c>
      <c r="D10" s="203"/>
      <c r="E10" s="203"/>
      <c r="F10" s="444"/>
      <c r="G10" s="174"/>
      <c r="J10" s="543"/>
    </row>
    <row r="11" spans="2:10" s="12" customFormat="1" ht="14.45" customHeight="1" x14ac:dyDescent="0.2">
      <c r="B11" s="332" t="s">
        <v>502</v>
      </c>
      <c r="C11" s="205" t="s">
        <v>1223</v>
      </c>
      <c r="D11" s="203"/>
      <c r="E11" s="203"/>
      <c r="F11" s="444"/>
      <c r="G11" s="174"/>
      <c r="J11" s="543"/>
    </row>
    <row r="12" spans="2:10" s="12" customFormat="1" ht="14.45" customHeight="1" x14ac:dyDescent="0.2">
      <c r="B12" s="332" t="s">
        <v>503</v>
      </c>
      <c r="C12" s="206" t="s">
        <v>103</v>
      </c>
      <c r="D12" s="158">
        <v>1070</v>
      </c>
      <c r="E12" s="158">
        <v>212438</v>
      </c>
      <c r="F12" s="445">
        <f>SUM(D12:E12)</f>
        <v>213508</v>
      </c>
      <c r="G12" s="174"/>
      <c r="J12" s="543"/>
    </row>
    <row r="13" spans="2:10" s="12" customFormat="1" ht="14.45" customHeight="1" x14ac:dyDescent="0.2">
      <c r="B13" s="332" t="s">
        <v>504</v>
      </c>
      <c r="C13" s="206" t="s">
        <v>290</v>
      </c>
      <c r="D13" s="158"/>
      <c r="E13" s="158">
        <v>4136</v>
      </c>
      <c r="F13" s="445">
        <f>SUM(D13:E13)</f>
        <v>4136</v>
      </c>
      <c r="G13" s="174"/>
      <c r="J13" s="543"/>
    </row>
    <row r="14" spans="2:10" s="12" customFormat="1" ht="14.45" customHeight="1" x14ac:dyDescent="0.2">
      <c r="B14" s="332" t="s">
        <v>505</v>
      </c>
      <c r="C14" s="14" t="s">
        <v>104</v>
      </c>
      <c r="D14" s="158"/>
      <c r="E14" s="158">
        <v>0</v>
      </c>
      <c r="F14" s="445">
        <f>SUM(D14:E14)</f>
        <v>0</v>
      </c>
      <c r="G14" s="174"/>
      <c r="J14" s="543"/>
    </row>
    <row r="15" spans="2:10" s="12" customFormat="1" ht="14.45" customHeight="1" thickBot="1" x14ac:dyDescent="0.25">
      <c r="B15" s="332" t="s">
        <v>506</v>
      </c>
      <c r="C15" s="14" t="s">
        <v>105</v>
      </c>
      <c r="D15" s="158"/>
      <c r="E15" s="158"/>
      <c r="F15" s="445"/>
      <c r="G15" s="174"/>
      <c r="J15" s="543"/>
    </row>
    <row r="16" spans="2:10" s="12" customFormat="1" ht="14.45" customHeight="1" thickBot="1" x14ac:dyDescent="0.25">
      <c r="B16" s="1069" t="s">
        <v>507</v>
      </c>
      <c r="C16" s="454" t="s">
        <v>1227</v>
      </c>
      <c r="D16" s="305">
        <f>SUM(D12:D15)</f>
        <v>1070</v>
      </c>
      <c r="E16" s="305">
        <f>SUM(E12:E15)</f>
        <v>216574</v>
      </c>
      <c r="F16" s="929">
        <f>SUM(F12:F15)</f>
        <v>217644</v>
      </c>
      <c r="G16" s="174"/>
      <c r="J16" s="543"/>
    </row>
    <row r="17" spans="2:10" s="12" customFormat="1" ht="14.45" customHeight="1" x14ac:dyDescent="0.2">
      <c r="B17" s="332" t="s">
        <v>508</v>
      </c>
      <c r="C17" s="207"/>
      <c r="D17" s="182"/>
      <c r="E17" s="182"/>
      <c r="F17" s="448"/>
      <c r="G17" s="174"/>
      <c r="J17" s="543"/>
    </row>
    <row r="18" spans="2:10" s="12" customFormat="1" ht="14.45" customHeight="1" x14ac:dyDescent="0.2">
      <c r="B18" s="332" t="s">
        <v>549</v>
      </c>
      <c r="C18" s="542" t="s">
        <v>291</v>
      </c>
      <c r="D18" s="182"/>
      <c r="E18" s="182"/>
      <c r="F18" s="448"/>
      <c r="G18" s="174"/>
      <c r="J18" s="543"/>
    </row>
    <row r="19" spans="2:10" s="12" customFormat="1" ht="14.45" customHeight="1" thickBot="1" x14ac:dyDescent="0.25">
      <c r="B19" s="332" t="s">
        <v>550</v>
      </c>
      <c r="C19" s="14" t="s">
        <v>1275</v>
      </c>
      <c r="D19" s="182"/>
      <c r="E19" s="158">
        <v>60</v>
      </c>
      <c r="F19" s="445">
        <f>D19+E19</f>
        <v>60</v>
      </c>
      <c r="G19" s="174"/>
      <c r="J19" s="543"/>
    </row>
    <row r="20" spans="2:10" s="12" customFormat="1" ht="14.45" customHeight="1" thickBot="1" x14ac:dyDescent="0.25">
      <c r="B20" s="1069" t="s">
        <v>551</v>
      </c>
      <c r="C20" s="454" t="s">
        <v>292</v>
      </c>
      <c r="D20" s="305">
        <f>D19</f>
        <v>0</v>
      </c>
      <c r="E20" s="305">
        <f>E19</f>
        <v>60</v>
      </c>
      <c r="F20" s="929">
        <f>F19</f>
        <v>60</v>
      </c>
      <c r="G20" s="174"/>
      <c r="J20" s="543"/>
    </row>
    <row r="21" spans="2:10" s="12" customFormat="1" ht="14.45" customHeight="1" x14ac:dyDescent="0.2">
      <c r="B21" s="332" t="s">
        <v>552</v>
      </c>
      <c r="C21" s="207"/>
      <c r="D21" s="182"/>
      <c r="E21" s="182"/>
      <c r="F21" s="182"/>
      <c r="G21" s="174"/>
      <c r="J21" s="543"/>
    </row>
    <row r="22" spans="2:10" s="12" customFormat="1" ht="14.45" customHeight="1" x14ac:dyDescent="0.2">
      <c r="B22" s="332" t="s">
        <v>553</v>
      </c>
      <c r="C22" s="209" t="s">
        <v>1224</v>
      </c>
      <c r="D22" s="182"/>
      <c r="E22" s="182"/>
      <c r="F22" s="182"/>
      <c r="G22" s="174"/>
      <c r="J22" s="543"/>
    </row>
    <row r="23" spans="2:10" s="12" customFormat="1" ht="14.45" customHeight="1" thickBot="1" x14ac:dyDescent="0.25">
      <c r="B23" s="332" t="s">
        <v>554</v>
      </c>
      <c r="C23" s="14" t="s">
        <v>1219</v>
      </c>
      <c r="D23" s="158">
        <v>8750</v>
      </c>
      <c r="E23" s="158"/>
      <c r="F23" s="158">
        <f>D23+E23</f>
        <v>8750</v>
      </c>
      <c r="G23" s="174"/>
      <c r="J23" s="543"/>
    </row>
    <row r="24" spans="2:10" s="12" customFormat="1" ht="14.45" customHeight="1" thickBot="1" x14ac:dyDescent="0.25">
      <c r="B24" s="1069" t="s">
        <v>555</v>
      </c>
      <c r="C24" s="454" t="s">
        <v>1225</v>
      </c>
      <c r="D24" s="305">
        <f>SUM(D23)</f>
        <v>8750</v>
      </c>
      <c r="E24" s="305">
        <f t="shared" ref="E24:F24" si="0">SUM(E23)</f>
        <v>0</v>
      </c>
      <c r="F24" s="929">
        <f t="shared" si="0"/>
        <v>8750</v>
      </c>
      <c r="G24" s="174"/>
      <c r="J24" s="543"/>
    </row>
    <row r="25" spans="2:10" s="12" customFormat="1" ht="12" customHeight="1" x14ac:dyDescent="0.2">
      <c r="B25" s="332" t="s">
        <v>556</v>
      </c>
      <c r="C25" s="208"/>
      <c r="D25" s="203"/>
      <c r="E25" s="203"/>
      <c r="F25" s="444"/>
      <c r="G25" s="174"/>
      <c r="J25" s="543"/>
    </row>
    <row r="26" spans="2:10" s="11" customFormat="1" ht="14.45" customHeight="1" x14ac:dyDescent="0.2">
      <c r="B26" s="332" t="s">
        <v>558</v>
      </c>
      <c r="C26" s="547" t="s">
        <v>999</v>
      </c>
      <c r="D26" s="182"/>
      <c r="E26" s="182"/>
      <c r="F26" s="448"/>
      <c r="G26" s="183"/>
      <c r="J26" s="513"/>
    </row>
    <row r="27" spans="2:10" s="11" customFormat="1" ht="27" customHeight="1" thickBot="1" x14ac:dyDescent="0.25">
      <c r="B27" s="332" t="s">
        <v>559</v>
      </c>
      <c r="C27" s="1068" t="s">
        <v>1176</v>
      </c>
      <c r="D27" s="182"/>
      <c r="E27" s="158">
        <v>93253</v>
      </c>
      <c r="F27" s="445">
        <f>SUM(D27:E27)</f>
        <v>93253</v>
      </c>
      <c r="G27" s="183"/>
      <c r="J27" s="513"/>
    </row>
    <row r="28" spans="2:10" ht="14.45" customHeight="1" thickBot="1" x14ac:dyDescent="0.25">
      <c r="B28" s="1069" t="s">
        <v>560</v>
      </c>
      <c r="C28" s="454" t="s">
        <v>1220</v>
      </c>
      <c r="D28" s="305">
        <f>SUM(D27)</f>
        <v>0</v>
      </c>
      <c r="E28" s="305">
        <f t="shared" ref="E28:F28" si="1">SUM(E27)</f>
        <v>93253</v>
      </c>
      <c r="F28" s="929">
        <f t="shared" si="1"/>
        <v>93253</v>
      </c>
      <c r="G28" s="157"/>
      <c r="H28" s="10"/>
      <c r="I28" s="10"/>
      <c r="J28" s="190"/>
    </row>
    <row r="29" spans="2:10" ht="14.45" customHeight="1" x14ac:dyDescent="0.2">
      <c r="B29" s="332" t="s">
        <v>561</v>
      </c>
      <c r="C29" s="207"/>
      <c r="D29" s="182"/>
      <c r="E29" s="182"/>
      <c r="F29" s="448"/>
      <c r="G29" s="157"/>
      <c r="H29" s="10"/>
      <c r="I29" s="10"/>
      <c r="J29" s="190"/>
    </row>
    <row r="30" spans="2:10" ht="14.45" customHeight="1" x14ac:dyDescent="0.2">
      <c r="B30" s="332" t="s">
        <v>562</v>
      </c>
      <c r="C30" s="209" t="s">
        <v>174</v>
      </c>
      <c r="D30" s="182"/>
      <c r="E30" s="158"/>
      <c r="F30" s="445"/>
      <c r="G30" s="157"/>
      <c r="H30" s="10"/>
      <c r="I30" s="10"/>
      <c r="J30" s="190"/>
    </row>
    <row r="31" spans="2:10" ht="14.45" customHeight="1" thickBot="1" x14ac:dyDescent="0.25">
      <c r="B31" s="332" t="s">
        <v>563</v>
      </c>
      <c r="C31" s="14" t="s">
        <v>1276</v>
      </c>
      <c r="D31" s="182"/>
      <c r="E31" s="158">
        <v>2545</v>
      </c>
      <c r="F31" s="445">
        <f>D31+E31</f>
        <v>2545</v>
      </c>
      <c r="G31" s="157"/>
      <c r="H31" s="10"/>
      <c r="I31" s="10"/>
      <c r="J31" s="190"/>
    </row>
    <row r="32" spans="2:10" ht="14.45" customHeight="1" thickBot="1" x14ac:dyDescent="0.25">
      <c r="B32" s="1069" t="s">
        <v>564</v>
      </c>
      <c r="C32" s="454" t="s">
        <v>1221</v>
      </c>
      <c r="D32" s="305"/>
      <c r="E32" s="305">
        <f>SUM(E31)</f>
        <v>2545</v>
      </c>
      <c r="F32" s="929">
        <f>SUM(F31)</f>
        <v>2545</v>
      </c>
      <c r="G32" s="157"/>
      <c r="H32" s="10"/>
      <c r="I32" s="10"/>
      <c r="J32" s="190"/>
    </row>
    <row r="33" spans="2:10" ht="14.45" customHeight="1" x14ac:dyDescent="0.2">
      <c r="B33" s="332" t="s">
        <v>565</v>
      </c>
      <c r="C33" s="207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2" t="s">
        <v>585</v>
      </c>
      <c r="C34" s="209" t="s">
        <v>106</v>
      </c>
      <c r="D34" s="174"/>
      <c r="E34" s="174"/>
      <c r="F34" s="453"/>
      <c r="G34" s="174"/>
      <c r="J34" s="543"/>
    </row>
    <row r="35" spans="2:10" s="12" customFormat="1" ht="14.45" customHeight="1" thickBot="1" x14ac:dyDescent="0.25">
      <c r="B35" s="332" t="s">
        <v>586</v>
      </c>
      <c r="C35" s="14" t="s">
        <v>107</v>
      </c>
      <c r="D35" s="174"/>
      <c r="E35" s="158">
        <v>3576</v>
      </c>
      <c r="F35" s="445">
        <f>SUM(E35)</f>
        <v>3576</v>
      </c>
      <c r="G35" s="174"/>
      <c r="J35" s="543"/>
    </row>
    <row r="36" spans="2:10" s="12" customFormat="1" ht="14.45" customHeight="1" thickBot="1" x14ac:dyDescent="0.25">
      <c r="B36" s="1069" t="s">
        <v>587</v>
      </c>
      <c r="C36" s="454" t="s">
        <v>108</v>
      </c>
      <c r="D36" s="305">
        <f>SUM(D35:D35)</f>
        <v>0</v>
      </c>
      <c r="E36" s="305">
        <f>SUM(E35:E35)</f>
        <v>3576</v>
      </c>
      <c r="F36" s="929">
        <f>SUM(F35:F35)</f>
        <v>3576</v>
      </c>
      <c r="G36" s="203"/>
      <c r="J36" s="543"/>
    </row>
    <row r="37" spans="2:10" s="12" customFormat="1" ht="15.75" customHeight="1" thickBot="1" x14ac:dyDescent="0.25">
      <c r="B37" s="332" t="s">
        <v>588</v>
      </c>
      <c r="C37" s="207"/>
      <c r="D37" s="174"/>
      <c r="E37" s="174"/>
      <c r="F37" s="453"/>
      <c r="G37" s="174"/>
      <c r="J37" s="543"/>
    </row>
    <row r="38" spans="2:10" s="12" customFormat="1" ht="14.45" customHeight="1" thickBot="1" x14ac:dyDescent="0.25">
      <c r="B38" s="1069" t="s">
        <v>589</v>
      </c>
      <c r="C38" s="454" t="s">
        <v>109</v>
      </c>
      <c r="D38" s="305">
        <f>D16+D28+D32+D36+D24+D20</f>
        <v>9820</v>
      </c>
      <c r="E38" s="305">
        <f>E16+E28+E32+E36+E24+E20</f>
        <v>316008</v>
      </c>
      <c r="F38" s="929">
        <f t="shared" ref="F38:I38" si="2">F16+F28+F32+F36+F24+F20</f>
        <v>325828</v>
      </c>
      <c r="G38" s="305">
        <f t="shared" si="2"/>
        <v>0</v>
      </c>
      <c r="H38" s="305">
        <f t="shared" si="2"/>
        <v>0</v>
      </c>
      <c r="I38" s="305">
        <f t="shared" si="2"/>
        <v>0</v>
      </c>
      <c r="J38" s="543"/>
    </row>
    <row r="39" spans="2:10" s="12" customFormat="1" ht="14.45" customHeight="1" x14ac:dyDescent="0.2">
      <c r="B39" s="332" t="s">
        <v>590</v>
      </c>
      <c r="C39" s="781"/>
      <c r="D39" s="173"/>
      <c r="E39" s="173"/>
      <c r="F39" s="173"/>
      <c r="G39" s="173"/>
      <c r="H39" s="173"/>
      <c r="I39" s="173"/>
      <c r="J39" s="543"/>
    </row>
    <row r="40" spans="2:10" s="12" customFormat="1" ht="14.45" customHeight="1" x14ac:dyDescent="0.2">
      <c r="B40" s="332" t="s">
        <v>591</v>
      </c>
      <c r="C40" s="781" t="s">
        <v>1222</v>
      </c>
      <c r="D40" s="173"/>
      <c r="E40" s="173"/>
      <c r="F40" s="173"/>
      <c r="G40" s="173"/>
      <c r="H40" s="173"/>
      <c r="I40" s="173"/>
      <c r="J40" s="543"/>
    </row>
    <row r="41" spans="2:10" s="12" customFormat="1" ht="14.45" customHeight="1" x14ac:dyDescent="0.2">
      <c r="B41" s="332" t="s">
        <v>592</v>
      </c>
      <c r="C41" s="205" t="s">
        <v>1223</v>
      </c>
      <c r="D41" s="173"/>
      <c r="E41" s="173"/>
      <c r="F41" s="173"/>
      <c r="G41" s="173"/>
      <c r="H41" s="173"/>
      <c r="I41" s="173"/>
      <c r="J41" s="543"/>
    </row>
    <row r="42" spans="2:10" ht="14.45" customHeight="1" x14ac:dyDescent="0.2">
      <c r="B42" s="332" t="s">
        <v>593</v>
      </c>
      <c r="C42" s="210" t="s">
        <v>1226</v>
      </c>
      <c r="E42" s="157">
        <v>1417</v>
      </c>
      <c r="F42" s="157">
        <f>D42+E42</f>
        <v>1417</v>
      </c>
      <c r="J42" s="190"/>
    </row>
    <row r="43" spans="2:10" ht="14.45" customHeight="1" thickBot="1" x14ac:dyDescent="0.25">
      <c r="B43" s="332" t="s">
        <v>648</v>
      </c>
      <c r="C43" s="781" t="s">
        <v>1227</v>
      </c>
      <c r="D43" s="178">
        <f t="shared" ref="D43:F44" si="3">SUM(D42)</f>
        <v>0</v>
      </c>
      <c r="E43" s="178">
        <f t="shared" si="3"/>
        <v>1417</v>
      </c>
      <c r="F43" s="178">
        <f t="shared" si="3"/>
        <v>1417</v>
      </c>
      <c r="J43" s="190"/>
    </row>
    <row r="44" spans="2:10" ht="14.45" customHeight="1" thickBot="1" x14ac:dyDescent="0.25">
      <c r="B44" s="1069" t="s">
        <v>649</v>
      </c>
      <c r="C44" s="454" t="s">
        <v>1228</v>
      </c>
      <c r="D44" s="507">
        <f t="shared" si="3"/>
        <v>0</v>
      </c>
      <c r="E44" s="507">
        <f t="shared" si="3"/>
        <v>1417</v>
      </c>
      <c r="F44" s="1110">
        <f t="shared" si="3"/>
        <v>1417</v>
      </c>
      <c r="J44" s="190"/>
    </row>
    <row r="45" spans="2:10" ht="14.45" customHeight="1" thickBot="1" x14ac:dyDescent="0.25">
      <c r="B45" s="332" t="s">
        <v>650</v>
      </c>
      <c r="C45" s="210"/>
      <c r="J45" s="190"/>
    </row>
    <row r="46" spans="2:10" ht="14.45" customHeight="1" thickBot="1" x14ac:dyDescent="0.25">
      <c r="B46" s="1069" t="s">
        <v>651</v>
      </c>
      <c r="C46" s="454" t="s">
        <v>1034</v>
      </c>
      <c r="D46" s="305">
        <f>D38+D42</f>
        <v>9820</v>
      </c>
      <c r="E46" s="305">
        <f>E38+E42</f>
        <v>317425</v>
      </c>
      <c r="F46" s="929">
        <f>F38+F42</f>
        <v>327245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2019-02-28T07:20:10Z</cp:lastPrinted>
  <dcterms:created xsi:type="dcterms:W3CDTF">2013-12-16T15:47:29Z</dcterms:created>
  <dcterms:modified xsi:type="dcterms:W3CDTF">2019-02-28T07:21:10Z</dcterms:modified>
</cp:coreProperties>
</file>