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comments10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comments7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tabRatio="599" activeTab="1"/>
  </bookViews>
  <sheets>
    <sheet name="Tart." sheetId="51" r:id="rId1"/>
    <sheet name="1.mell. Mérleg" sheetId="17" r:id="rId2"/>
    <sheet name="2.mell. Mérleg" sheetId="18" r:id="rId3"/>
    <sheet name="3.mell. Bevétel" sheetId="9" r:id="rId4"/>
    <sheet name="3.a Támogatások" sheetId="43" r:id="rId5"/>
    <sheet name="3.b mell. Műk, felh. bevételek" sheetId="44" r:id="rId6"/>
    <sheet name="3.c. mell. Közhatalmi bevételek" sheetId="45" r:id="rId7"/>
    <sheet name="4.mell. Normatíva" sheetId="46" r:id="rId8"/>
    <sheet name="5. mell. Önk.össz kiadás" sheetId="8" r:id="rId9"/>
    <sheet name="5.a. mell. Jogalkotás" sheetId="1" r:id="rId10"/>
    <sheet name="5.b. mell. VF saját forrásból" sheetId="41" r:id="rId11"/>
    <sheet name="5.c. mell. VF Eu forrásból" sheetId="5" r:id="rId12"/>
    <sheet name="5.d. mell. Védőnő, EÜ" sheetId="6" r:id="rId13"/>
    <sheet name="5.e. mell. Szociális ellátások" sheetId="37" r:id="rId14"/>
    <sheet name="5.f. mell. Műk és felh. tám" sheetId="40" r:id="rId15"/>
    <sheet name="5.g. mell. Egyéb tev." sheetId="7" r:id="rId16"/>
    <sheet name="6. mell. Int.összesen" sheetId="15" r:id="rId17"/>
    <sheet name="6.a. mell. PH" sheetId="14" r:id="rId18"/>
    <sheet name="6.b. mell. Óvoda" sheetId="16" r:id="rId19"/>
    <sheet name="6.c. mell. BBKP" sheetId="12" r:id="rId20"/>
    <sheet name="7.mell. Beruházás" sheetId="53" r:id="rId21"/>
    <sheet name="8.mell. Felújítás" sheetId="52" r:id="rId22"/>
    <sheet name="9.mell. Létszámok" sheetId="21" r:id="rId23"/>
    <sheet name="10. mell. Több éves kihat" sheetId="29" r:id="rId24"/>
    <sheet name="11.sz Műk. tám részl." sheetId="65" r:id="rId25"/>
    <sheet name="12.sz Pénzeszk.vált" sheetId="54" r:id="rId26"/>
    <sheet name="13.sz Pénzmaradvány 2015" sheetId="55" r:id="rId27"/>
    <sheet name="14.sz Pénzm.feloszt." sheetId="56" r:id="rId28"/>
    <sheet name="15.sz Közvetett tám" sheetId="57" r:id="rId29"/>
    <sheet name="16.sz Egysz.mérleg" sheetId="58" r:id="rId30"/>
    <sheet name="17.sz Eredménykimutatás" sheetId="59" r:id="rId31"/>
    <sheet name="18.a Vagyonkimutatás 1" sheetId="60" r:id="rId32"/>
    <sheet name="18.b Vagyonkimutatás 2" sheetId="61" r:id="rId33"/>
    <sheet name="18.c Vagyonkimutatás 3" sheetId="62" r:id="rId34"/>
    <sheet name="19.sz Részesedések" sheetId="63" r:id="rId35"/>
    <sheet name="20.sz. MG Kft elszámolás" sheetId="66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kst" localSheetId="26">#REF!</definedName>
    <definedName name="kst" localSheetId="27">#REF!</definedName>
    <definedName name="kst" localSheetId="28">#REF!</definedName>
    <definedName name="kst" localSheetId="34">#REF!</definedName>
    <definedName name="kst" localSheetId="4">#REF!</definedName>
    <definedName name="kst" localSheetId="5">#REF!</definedName>
    <definedName name="kst" localSheetId="6">#REF!</definedName>
    <definedName name="kst">#REF!</definedName>
    <definedName name="mi">[1]kod!$BT$34:$BT$3184</definedName>
    <definedName name="nev" localSheetId="26">[2]kod!$CD$8:$CD$3150</definedName>
    <definedName name="nev" localSheetId="27">[2]kod!$CD$8:$CD$3150</definedName>
    <definedName name="nev" localSheetId="28">[2]kod!$CD$8:$CD$3150</definedName>
    <definedName name="nev">[3]kod!$CD$8:$CD$3150</definedName>
    <definedName name="_xlnm.Print_Titles" localSheetId="35">'20.sz. MG Kft elszámolás'!$A:$A</definedName>
    <definedName name="_xlnm.Print_Titles" localSheetId="7">'4.mell. Normatíva'!$A:$A</definedName>
    <definedName name="_xlnm.Print_Titles" localSheetId="8">'5. mell. Önk.össz kiadás'!$A:$C</definedName>
    <definedName name="_xlnm.Print_Titles" localSheetId="9">'5.a. mell. Jogalkotás'!$2:$4</definedName>
    <definedName name="_xlnm.Print_Titles" localSheetId="10">'5.b. mell. VF saját forrásból'!$1:$4</definedName>
    <definedName name="_xlnm.Print_Titles" localSheetId="11">'5.c. mell. VF Eu forrásból'!$1:$4</definedName>
    <definedName name="_xlnm.Print_Titles" localSheetId="12">'5.d. mell. Védőnő, EÜ'!$A:$C</definedName>
    <definedName name="_xlnm.Print_Titles" localSheetId="15">'5.g. mell. Egyéb tev.'!$A:$C</definedName>
    <definedName name="_xlnm.Print_Titles" localSheetId="16">'6. mell. Int.összesen'!#REF!</definedName>
    <definedName name="_xlnm.Print_Titles" localSheetId="17">'6.a. mell. PH'!$1:$4</definedName>
    <definedName name="_xlnm.Print_Titles" localSheetId="18">'6.b. mell. Óvoda'!$1:$4</definedName>
    <definedName name="_xlnm.Print_Titles" localSheetId="19">'6.c. mell. BBKP'!$1:$4</definedName>
    <definedName name="_xlnm.Print_Area" localSheetId="25">'12.sz Pénzeszk.vált'!$A$2:$G$12</definedName>
    <definedName name="_xlnm.Print_Area" localSheetId="26">'13.sz Pénzmaradvány 2015'!$A$1:$K$9</definedName>
    <definedName name="_xlnm.Print_Area" localSheetId="35">'20.sz. MG Kft elszámolás'!$A$1:$AE$25</definedName>
    <definedName name="onev" localSheetId="25">[1]kod!$BT$34:$BT$3184</definedName>
    <definedName name="onev" localSheetId="26">[4]kod!$BT$34:$BT$3184</definedName>
    <definedName name="onev" localSheetId="27">[4]kod!$BT$34:$BT$3184</definedName>
    <definedName name="onev" localSheetId="28">[4]kod!$BT$34:$BT$3184</definedName>
    <definedName name="onev" localSheetId="7">[5]kod!$BT$34:$BT$3184</definedName>
    <definedName name="onev">[6]kod!$BT$34:$BT$3184</definedName>
    <definedName name="w" localSheetId="25">#REF!</definedName>
    <definedName name="w" localSheetId="26">#REF!</definedName>
    <definedName name="w" localSheetId="27">#REF!</definedName>
    <definedName name="w" localSheetId="28">#REF!</definedName>
    <definedName name="w" localSheetId="29">#REF!</definedName>
    <definedName name="w" localSheetId="30">#REF!</definedName>
    <definedName name="w" localSheetId="31">#REF!</definedName>
    <definedName name="w" localSheetId="32">#REF!</definedName>
    <definedName name="w" localSheetId="33">#REF!</definedName>
    <definedName name="w" localSheetId="34">#REF!</definedName>
    <definedName name="w">#REF!</definedName>
  </definedNames>
  <calcPr calcId="124519"/>
</workbook>
</file>

<file path=xl/calcChain.xml><?xml version="1.0" encoding="utf-8"?>
<calcChain xmlns="http://schemas.openxmlformats.org/spreadsheetml/2006/main">
  <c r="B20" i="43"/>
  <c r="I19" i="18" l="1"/>
  <c r="H13"/>
  <c r="I13"/>
  <c r="G13"/>
  <c r="H16"/>
  <c r="I16"/>
  <c r="G16"/>
  <c r="E46" i="17" l="1"/>
  <c r="D46"/>
  <c r="D50"/>
  <c r="C50"/>
  <c r="D49"/>
  <c r="E49"/>
  <c r="E48" s="1"/>
  <c r="C49"/>
  <c r="C48" s="1"/>
  <c r="D48"/>
  <c r="D28"/>
  <c r="C28"/>
  <c r="D27"/>
  <c r="E27"/>
  <c r="E26" s="1"/>
  <c r="C27"/>
  <c r="L4" i="58"/>
  <c r="E48" i="44"/>
  <c r="E17" i="18"/>
  <c r="E16"/>
  <c r="E81" i="9"/>
  <c r="E93" i="7"/>
  <c r="F93"/>
  <c r="E94"/>
  <c r="F94"/>
  <c r="E95"/>
  <c r="F95"/>
  <c r="E96"/>
  <c r="F96"/>
  <c r="E97"/>
  <c r="F97"/>
  <c r="E98"/>
  <c r="F98"/>
  <c r="E99"/>
  <c r="F99"/>
  <c r="D94"/>
  <c r="D95"/>
  <c r="D96"/>
  <c r="D97"/>
  <c r="D98"/>
  <c r="D99"/>
  <c r="D93"/>
  <c r="AD100"/>
  <c r="E15" i="18" l="1"/>
  <c r="C26" i="17"/>
  <c r="D26"/>
  <c r="F6" i="55"/>
  <c r="F7"/>
  <c r="F8"/>
  <c r="AD25" i="66" l="1"/>
  <c r="Z25"/>
  <c r="Z24"/>
  <c r="AB24" s="1"/>
  <c r="AE24" s="1"/>
  <c r="Y24"/>
  <c r="W24"/>
  <c r="U24"/>
  <c r="S24"/>
  <c r="Q24"/>
  <c r="O24"/>
  <c r="M24"/>
  <c r="K24"/>
  <c r="I24"/>
  <c r="G24"/>
  <c r="E24"/>
  <c r="C24"/>
  <c r="AE23"/>
  <c r="AB23"/>
  <c r="Z23"/>
  <c r="Y23"/>
  <c r="W23"/>
  <c r="U23"/>
  <c r="S23"/>
  <c r="Q23"/>
  <c r="O23"/>
  <c r="M23"/>
  <c r="K23"/>
  <c r="I23"/>
  <c r="G23"/>
  <c r="E23"/>
  <c r="C23"/>
  <c r="AB22"/>
  <c r="AE22" s="1"/>
  <c r="Z22"/>
  <c r="Y22"/>
  <c r="W22"/>
  <c r="U22"/>
  <c r="S22"/>
  <c r="Q22"/>
  <c r="O22"/>
  <c r="M22"/>
  <c r="K22"/>
  <c r="I22"/>
  <c r="G22"/>
  <c r="E22"/>
  <c r="C22"/>
  <c r="Z21"/>
  <c r="AB21" s="1"/>
  <c r="AE21" s="1"/>
  <c r="Y21"/>
  <c r="W21"/>
  <c r="U21"/>
  <c r="S21"/>
  <c r="Q21"/>
  <c r="O21"/>
  <c r="M21"/>
  <c r="K21"/>
  <c r="I21"/>
  <c r="G21"/>
  <c r="E21"/>
  <c r="C21"/>
  <c r="Z20"/>
  <c r="AB20" s="1"/>
  <c r="AE20" s="1"/>
  <c r="Y20"/>
  <c r="W20"/>
  <c r="U20"/>
  <c r="S20"/>
  <c r="Q20"/>
  <c r="O20"/>
  <c r="M20"/>
  <c r="K20"/>
  <c r="I20"/>
  <c r="G20"/>
  <c r="E20"/>
  <c r="C20"/>
  <c r="AE19"/>
  <c r="AB19"/>
  <c r="Z19"/>
  <c r="Y19"/>
  <c r="W19"/>
  <c r="U19"/>
  <c r="S19"/>
  <c r="Q19"/>
  <c r="O19"/>
  <c r="M19"/>
  <c r="K19"/>
  <c r="I19"/>
  <c r="G19"/>
  <c r="E19"/>
  <c r="C19"/>
  <c r="AB18"/>
  <c r="AE18" s="1"/>
  <c r="Z18"/>
  <c r="Y18"/>
  <c r="W18"/>
  <c r="U18"/>
  <c r="U15" s="1"/>
  <c r="U13" s="1"/>
  <c r="S18"/>
  <c r="Q18"/>
  <c r="O18"/>
  <c r="M18"/>
  <c r="M15" s="1"/>
  <c r="M13" s="1"/>
  <c r="K18"/>
  <c r="I18"/>
  <c r="G18"/>
  <c r="E18"/>
  <c r="E15" s="1"/>
  <c r="E13" s="1"/>
  <c r="C18"/>
  <c r="Z17"/>
  <c r="AB17" s="1"/>
  <c r="AE17" s="1"/>
  <c r="Y17"/>
  <c r="W17"/>
  <c r="U17"/>
  <c r="S17"/>
  <c r="Q17"/>
  <c r="O17"/>
  <c r="M17"/>
  <c r="K17"/>
  <c r="I17"/>
  <c r="G17"/>
  <c r="E17"/>
  <c r="C17"/>
  <c r="Z16"/>
  <c r="AB16" s="1"/>
  <c r="AE16" s="1"/>
  <c r="Y16"/>
  <c r="Y15" s="1"/>
  <c r="W16"/>
  <c r="W15" s="1"/>
  <c r="U16"/>
  <c r="S16"/>
  <c r="Q16"/>
  <c r="Q15" s="1"/>
  <c r="O16"/>
  <c r="O15" s="1"/>
  <c r="M16"/>
  <c r="K16"/>
  <c r="I16"/>
  <c r="I15" s="1"/>
  <c r="G16"/>
  <c r="G15" s="1"/>
  <c r="E16"/>
  <c r="C16"/>
  <c r="AC15"/>
  <c r="AA15"/>
  <c r="AB15" s="1"/>
  <c r="AE15" s="1"/>
  <c r="Z15"/>
  <c r="S15"/>
  <c r="K15"/>
  <c r="C15"/>
  <c r="Z14"/>
  <c r="AB14" s="1"/>
  <c r="AE14" s="1"/>
  <c r="Y14"/>
  <c r="W14"/>
  <c r="W13" s="1"/>
  <c r="U14"/>
  <c r="S14"/>
  <c r="Q14"/>
  <c r="O14"/>
  <c r="O13" s="1"/>
  <c r="M14"/>
  <c r="K14"/>
  <c r="I14"/>
  <c r="G14"/>
  <c r="G13" s="1"/>
  <c r="E14"/>
  <c r="C14"/>
  <c r="AC13"/>
  <c r="AA13"/>
  <c r="AB13" s="1"/>
  <c r="AE13" s="1"/>
  <c r="Z13"/>
  <c r="S13"/>
  <c r="K13"/>
  <c r="C13"/>
  <c r="Z12"/>
  <c r="AB12" s="1"/>
  <c r="AE12" s="1"/>
  <c r="Y12"/>
  <c r="W12"/>
  <c r="U12"/>
  <c r="S12"/>
  <c r="Q12"/>
  <c r="O12"/>
  <c r="M12"/>
  <c r="K12"/>
  <c r="I12"/>
  <c r="G12"/>
  <c r="E12"/>
  <c r="C12"/>
  <c r="AE11"/>
  <c r="AB11"/>
  <c r="Z11"/>
  <c r="Y11"/>
  <c r="W11"/>
  <c r="U11"/>
  <c r="S11"/>
  <c r="Q11"/>
  <c r="O11"/>
  <c r="M11"/>
  <c r="K11"/>
  <c r="I11"/>
  <c r="G11"/>
  <c r="E11"/>
  <c r="C11"/>
  <c r="AB10"/>
  <c r="AE10" s="1"/>
  <c r="Z10"/>
  <c r="Y10"/>
  <c r="W10"/>
  <c r="U10"/>
  <c r="S10"/>
  <c r="Q10"/>
  <c r="O10"/>
  <c r="M10"/>
  <c r="K10"/>
  <c r="I10"/>
  <c r="G10"/>
  <c r="E10"/>
  <c r="C10"/>
  <c r="Z9"/>
  <c r="AB9" s="1"/>
  <c r="AE9" s="1"/>
  <c r="Y9"/>
  <c r="W9"/>
  <c r="U9"/>
  <c r="S9"/>
  <c r="Q9"/>
  <c r="O9"/>
  <c r="M9"/>
  <c r="K9"/>
  <c r="I9"/>
  <c r="G9"/>
  <c r="E9"/>
  <c r="C9"/>
  <c r="Z8"/>
  <c r="AB8" s="1"/>
  <c r="AE8" s="1"/>
  <c r="Y8"/>
  <c r="W8"/>
  <c r="U8"/>
  <c r="S8"/>
  <c r="Q8"/>
  <c r="O8"/>
  <c r="M8"/>
  <c r="K8"/>
  <c r="I8"/>
  <c r="G8"/>
  <c r="E8"/>
  <c r="C8"/>
  <c r="AE7"/>
  <c r="AB7"/>
  <c r="Z7"/>
  <c r="Y7"/>
  <c r="W7"/>
  <c r="U7"/>
  <c r="S7"/>
  <c r="Q7"/>
  <c r="O7"/>
  <c r="M7"/>
  <c r="K7"/>
  <c r="I7"/>
  <c r="G7"/>
  <c r="E7"/>
  <c r="C7"/>
  <c r="AB6"/>
  <c r="AE6" s="1"/>
  <c r="Z6"/>
  <c r="Y6"/>
  <c r="W6"/>
  <c r="U6"/>
  <c r="U3" s="1"/>
  <c r="U25" s="1"/>
  <c r="S6"/>
  <c r="Q6"/>
  <c r="O6"/>
  <c r="M6"/>
  <c r="M3" s="1"/>
  <c r="M25" s="1"/>
  <c r="K6"/>
  <c r="I6"/>
  <c r="G6"/>
  <c r="E6"/>
  <c r="E3" s="1"/>
  <c r="E25" s="1"/>
  <c r="C6"/>
  <c r="Z5"/>
  <c r="AB5" s="1"/>
  <c r="AE5" s="1"/>
  <c r="Y5"/>
  <c r="W5"/>
  <c r="U5"/>
  <c r="S5"/>
  <c r="S3" s="1"/>
  <c r="S25" s="1"/>
  <c r="Q5"/>
  <c r="O5"/>
  <c r="M5"/>
  <c r="K5"/>
  <c r="I5"/>
  <c r="G5"/>
  <c r="E5"/>
  <c r="C5"/>
  <c r="Z4"/>
  <c r="AB4" s="1"/>
  <c r="AE4" s="1"/>
  <c r="Y4"/>
  <c r="Y3" s="1"/>
  <c r="W4"/>
  <c r="W3" s="1"/>
  <c r="U4"/>
  <c r="S4"/>
  <c r="Q4"/>
  <c r="Q3" s="1"/>
  <c r="O4"/>
  <c r="O3" s="1"/>
  <c r="M4"/>
  <c r="K4"/>
  <c r="I4"/>
  <c r="I3" s="1"/>
  <c r="G4"/>
  <c r="G3" s="1"/>
  <c r="E4"/>
  <c r="C4"/>
  <c r="AC3"/>
  <c r="AC25" s="1"/>
  <c r="AA3"/>
  <c r="AB3" s="1"/>
  <c r="AE3" s="1"/>
  <c r="Z3"/>
  <c r="K3"/>
  <c r="K25" s="1"/>
  <c r="C3"/>
  <c r="C25" s="1"/>
  <c r="E39" i="65"/>
  <c r="F39"/>
  <c r="D39"/>
  <c r="F4"/>
  <c r="F12"/>
  <c r="I13" i="66" l="1"/>
  <c r="I25" s="1"/>
  <c r="Q13"/>
  <c r="Q25" s="1"/>
  <c r="Y13"/>
  <c r="Y25"/>
  <c r="G25"/>
  <c r="O25"/>
  <c r="W25"/>
  <c r="AA25"/>
  <c r="AB25" s="1"/>
  <c r="AE25" s="1"/>
  <c r="F38" i="65"/>
  <c r="F53" i="58" l="1"/>
  <c r="F52"/>
  <c r="F51"/>
  <c r="F50"/>
  <c r="F49"/>
  <c r="F48"/>
  <c r="F47"/>
  <c r="E46"/>
  <c r="E54" s="1"/>
  <c r="D46"/>
  <c r="C46"/>
  <c r="C54" s="1"/>
  <c r="F45"/>
  <c r="B44"/>
  <c r="F44" s="1"/>
  <c r="F43"/>
  <c r="F42"/>
  <c r="F41"/>
  <c r="F40"/>
  <c r="F46" s="1"/>
  <c r="F54" s="1"/>
  <c r="D54"/>
  <c r="B46" l="1"/>
  <c r="B54" s="1"/>
  <c r="E19" i="45" l="1"/>
  <c r="C21"/>
  <c r="D21"/>
  <c r="B21"/>
  <c r="E39" i="44"/>
  <c r="C43" i="43"/>
  <c r="D43"/>
  <c r="B43"/>
  <c r="E42"/>
  <c r="C42"/>
  <c r="D42"/>
  <c r="B42"/>
  <c r="C29"/>
  <c r="D29"/>
  <c r="B29"/>
  <c r="E17"/>
  <c r="E20"/>
  <c r="E26"/>
  <c r="E27"/>
  <c r="C27"/>
  <c r="D27"/>
  <c r="B27"/>
  <c r="C20"/>
  <c r="D20"/>
  <c r="D52" i="44"/>
  <c r="C52"/>
  <c r="B41"/>
  <c r="C39"/>
  <c r="C41" s="1"/>
  <c r="D39"/>
  <c r="D41" s="1"/>
  <c r="B39"/>
  <c r="E34"/>
  <c r="E35"/>
  <c r="E36"/>
  <c r="E37"/>
  <c r="E29"/>
  <c r="C31"/>
  <c r="D31"/>
  <c r="B31"/>
  <c r="C26"/>
  <c r="D26"/>
  <c r="E26" s="1"/>
  <c r="B26"/>
  <c r="C10" i="54"/>
  <c r="G12"/>
  <c r="D37" i="59"/>
  <c r="E37"/>
  <c r="F37"/>
  <c r="C37"/>
  <c r="D32"/>
  <c r="E32"/>
  <c r="F32"/>
  <c r="C32"/>
  <c r="D24"/>
  <c r="E24"/>
  <c r="F24"/>
  <c r="C24"/>
  <c r="D20"/>
  <c r="E20"/>
  <c r="F20"/>
  <c r="C20"/>
  <c r="D15"/>
  <c r="E15"/>
  <c r="F15"/>
  <c r="C15"/>
  <c r="D8"/>
  <c r="G8" s="1"/>
  <c r="H8" s="1"/>
  <c r="E8"/>
  <c r="F8"/>
  <c r="C8"/>
  <c r="K4" i="58"/>
  <c r="H50"/>
  <c r="I50"/>
  <c r="J50"/>
  <c r="G50"/>
  <c r="H32"/>
  <c r="K32" s="1"/>
  <c r="L32" s="1"/>
  <c r="I32"/>
  <c r="J32"/>
  <c r="G32"/>
  <c r="H28"/>
  <c r="K28" s="1"/>
  <c r="L28" s="1"/>
  <c r="I28"/>
  <c r="J28"/>
  <c r="G28"/>
  <c r="E57" i="53"/>
  <c r="D57"/>
  <c r="D34"/>
  <c r="E34"/>
  <c r="E15"/>
  <c r="E25"/>
  <c r="E31"/>
  <c r="E12" i="63"/>
  <c r="D12"/>
  <c r="D7"/>
  <c r="D17" i="62"/>
  <c r="D13"/>
  <c r="D8"/>
  <c r="D23" s="1"/>
  <c r="C15" i="61"/>
  <c r="C11"/>
  <c r="D63" i="60"/>
  <c r="C63"/>
  <c r="D59"/>
  <c r="C59"/>
  <c r="D53"/>
  <c r="C53"/>
  <c r="D44"/>
  <c r="C44"/>
  <c r="D39"/>
  <c r="C39"/>
  <c r="C32"/>
  <c r="C28"/>
  <c r="C23"/>
  <c r="D18"/>
  <c r="C18"/>
  <c r="C13"/>
  <c r="C8"/>
  <c r="G45" i="59"/>
  <c r="H45" s="1"/>
  <c r="G44"/>
  <c r="H44" s="1"/>
  <c r="G43"/>
  <c r="H43" s="1"/>
  <c r="G42"/>
  <c r="H42" s="1"/>
  <c r="G41"/>
  <c r="H41" s="1"/>
  <c r="G40"/>
  <c r="H40" s="1"/>
  <c r="G39"/>
  <c r="H39" s="1"/>
  <c r="G38"/>
  <c r="H38" s="1"/>
  <c r="G36"/>
  <c r="H36" s="1"/>
  <c r="G35"/>
  <c r="H35" s="1"/>
  <c r="G34"/>
  <c r="G33"/>
  <c r="H33" s="1"/>
  <c r="G31"/>
  <c r="G30"/>
  <c r="G29"/>
  <c r="H29" s="1"/>
  <c r="G28"/>
  <c r="G27"/>
  <c r="H27" s="1"/>
  <c r="G26"/>
  <c r="H26" s="1"/>
  <c r="G25"/>
  <c r="H25" s="1"/>
  <c r="G23"/>
  <c r="H23" s="1"/>
  <c r="G22"/>
  <c r="H22" s="1"/>
  <c r="G21"/>
  <c r="H21" s="1"/>
  <c r="G19"/>
  <c r="G18"/>
  <c r="G17"/>
  <c r="H17" s="1"/>
  <c r="G16"/>
  <c r="H16" s="1"/>
  <c r="G14"/>
  <c r="H14" s="1"/>
  <c r="G13"/>
  <c r="H13" s="1"/>
  <c r="G12"/>
  <c r="H12" s="1"/>
  <c r="G11"/>
  <c r="G10"/>
  <c r="G9"/>
  <c r="G7"/>
  <c r="H7" s="1"/>
  <c r="G6"/>
  <c r="H6" s="1"/>
  <c r="G5"/>
  <c r="H5" s="1"/>
  <c r="G4"/>
  <c r="H4" s="1"/>
  <c r="G3"/>
  <c r="H3" s="1"/>
  <c r="K53" i="58"/>
  <c r="K52"/>
  <c r="K51"/>
  <c r="K49"/>
  <c r="K48"/>
  <c r="L48" s="1"/>
  <c r="K47"/>
  <c r="K50" s="1"/>
  <c r="L50" s="1"/>
  <c r="J46"/>
  <c r="J54" s="1"/>
  <c r="I46"/>
  <c r="H46"/>
  <c r="H54" s="1"/>
  <c r="K45"/>
  <c r="K44"/>
  <c r="L44" s="1"/>
  <c r="K43"/>
  <c r="K42"/>
  <c r="L42" s="1"/>
  <c r="K41"/>
  <c r="K40"/>
  <c r="L40"/>
  <c r="K34"/>
  <c r="K33"/>
  <c r="L33" s="1"/>
  <c r="K31"/>
  <c r="L31" s="1"/>
  <c r="K30"/>
  <c r="L30" s="1"/>
  <c r="K29"/>
  <c r="L29" s="1"/>
  <c r="K27"/>
  <c r="L27" s="1"/>
  <c r="K26"/>
  <c r="K25"/>
  <c r="L25" s="1"/>
  <c r="K24"/>
  <c r="K23"/>
  <c r="K22"/>
  <c r="K21"/>
  <c r="K20"/>
  <c r="K18"/>
  <c r="K17"/>
  <c r="L17" s="1"/>
  <c r="K16"/>
  <c r="K15"/>
  <c r="K14"/>
  <c r="L14" s="1"/>
  <c r="J13"/>
  <c r="J19" s="1"/>
  <c r="I13"/>
  <c r="I19" s="1"/>
  <c r="H13"/>
  <c r="H19" s="1"/>
  <c r="H35" s="1"/>
  <c r="K12"/>
  <c r="L12" s="1"/>
  <c r="K11"/>
  <c r="L11"/>
  <c r="K10"/>
  <c r="K9"/>
  <c r="L9" s="1"/>
  <c r="K8"/>
  <c r="L8"/>
  <c r="K7"/>
  <c r="L7" s="1"/>
  <c r="K6"/>
  <c r="K5"/>
  <c r="L5" s="1"/>
  <c r="D31" i="57"/>
  <c r="L13" i="56"/>
  <c r="K13"/>
  <c r="J13"/>
  <c r="I13"/>
  <c r="H13"/>
  <c r="G13"/>
  <c r="E13"/>
  <c r="D13"/>
  <c r="C13"/>
  <c r="F13"/>
  <c r="I9" i="55"/>
  <c r="G9"/>
  <c r="E9"/>
  <c r="H8"/>
  <c r="J8" s="1"/>
  <c r="K8" s="1"/>
  <c r="H7"/>
  <c r="J7" s="1"/>
  <c r="K7" s="1"/>
  <c r="H6"/>
  <c r="J6" s="1"/>
  <c r="K6" s="1"/>
  <c r="C9"/>
  <c r="F5"/>
  <c r="D3" i="54"/>
  <c r="E3"/>
  <c r="E10" s="1"/>
  <c r="F3"/>
  <c r="G4"/>
  <c r="G5"/>
  <c r="G6"/>
  <c r="G7"/>
  <c r="G8"/>
  <c r="G9"/>
  <c r="D10"/>
  <c r="F10"/>
  <c r="G11"/>
  <c r="N37" i="15"/>
  <c r="O37"/>
  <c r="H67" i="12"/>
  <c r="H78"/>
  <c r="D9" i="55" l="1"/>
  <c r="G3" i="54"/>
  <c r="C18" i="61"/>
  <c r="G10" i="54"/>
  <c r="C3"/>
  <c r="F9" i="55"/>
  <c r="J35" i="58"/>
  <c r="L43"/>
  <c r="L47"/>
  <c r="L49"/>
  <c r="D50" i="60"/>
  <c r="D68" s="1"/>
  <c r="G32" i="59"/>
  <c r="H32" s="1"/>
  <c r="G37"/>
  <c r="H37" s="1"/>
  <c r="C7" i="60"/>
  <c r="C50" s="1"/>
  <c r="C68" s="1"/>
  <c r="G15" i="59"/>
  <c r="H15" s="1"/>
  <c r="G20"/>
  <c r="H20" s="1"/>
  <c r="G24"/>
  <c r="H24" s="1"/>
  <c r="L51" i="58"/>
  <c r="I54"/>
  <c r="I35"/>
  <c r="K46"/>
  <c r="L46" s="1"/>
  <c r="G13"/>
  <c r="G19" s="1"/>
  <c r="G35" s="1"/>
  <c r="K13"/>
  <c r="L13" s="1"/>
  <c r="G46"/>
  <c r="G54" s="1"/>
  <c r="L14" i="56"/>
  <c r="H5" i="55"/>
  <c r="K54" i="58" l="1"/>
  <c r="L54" s="1"/>
  <c r="K19"/>
  <c r="H9" i="55"/>
  <c r="J5"/>
  <c r="L19" i="58" l="1"/>
  <c r="K35"/>
  <c r="L35" s="1"/>
  <c r="J9" i="55"/>
  <c r="K5"/>
  <c r="K9" s="1"/>
  <c r="D63" i="14" l="1"/>
  <c r="E63"/>
  <c r="F63"/>
  <c r="I61"/>
  <c r="H61"/>
  <c r="H5"/>
  <c r="H18" s="1"/>
  <c r="I5"/>
  <c r="D36" i="46"/>
  <c r="C36"/>
  <c r="D71" i="7"/>
  <c r="E71"/>
  <c r="F71"/>
  <c r="D72"/>
  <c r="E72"/>
  <c r="F72"/>
  <c r="D73"/>
  <c r="E73"/>
  <c r="F73"/>
  <c r="D74"/>
  <c r="E74"/>
  <c r="F74"/>
  <c r="D75"/>
  <c r="E75"/>
  <c r="F75"/>
  <c r="D76"/>
  <c r="E76"/>
  <c r="F76"/>
  <c r="D77"/>
  <c r="E77"/>
  <c r="F77"/>
  <c r="E70"/>
  <c r="F70"/>
  <c r="D70"/>
  <c r="E33" i="41"/>
  <c r="E11"/>
  <c r="F11"/>
  <c r="E12"/>
  <c r="F12"/>
  <c r="E13"/>
  <c r="E15"/>
  <c r="E16"/>
  <c r="E18"/>
  <c r="E19"/>
  <c r="E20"/>
  <c r="E21"/>
  <c r="E22"/>
  <c r="E23"/>
  <c r="E24"/>
  <c r="E26"/>
  <c r="E27"/>
  <c r="E29"/>
  <c r="E30"/>
  <c r="E31"/>
  <c r="E32"/>
  <c r="D12"/>
  <c r="D13"/>
  <c r="D15"/>
  <c r="D16"/>
  <c r="D18"/>
  <c r="D19"/>
  <c r="D20"/>
  <c r="D21"/>
  <c r="D22"/>
  <c r="D23"/>
  <c r="D24"/>
  <c r="D26"/>
  <c r="D27"/>
  <c r="D29"/>
  <c r="D30"/>
  <c r="D31"/>
  <c r="D32"/>
  <c r="D33"/>
  <c r="D11"/>
  <c r="H30" i="7"/>
  <c r="Q52" i="41"/>
  <c r="Q27" i="40"/>
  <c r="P27"/>
  <c r="O27"/>
  <c r="D41"/>
  <c r="I41"/>
  <c r="J41"/>
  <c r="K41"/>
  <c r="L41"/>
  <c r="M41"/>
  <c r="Q10"/>
  <c r="Q11"/>
  <c r="Q12"/>
  <c r="Q13"/>
  <c r="Q14"/>
  <c r="Q15"/>
  <c r="Q16"/>
  <c r="Q17"/>
  <c r="AC63" i="7"/>
  <c r="E63" s="1"/>
  <c r="AC65"/>
  <c r="E9" i="40"/>
  <c r="R78" i="7"/>
  <c r="Z18"/>
  <c r="Z26"/>
  <c r="Z15"/>
  <c r="AA15"/>
  <c r="Y15"/>
  <c r="F58"/>
  <c r="F59"/>
  <c r="F60"/>
  <c r="E59"/>
  <c r="E60"/>
  <c r="E61"/>
  <c r="E62"/>
  <c r="E58"/>
  <c r="E13"/>
  <c r="E14"/>
  <c r="E16"/>
  <c r="E17"/>
  <c r="E19"/>
  <c r="E20"/>
  <c r="E21"/>
  <c r="E22"/>
  <c r="E23"/>
  <c r="E24"/>
  <c r="E25"/>
  <c r="E27"/>
  <c r="E28"/>
  <c r="E30"/>
  <c r="E32"/>
  <c r="E33"/>
  <c r="E34"/>
  <c r="E12"/>
  <c r="E10"/>
  <c r="AA8"/>
  <c r="Z8"/>
  <c r="L9" i="6"/>
  <c r="K9"/>
  <c r="I9"/>
  <c r="H9"/>
  <c r="I5"/>
  <c r="H5"/>
  <c r="H8" i="7"/>
  <c r="AD78"/>
  <c r="AC78"/>
  <c r="K34" i="41"/>
  <c r="L34"/>
  <c r="J34"/>
  <c r="K25"/>
  <c r="L25"/>
  <c r="J25"/>
  <c r="F55"/>
  <c r="E56"/>
  <c r="E57"/>
  <c r="E58"/>
  <c r="E55"/>
  <c r="L59"/>
  <c r="K59"/>
  <c r="F49"/>
  <c r="F52"/>
  <c r="E47"/>
  <c r="E48"/>
  <c r="E49"/>
  <c r="E50"/>
  <c r="E51"/>
  <c r="E52"/>
  <c r="E46"/>
  <c r="X10" i="7"/>
  <c r="F10" s="1"/>
  <c r="X6"/>
  <c r="W6"/>
  <c r="H34" i="41"/>
  <c r="F63" i="1" l="1"/>
  <c r="E63"/>
  <c r="F6"/>
  <c r="D14" i="45"/>
  <c r="C14" i="44"/>
  <c r="B14"/>
  <c r="D48"/>
  <c r="C48"/>
  <c r="E52" i="43"/>
  <c r="E37"/>
  <c r="E38"/>
  <c r="E39"/>
  <c r="C40"/>
  <c r="D40"/>
  <c r="B40"/>
  <c r="C17"/>
  <c r="D17"/>
  <c r="B17"/>
  <c r="E15"/>
  <c r="E14"/>
  <c r="F31" i="9"/>
  <c r="E15"/>
  <c r="E46" i="44"/>
  <c r="E47"/>
  <c r="E50"/>
  <c r="E45"/>
  <c r="E13"/>
  <c r="E6"/>
  <c r="E24" i="43"/>
  <c r="E25"/>
  <c r="E23"/>
  <c r="E19"/>
  <c r="E16"/>
  <c r="K53" i="41"/>
  <c r="L53"/>
  <c r="P20" i="40"/>
  <c r="Q24"/>
  <c r="P24"/>
  <c r="Q19"/>
  <c r="P19"/>
  <c r="O19"/>
  <c r="P23"/>
  <c r="P6"/>
  <c r="F78" i="7"/>
  <c r="AA23" i="8" s="1"/>
  <c r="E78" i="7"/>
  <c r="Z23" i="8" s="1"/>
  <c r="Z35" i="7"/>
  <c r="AA29"/>
  <c r="Z29"/>
  <c r="Q78"/>
  <c r="Q26"/>
  <c r="E28" i="15"/>
  <c r="E29"/>
  <c r="Z36" i="7" l="1"/>
  <c r="D12" i="17"/>
  <c r="Z91" i="7"/>
  <c r="E17" i="14"/>
  <c r="E16"/>
  <c r="E14"/>
  <c r="E13"/>
  <c r="E11"/>
  <c r="E8"/>
  <c r="E7"/>
  <c r="E6"/>
  <c r="E5"/>
  <c r="H49" i="16"/>
  <c r="E12" i="12"/>
  <c r="D15" i="46"/>
  <c r="E52" i="44"/>
  <c r="D14"/>
  <c r="F30" i="15" l="1"/>
  <c r="Q23" i="40"/>
  <c r="Q6"/>
  <c r="O31" i="7"/>
  <c r="O32"/>
  <c r="O33"/>
  <c r="O34"/>
  <c r="N35"/>
  <c r="Y100"/>
  <c r="Z100"/>
  <c r="AA100"/>
  <c r="AA35"/>
  <c r="AA26"/>
  <c r="AA18"/>
  <c r="F6"/>
  <c r="I8"/>
  <c r="Q22" i="40"/>
  <c r="D18" i="53"/>
  <c r="D43" s="1"/>
  <c r="E18"/>
  <c r="E19"/>
  <c r="E43" s="1"/>
  <c r="C43"/>
  <c r="C57"/>
  <c r="E13" i="52"/>
  <c r="E17" s="1"/>
  <c r="C17"/>
  <c r="D17"/>
  <c r="D23"/>
  <c r="E23"/>
  <c r="D26"/>
  <c r="E26"/>
  <c r="C33"/>
  <c r="O17" i="6"/>
  <c r="N7"/>
  <c r="O7"/>
  <c r="M7"/>
  <c r="F29" i="15"/>
  <c r="G4"/>
  <c r="G15" s="1"/>
  <c r="H4"/>
  <c r="E8" i="45"/>
  <c r="E11"/>
  <c r="E14"/>
  <c r="E15"/>
  <c r="E5"/>
  <c r="E6"/>
  <c r="E4"/>
  <c r="AA36" i="7" l="1"/>
  <c r="E33" i="52"/>
  <c r="E58" i="53"/>
  <c r="E4" i="15"/>
  <c r="H15"/>
  <c r="D33" i="52"/>
  <c r="C58" i="53"/>
  <c r="D58"/>
  <c r="R14" i="41"/>
  <c r="R34"/>
  <c r="AA91" i="7" l="1"/>
  <c r="E9" i="44"/>
  <c r="E11"/>
  <c r="E8"/>
  <c r="E5"/>
  <c r="E10"/>
  <c r="E16"/>
  <c r="E17"/>
  <c r="E18"/>
  <c r="E19"/>
  <c r="E20"/>
  <c r="E21"/>
  <c r="E23"/>
  <c r="E24"/>
  <c r="E33"/>
  <c r="E4"/>
  <c r="E12" i="43"/>
  <c r="E13"/>
  <c r="E6"/>
  <c r="E7"/>
  <c r="E8"/>
  <c r="E9"/>
  <c r="E10"/>
  <c r="E11"/>
  <c r="E5"/>
  <c r="E36"/>
  <c r="E41"/>
  <c r="E35"/>
  <c r="E50"/>
  <c r="E51"/>
  <c r="E49"/>
  <c r="E62"/>
  <c r="F5" i="9"/>
  <c r="F6"/>
  <c r="F7"/>
  <c r="F8"/>
  <c r="F15"/>
  <c r="F16"/>
  <c r="F19"/>
  <c r="F28"/>
  <c r="F43"/>
  <c r="F44"/>
  <c r="F45"/>
  <c r="F46"/>
  <c r="F49"/>
  <c r="F50"/>
  <c r="F52"/>
  <c r="F55"/>
  <c r="F56"/>
  <c r="F57"/>
  <c r="F59"/>
  <c r="F60"/>
  <c r="F61"/>
  <c r="F63"/>
  <c r="F66"/>
  <c r="F67"/>
  <c r="F69"/>
  <c r="F70"/>
  <c r="F75"/>
  <c r="F76"/>
  <c r="F77"/>
  <c r="F4"/>
  <c r="F16" i="29" l="1"/>
  <c r="C29" i="46" l="1"/>
  <c r="D30"/>
  <c r="D43" s="1"/>
  <c r="H14"/>
  <c r="C17" i="45"/>
  <c r="B17"/>
  <c r="E12" i="44"/>
  <c r="K37" i="15"/>
  <c r="F31"/>
  <c r="E31"/>
  <c r="D31"/>
  <c r="D11" i="21"/>
  <c r="D16" s="1"/>
  <c r="D29" i="18"/>
  <c r="E29"/>
  <c r="E78" i="9"/>
  <c r="D74"/>
  <c r="D30" i="18" s="1"/>
  <c r="E74" i="9"/>
  <c r="E21" i="17" s="1"/>
  <c r="E71" i="9"/>
  <c r="E68"/>
  <c r="D68"/>
  <c r="D64"/>
  <c r="E7" i="18" l="1"/>
  <c r="E14" i="17"/>
  <c r="G30" i="46"/>
  <c r="E18" i="17"/>
  <c r="E26" i="18" s="1"/>
  <c r="F68" i="9"/>
  <c r="E30" i="18"/>
  <c r="I54" i="12" l="1"/>
  <c r="H28" i="40" l="1"/>
  <c r="F60" i="41"/>
  <c r="F61"/>
  <c r="F62"/>
  <c r="F63"/>
  <c r="F65"/>
  <c r="E64"/>
  <c r="F54"/>
  <c r="F58"/>
  <c r="F36"/>
  <c r="F37"/>
  <c r="F38"/>
  <c r="F39"/>
  <c r="F40"/>
  <c r="F41"/>
  <c r="F42"/>
  <c r="F43"/>
  <c r="F44"/>
  <c r="F45"/>
  <c r="G28" i="40"/>
  <c r="G41" s="1"/>
  <c r="Q20" l="1"/>
  <c r="F23" i="46" l="1"/>
  <c r="C23"/>
  <c r="M35" i="7"/>
  <c r="K35"/>
  <c r="J35"/>
  <c r="H35"/>
  <c r="G35"/>
  <c r="AC68"/>
  <c r="AD63"/>
  <c r="F63" s="1"/>
  <c r="Q26" i="40"/>
  <c r="Q25"/>
  <c r="Q18"/>
  <c r="P4"/>
  <c r="J9" i="37"/>
  <c r="J8"/>
  <c r="J7"/>
  <c r="J6"/>
  <c r="J5"/>
  <c r="J4"/>
  <c r="L7" i="6"/>
  <c r="K7"/>
  <c r="I7"/>
  <c r="F17" i="1"/>
  <c r="O49" i="15" l="1"/>
  <c r="K44"/>
  <c r="L27"/>
  <c r="K27"/>
  <c r="E27" s="1"/>
  <c r="I49"/>
  <c r="H49"/>
  <c r="R19" i="12"/>
  <c r="O19"/>
  <c r="F12" i="16" l="1"/>
  <c r="F21"/>
  <c r="F9" i="14"/>
  <c r="F10"/>
  <c r="F11"/>
  <c r="F12"/>
  <c r="F13"/>
  <c r="F14"/>
  <c r="F15"/>
  <c r="F16"/>
  <c r="F17"/>
  <c r="F8"/>
  <c r="F7"/>
  <c r="F6"/>
  <c r="F5"/>
  <c r="F18" l="1"/>
  <c r="I54" i="15" s="1"/>
  <c r="F69" i="14"/>
  <c r="F70"/>
  <c r="E67"/>
  <c r="E68"/>
  <c r="E69"/>
  <c r="E70"/>
  <c r="E71"/>
  <c r="E72"/>
  <c r="E73"/>
  <c r="E66"/>
  <c r="F66"/>
  <c r="F61"/>
  <c r="F62"/>
  <c r="E61"/>
  <c r="E62"/>
  <c r="E60"/>
  <c r="F60"/>
  <c r="E56"/>
  <c r="F56"/>
  <c r="E52"/>
  <c r="F52"/>
  <c r="E49"/>
  <c r="E51" s="1"/>
  <c r="H62" i="15" s="1"/>
  <c r="F49" i="14"/>
  <c r="F51" s="1"/>
  <c r="I62" i="15" s="1"/>
  <c r="F47" i="14"/>
  <c r="F43"/>
  <c r="F45"/>
  <c r="F46"/>
  <c r="E43"/>
  <c r="E44"/>
  <c r="E45"/>
  <c r="E46"/>
  <c r="E47"/>
  <c r="E42"/>
  <c r="F42"/>
  <c r="E37"/>
  <c r="F37"/>
  <c r="E36"/>
  <c r="E38" s="1"/>
  <c r="H60" i="15" s="1"/>
  <c r="F36" i="14"/>
  <c r="F33"/>
  <c r="F34"/>
  <c r="E33"/>
  <c r="E34"/>
  <c r="E32"/>
  <c r="F32"/>
  <c r="F27"/>
  <c r="F28"/>
  <c r="F29"/>
  <c r="F30"/>
  <c r="E27"/>
  <c r="E28"/>
  <c r="E29"/>
  <c r="E30"/>
  <c r="F26"/>
  <c r="E26"/>
  <c r="F21"/>
  <c r="E21"/>
  <c r="E20"/>
  <c r="F20"/>
  <c r="E9"/>
  <c r="E10"/>
  <c r="E12"/>
  <c r="E15"/>
  <c r="D80"/>
  <c r="E80"/>
  <c r="F80"/>
  <c r="D67"/>
  <c r="D68"/>
  <c r="D69"/>
  <c r="D70"/>
  <c r="D71"/>
  <c r="D72"/>
  <c r="D73"/>
  <c r="D66"/>
  <c r="D61"/>
  <c r="D60"/>
  <c r="D56"/>
  <c r="D52"/>
  <c r="D49"/>
  <c r="D51" s="1"/>
  <c r="G62" i="15" s="1"/>
  <c r="D44" i="14"/>
  <c r="D45"/>
  <c r="D46"/>
  <c r="D47"/>
  <c r="D42"/>
  <c r="D37"/>
  <c r="D36"/>
  <c r="D33"/>
  <c r="D34"/>
  <c r="D32"/>
  <c r="D27"/>
  <c r="D29"/>
  <c r="D21"/>
  <c r="D20"/>
  <c r="D6"/>
  <c r="D7"/>
  <c r="D8"/>
  <c r="D9"/>
  <c r="D10"/>
  <c r="D12"/>
  <c r="D13"/>
  <c r="D14"/>
  <c r="D15"/>
  <c r="D16"/>
  <c r="D17"/>
  <c r="D74" l="1"/>
  <c r="E22"/>
  <c r="E25"/>
  <c r="H57" i="15" s="1"/>
  <c r="E57" i="14"/>
  <c r="H63" i="15" s="1"/>
  <c r="D57" i="14"/>
  <c r="G63" i="15" s="1"/>
  <c r="D35" i="14"/>
  <c r="G59" i="15" s="1"/>
  <c r="D22" i="14"/>
  <c r="D38"/>
  <c r="G60" i="15" s="1"/>
  <c r="F57" i="14"/>
  <c r="I63" i="15" s="1"/>
  <c r="E74" i="14"/>
  <c r="H68" i="15" s="1"/>
  <c r="E48" i="14"/>
  <c r="H61" i="15" s="1"/>
  <c r="E35" i="14"/>
  <c r="H59" i="15" s="1"/>
  <c r="G68"/>
  <c r="H55"/>
  <c r="G55"/>
  <c r="E64" i="14"/>
  <c r="H66" i="15" s="1"/>
  <c r="F22" i="14"/>
  <c r="I55" i="15" s="1"/>
  <c r="F64" i="14"/>
  <c r="I66" i="15" s="1"/>
  <c r="F48" i="14"/>
  <c r="I61" i="15" s="1"/>
  <c r="F38" i="14"/>
  <c r="I60" i="15" s="1"/>
  <c r="F35" i="14"/>
  <c r="I59" i="15" s="1"/>
  <c r="F25" i="14"/>
  <c r="I57" i="15" s="1"/>
  <c r="E58" i="14" l="1"/>
  <c r="F58"/>
  <c r="F23"/>
  <c r="G5"/>
  <c r="D5" s="1"/>
  <c r="E18"/>
  <c r="G11"/>
  <c r="D11" s="1"/>
  <c r="G22"/>
  <c r="H22"/>
  <c r="H23" s="1"/>
  <c r="H25"/>
  <c r="G26"/>
  <c r="G28"/>
  <c r="D28" s="1"/>
  <c r="G30"/>
  <c r="D30" s="1"/>
  <c r="G35"/>
  <c r="H35"/>
  <c r="G38"/>
  <c r="H38"/>
  <c r="G43"/>
  <c r="H48"/>
  <c r="G51"/>
  <c r="H51"/>
  <c r="G57"/>
  <c r="H57"/>
  <c r="G62"/>
  <c r="D62" s="1"/>
  <c r="D64" s="1"/>
  <c r="H64"/>
  <c r="G74"/>
  <c r="H74"/>
  <c r="G80"/>
  <c r="H80"/>
  <c r="L80"/>
  <c r="K80"/>
  <c r="J80"/>
  <c r="K74"/>
  <c r="J74"/>
  <c r="L73"/>
  <c r="F73" s="1"/>
  <c r="L72"/>
  <c r="L71"/>
  <c r="L68"/>
  <c r="L67"/>
  <c r="L64"/>
  <c r="K64"/>
  <c r="J64"/>
  <c r="K57"/>
  <c r="J57"/>
  <c r="L55"/>
  <c r="L54"/>
  <c r="L53"/>
  <c r="K51"/>
  <c r="J51"/>
  <c r="L50"/>
  <c r="L51" s="1"/>
  <c r="K48"/>
  <c r="J48"/>
  <c r="L48"/>
  <c r="L38"/>
  <c r="K38"/>
  <c r="J38"/>
  <c r="L35"/>
  <c r="K35"/>
  <c r="J35"/>
  <c r="K25"/>
  <c r="K22"/>
  <c r="J22"/>
  <c r="L19"/>
  <c r="L22" s="1"/>
  <c r="L18"/>
  <c r="K18"/>
  <c r="D18" l="1"/>
  <c r="G64"/>
  <c r="G18"/>
  <c r="G23" s="1"/>
  <c r="G48"/>
  <c r="G58" s="1"/>
  <c r="D43"/>
  <c r="D48" s="1"/>
  <c r="H54" i="15"/>
  <c r="E23" i="14"/>
  <c r="E84" s="1"/>
  <c r="G25"/>
  <c r="D26"/>
  <c r="D25" s="1"/>
  <c r="G57" i="15" s="1"/>
  <c r="H58" i="14"/>
  <c r="H84" s="1"/>
  <c r="G66" i="15"/>
  <c r="G54"/>
  <c r="D23" i="14"/>
  <c r="L74"/>
  <c r="L23"/>
  <c r="L57"/>
  <c r="L58" s="1"/>
  <c r="K58"/>
  <c r="J58"/>
  <c r="L25"/>
  <c r="J23"/>
  <c r="K23"/>
  <c r="K84" s="1"/>
  <c r="J25"/>
  <c r="G84" l="1"/>
  <c r="G61" i="15"/>
  <c r="D58" i="14"/>
  <c r="D84" s="1"/>
  <c r="L84"/>
  <c r="J84"/>
  <c r="D51" i="9" l="1"/>
  <c r="D42"/>
  <c r="D36"/>
  <c r="D10"/>
  <c r="D53" l="1"/>
  <c r="D5" i="18" s="1"/>
  <c r="E30" i="15"/>
  <c r="E32"/>
  <c r="E33"/>
  <c r="E34"/>
  <c r="F34"/>
  <c r="E35"/>
  <c r="F35"/>
  <c r="E36"/>
  <c r="D30"/>
  <c r="D33"/>
  <c r="D34"/>
  <c r="D35"/>
  <c r="D36"/>
  <c r="H37"/>
  <c r="I33"/>
  <c r="E48"/>
  <c r="E45"/>
  <c r="E46"/>
  <c r="E38"/>
  <c r="D17" i="17" s="1"/>
  <c r="D24" i="18" s="1"/>
  <c r="E39" i="15"/>
  <c r="E40" s="1"/>
  <c r="E41"/>
  <c r="E42" s="1"/>
  <c r="E17"/>
  <c r="E18"/>
  <c r="E19"/>
  <c r="E20"/>
  <c r="E21"/>
  <c r="E22"/>
  <c r="E23"/>
  <c r="E24"/>
  <c r="E25"/>
  <c r="E26"/>
  <c r="E16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I67" i="14"/>
  <c r="F67" s="1"/>
  <c r="I68"/>
  <c r="F68" s="1"/>
  <c r="I71"/>
  <c r="F71" s="1"/>
  <c r="I72"/>
  <c r="F72" s="1"/>
  <c r="F74" s="1"/>
  <c r="I64"/>
  <c r="I39"/>
  <c r="I40"/>
  <c r="I41"/>
  <c r="I44"/>
  <c r="F44" s="1"/>
  <c r="I50"/>
  <c r="I53"/>
  <c r="I54"/>
  <c r="I55"/>
  <c r="I19"/>
  <c r="G67" i="12"/>
  <c r="J67"/>
  <c r="K67"/>
  <c r="M67"/>
  <c r="N67"/>
  <c r="P67"/>
  <c r="Q67"/>
  <c r="S67"/>
  <c r="T67"/>
  <c r="U67"/>
  <c r="V67"/>
  <c r="W67"/>
  <c r="X67"/>
  <c r="Q17"/>
  <c r="E17" s="1"/>
  <c r="N15" i="15"/>
  <c r="E15" s="1"/>
  <c r="X26" i="12"/>
  <c r="H26"/>
  <c r="J26"/>
  <c r="K26"/>
  <c r="M26"/>
  <c r="N26"/>
  <c r="P26"/>
  <c r="Q26"/>
  <c r="S26"/>
  <c r="T26"/>
  <c r="U26"/>
  <c r="V26"/>
  <c r="W26"/>
  <c r="G26"/>
  <c r="D26" s="1"/>
  <c r="F31"/>
  <c r="E31"/>
  <c r="D31"/>
  <c r="E63"/>
  <c r="D63"/>
  <c r="G60"/>
  <c r="H60"/>
  <c r="J60"/>
  <c r="K60"/>
  <c r="M60"/>
  <c r="N60"/>
  <c r="P60"/>
  <c r="Q60"/>
  <c r="S60"/>
  <c r="T60"/>
  <c r="U60"/>
  <c r="V60"/>
  <c r="W60"/>
  <c r="G54"/>
  <c r="H54"/>
  <c r="J54"/>
  <c r="K54"/>
  <c r="M54"/>
  <c r="N54"/>
  <c r="P54"/>
  <c r="Q54"/>
  <c r="S54"/>
  <c r="T54"/>
  <c r="U54"/>
  <c r="V54"/>
  <c r="W54"/>
  <c r="G51"/>
  <c r="H51"/>
  <c r="J51"/>
  <c r="K51"/>
  <c r="M51"/>
  <c r="N51"/>
  <c r="P51"/>
  <c r="Q51"/>
  <c r="S51"/>
  <c r="T51"/>
  <c r="U51"/>
  <c r="V51"/>
  <c r="W51"/>
  <c r="G41"/>
  <c r="H41"/>
  <c r="J41"/>
  <c r="K41"/>
  <c r="M41"/>
  <c r="N41"/>
  <c r="P41"/>
  <c r="Q41"/>
  <c r="S41"/>
  <c r="T41"/>
  <c r="U41"/>
  <c r="V41"/>
  <c r="W41"/>
  <c r="G38"/>
  <c r="H38"/>
  <c r="J38"/>
  <c r="K38"/>
  <c r="M38"/>
  <c r="N38"/>
  <c r="P38"/>
  <c r="Q38"/>
  <c r="S38"/>
  <c r="T38"/>
  <c r="U38"/>
  <c r="V38"/>
  <c r="W38"/>
  <c r="X36"/>
  <c r="X37"/>
  <c r="X39"/>
  <c r="X40"/>
  <c r="X42"/>
  <c r="X43"/>
  <c r="X44"/>
  <c r="X45"/>
  <c r="X46"/>
  <c r="X47"/>
  <c r="X48"/>
  <c r="X49"/>
  <c r="X52"/>
  <c r="X54" s="1"/>
  <c r="X53"/>
  <c r="X35"/>
  <c r="R64"/>
  <c r="R67" s="1"/>
  <c r="R42"/>
  <c r="R43"/>
  <c r="R44"/>
  <c r="R45"/>
  <c r="R46"/>
  <c r="R47"/>
  <c r="R48"/>
  <c r="R49"/>
  <c r="R53"/>
  <c r="R54" s="1"/>
  <c r="R57"/>
  <c r="R58"/>
  <c r="R26"/>
  <c r="R20"/>
  <c r="R23" s="1"/>
  <c r="R24" s="1"/>
  <c r="R22"/>
  <c r="O65"/>
  <c r="O66"/>
  <c r="O64"/>
  <c r="O36"/>
  <c r="O37"/>
  <c r="O39"/>
  <c r="O40"/>
  <c r="O42"/>
  <c r="O43"/>
  <c r="O44"/>
  <c r="O45"/>
  <c r="O46"/>
  <c r="O47"/>
  <c r="O48"/>
  <c r="O49"/>
  <c r="O52"/>
  <c r="O53"/>
  <c r="O56"/>
  <c r="O57"/>
  <c r="O58"/>
  <c r="O59"/>
  <c r="O32"/>
  <c r="O21"/>
  <c r="O22"/>
  <c r="O20"/>
  <c r="L65"/>
  <c r="L66"/>
  <c r="L64"/>
  <c r="L67" s="1"/>
  <c r="L53"/>
  <c r="L54" s="1"/>
  <c r="L43"/>
  <c r="L44"/>
  <c r="L46"/>
  <c r="L47"/>
  <c r="L48"/>
  <c r="L50"/>
  <c r="L42"/>
  <c r="L39"/>
  <c r="L37"/>
  <c r="L32"/>
  <c r="L21"/>
  <c r="F21" s="1"/>
  <c r="L22"/>
  <c r="L20"/>
  <c r="F11"/>
  <c r="F72"/>
  <c r="F73"/>
  <c r="F74"/>
  <c r="F76"/>
  <c r="I67"/>
  <c r="F44"/>
  <c r="I51"/>
  <c r="I26"/>
  <c r="F7"/>
  <c r="F9"/>
  <c r="F13"/>
  <c r="E70"/>
  <c r="F70"/>
  <c r="E71"/>
  <c r="F71"/>
  <c r="E72"/>
  <c r="E73"/>
  <c r="E74"/>
  <c r="E75"/>
  <c r="F75"/>
  <c r="E76"/>
  <c r="E77"/>
  <c r="F77"/>
  <c r="D65"/>
  <c r="E65"/>
  <c r="D66"/>
  <c r="E66"/>
  <c r="E64"/>
  <c r="D64"/>
  <c r="E55"/>
  <c r="E56"/>
  <c r="F56"/>
  <c r="E57"/>
  <c r="E58"/>
  <c r="E59"/>
  <c r="E52"/>
  <c r="E53"/>
  <c r="E42"/>
  <c r="E43"/>
  <c r="E44"/>
  <c r="E45"/>
  <c r="E46"/>
  <c r="E47"/>
  <c r="E48"/>
  <c r="E49"/>
  <c r="E50"/>
  <c r="E39"/>
  <c r="E40"/>
  <c r="E35"/>
  <c r="E36"/>
  <c r="E37"/>
  <c r="E27"/>
  <c r="E28"/>
  <c r="F28"/>
  <c r="E29"/>
  <c r="E30"/>
  <c r="F30"/>
  <c r="E32"/>
  <c r="E20"/>
  <c r="E21"/>
  <c r="E22"/>
  <c r="E5"/>
  <c r="E6"/>
  <c r="F6"/>
  <c r="E7"/>
  <c r="E8"/>
  <c r="F8"/>
  <c r="E9"/>
  <c r="E10"/>
  <c r="F10"/>
  <c r="E11"/>
  <c r="F12"/>
  <c r="E13"/>
  <c r="E14"/>
  <c r="F14"/>
  <c r="E15"/>
  <c r="E16"/>
  <c r="F16"/>
  <c r="E18"/>
  <c r="F18"/>
  <c r="E68" i="16"/>
  <c r="E69"/>
  <c r="E70"/>
  <c r="E71"/>
  <c r="E72"/>
  <c r="E73"/>
  <c r="E74"/>
  <c r="E75"/>
  <c r="F75"/>
  <c r="E53"/>
  <c r="E54"/>
  <c r="E55"/>
  <c r="E56"/>
  <c r="E57"/>
  <c r="E50"/>
  <c r="E40"/>
  <c r="E41"/>
  <c r="E42"/>
  <c r="E43"/>
  <c r="E44"/>
  <c r="E45"/>
  <c r="E46"/>
  <c r="E47"/>
  <c r="E48"/>
  <c r="E37"/>
  <c r="E38"/>
  <c r="F38"/>
  <c r="E33"/>
  <c r="E34"/>
  <c r="E35"/>
  <c r="F35"/>
  <c r="E27"/>
  <c r="E28"/>
  <c r="E29"/>
  <c r="E30"/>
  <c r="E31"/>
  <c r="E20"/>
  <c r="E21"/>
  <c r="E22"/>
  <c r="E5"/>
  <c r="E6"/>
  <c r="F6"/>
  <c r="E7"/>
  <c r="F7"/>
  <c r="E8"/>
  <c r="E9"/>
  <c r="F9"/>
  <c r="E10"/>
  <c r="F10"/>
  <c r="E11"/>
  <c r="E12"/>
  <c r="E13"/>
  <c r="E14"/>
  <c r="F14"/>
  <c r="E15"/>
  <c r="F15"/>
  <c r="E16"/>
  <c r="F16"/>
  <c r="F17"/>
  <c r="E18"/>
  <c r="F18"/>
  <c r="E17"/>
  <c r="F61"/>
  <c r="E61"/>
  <c r="D61"/>
  <c r="G65"/>
  <c r="H65"/>
  <c r="I65"/>
  <c r="J65"/>
  <c r="K65"/>
  <c r="M65"/>
  <c r="N65"/>
  <c r="O65"/>
  <c r="P65"/>
  <c r="Q65"/>
  <c r="R65"/>
  <c r="S65"/>
  <c r="T65"/>
  <c r="U65"/>
  <c r="I20"/>
  <c r="D63"/>
  <c r="E63"/>
  <c r="D64"/>
  <c r="E64"/>
  <c r="E62"/>
  <c r="F62"/>
  <c r="D62"/>
  <c r="O44" i="15"/>
  <c r="F48"/>
  <c r="L5"/>
  <c r="F5" s="1"/>
  <c r="L6"/>
  <c r="L7"/>
  <c r="L8"/>
  <c r="L9"/>
  <c r="L10"/>
  <c r="L11"/>
  <c r="L12"/>
  <c r="L13"/>
  <c r="L14"/>
  <c r="L20"/>
  <c r="L21"/>
  <c r="L22"/>
  <c r="L23"/>
  <c r="L24"/>
  <c r="L25"/>
  <c r="L26"/>
  <c r="L28"/>
  <c r="L32"/>
  <c r="L33"/>
  <c r="F33" s="1"/>
  <c r="L36"/>
  <c r="F36" s="1"/>
  <c r="L38"/>
  <c r="F38" s="1"/>
  <c r="E17" i="17" s="1"/>
  <c r="F17" s="1"/>
  <c r="L39" i="15"/>
  <c r="L41"/>
  <c r="L46"/>
  <c r="L44" s="1"/>
  <c r="L47" s="1"/>
  <c r="L49" s="1"/>
  <c r="I6"/>
  <c r="I7"/>
  <c r="F7" s="1"/>
  <c r="F8"/>
  <c r="I9"/>
  <c r="F9" s="1"/>
  <c r="I10"/>
  <c r="F10" s="1"/>
  <c r="I11"/>
  <c r="F11" s="1"/>
  <c r="I12"/>
  <c r="F12" s="1"/>
  <c r="I13"/>
  <c r="F13" s="1"/>
  <c r="I14"/>
  <c r="F14" s="1"/>
  <c r="I16"/>
  <c r="I17"/>
  <c r="F17" s="1"/>
  <c r="I18"/>
  <c r="F18" s="1"/>
  <c r="I19"/>
  <c r="F19" s="1"/>
  <c r="I20"/>
  <c r="F20" s="1"/>
  <c r="I21"/>
  <c r="F21" s="1"/>
  <c r="I22"/>
  <c r="F22" s="1"/>
  <c r="I23"/>
  <c r="F23" s="1"/>
  <c r="I24"/>
  <c r="F24" s="1"/>
  <c r="I25"/>
  <c r="F25" s="1"/>
  <c r="I26"/>
  <c r="F26" s="1"/>
  <c r="I27"/>
  <c r="I39"/>
  <c r="F39" s="1"/>
  <c r="F40" s="1"/>
  <c r="I41"/>
  <c r="F41" s="1"/>
  <c r="F42" s="1"/>
  <c r="F45"/>
  <c r="I46"/>
  <c r="I44" s="1"/>
  <c r="U54" i="16"/>
  <c r="U55"/>
  <c r="U56"/>
  <c r="U57"/>
  <c r="U42"/>
  <c r="U43"/>
  <c r="U44"/>
  <c r="U45"/>
  <c r="U46"/>
  <c r="U47"/>
  <c r="U48"/>
  <c r="U40"/>
  <c r="O54"/>
  <c r="O55"/>
  <c r="O56"/>
  <c r="O57"/>
  <c r="O41"/>
  <c r="O42"/>
  <c r="O43"/>
  <c r="O44"/>
  <c r="O45"/>
  <c r="O46"/>
  <c r="O40"/>
  <c r="O28"/>
  <c r="F28" s="1"/>
  <c r="O29"/>
  <c r="O30"/>
  <c r="F30" s="1"/>
  <c r="O31"/>
  <c r="O22"/>
  <c r="F22" s="1"/>
  <c r="O20"/>
  <c r="F64"/>
  <c r="F63"/>
  <c r="F53"/>
  <c r="L41"/>
  <c r="L44"/>
  <c r="F44" s="1"/>
  <c r="L45"/>
  <c r="L46"/>
  <c r="F47"/>
  <c r="L48"/>
  <c r="L40"/>
  <c r="F37"/>
  <c r="I69"/>
  <c r="F69" s="1"/>
  <c r="I70"/>
  <c r="F70" s="1"/>
  <c r="F71"/>
  <c r="F72"/>
  <c r="I73"/>
  <c r="F73" s="1"/>
  <c r="I74"/>
  <c r="F74" s="1"/>
  <c r="I68"/>
  <c r="F68" s="1"/>
  <c r="I54"/>
  <c r="F54" s="1"/>
  <c r="I55"/>
  <c r="F55" s="1"/>
  <c r="I56"/>
  <c r="F56" s="1"/>
  <c r="I57"/>
  <c r="F57" s="1"/>
  <c r="I51"/>
  <c r="F50"/>
  <c r="I41"/>
  <c r="I42"/>
  <c r="F42" s="1"/>
  <c r="I45"/>
  <c r="F45" s="1"/>
  <c r="I46"/>
  <c r="F46" s="1"/>
  <c r="F48"/>
  <c r="I40"/>
  <c r="F40" s="1"/>
  <c r="F34"/>
  <c r="F33"/>
  <c r="F29"/>
  <c r="F31"/>
  <c r="F27"/>
  <c r="F8"/>
  <c r="F11"/>
  <c r="F13"/>
  <c r="F5"/>
  <c r="F41" l="1"/>
  <c r="F20"/>
  <c r="V61" i="12"/>
  <c r="T61"/>
  <c r="S61"/>
  <c r="M61"/>
  <c r="G61"/>
  <c r="F43" i="16"/>
  <c r="D67" i="12"/>
  <c r="M66" i="15" s="1"/>
  <c r="F20" i="12"/>
  <c r="O67"/>
  <c r="F48"/>
  <c r="F36"/>
  <c r="U61"/>
  <c r="P61"/>
  <c r="J61"/>
  <c r="E65" i="16"/>
  <c r="K66" i="15" s="1"/>
  <c r="E37"/>
  <c r="E43" s="1"/>
  <c r="F28"/>
  <c r="E12" i="17" s="1"/>
  <c r="F12" s="1"/>
  <c r="I4" i="15"/>
  <c r="H43"/>
  <c r="H50" s="1"/>
  <c r="E24" i="18"/>
  <c r="W61" i="12"/>
  <c r="L51"/>
  <c r="I15" i="15"/>
  <c r="F46"/>
  <c r="E24" i="17" s="1"/>
  <c r="L37" i="15"/>
  <c r="E67" i="12"/>
  <c r="N66" i="15" s="1"/>
  <c r="E66" s="1"/>
  <c r="I68"/>
  <c r="F84" i="14"/>
  <c r="D65" i="16"/>
  <c r="J66" i="15" s="1"/>
  <c r="F52" i="12"/>
  <c r="F65"/>
  <c r="I48" i="14"/>
  <c r="F6" i="15"/>
  <c r="F64" i="12"/>
  <c r="F58"/>
  <c r="E23" i="17"/>
  <c r="E11" i="18"/>
  <c r="E10" s="1"/>
  <c r="I37" i="15"/>
  <c r="O4"/>
  <c r="Q61" i="12"/>
  <c r="N61"/>
  <c r="O26"/>
  <c r="L60"/>
  <c r="L38"/>
  <c r="K61"/>
  <c r="L26"/>
  <c r="E26"/>
  <c r="N57" i="15" s="1"/>
  <c r="E51" i="12"/>
  <c r="N61" i="15" s="1"/>
  <c r="I41" i="12"/>
  <c r="E41"/>
  <c r="N60" i="15" s="1"/>
  <c r="E38" i="12"/>
  <c r="N59" i="15" s="1"/>
  <c r="I38" i="12"/>
  <c r="F35"/>
  <c r="E54"/>
  <c r="N62" i="15" s="1"/>
  <c r="L65" i="16"/>
  <c r="F65"/>
  <c r="L66" i="15" s="1"/>
  <c r="I51" i="14"/>
  <c r="I38"/>
  <c r="I35"/>
  <c r="I57"/>
  <c r="H64" i="15"/>
  <c r="F5" i="12"/>
  <c r="O38"/>
  <c r="O51"/>
  <c r="R41"/>
  <c r="X41"/>
  <c r="X60"/>
  <c r="F40"/>
  <c r="O54"/>
  <c r="O41"/>
  <c r="R38"/>
  <c r="R51"/>
  <c r="X51"/>
  <c r="X38"/>
  <c r="O60"/>
  <c r="R60"/>
  <c r="F49"/>
  <c r="F45"/>
  <c r="F42"/>
  <c r="L41"/>
  <c r="H61"/>
  <c r="I60"/>
  <c r="E60"/>
  <c r="N63" i="15" s="1"/>
  <c r="F27" i="12"/>
  <c r="F59"/>
  <c r="F55"/>
  <c r="F47"/>
  <c r="F43"/>
  <c r="F39"/>
  <c r="F66"/>
  <c r="F37"/>
  <c r="F57"/>
  <c r="F53"/>
  <c r="F54" s="1"/>
  <c r="O62" i="15" s="1"/>
  <c r="F50" i="12"/>
  <c r="F46"/>
  <c r="F29"/>
  <c r="F32"/>
  <c r="F17"/>
  <c r="F15"/>
  <c r="F22"/>
  <c r="F67" l="1"/>
  <c r="O66" i="15" s="1"/>
  <c r="I58" i="14"/>
  <c r="E22" i="17"/>
  <c r="E20" s="1"/>
  <c r="F26" i="12"/>
  <c r="O57" i="15" s="1"/>
  <c r="O15"/>
  <c r="R61" i="12"/>
  <c r="F38"/>
  <c r="O59" i="15" s="1"/>
  <c r="O61" i="12"/>
  <c r="F41"/>
  <c r="O60" i="15" s="1"/>
  <c r="L61" i="12"/>
  <c r="I61"/>
  <c r="N64" i="15"/>
  <c r="E61" i="12"/>
  <c r="I64" i="15"/>
  <c r="X61" i="12"/>
  <c r="F60"/>
  <c r="O63" i="15" s="1"/>
  <c r="F51" i="12"/>
  <c r="O61" i="15" s="1"/>
  <c r="O64" l="1"/>
  <c r="F61" i="12"/>
  <c r="E59" i="17" l="1"/>
  <c r="H41" i="46"/>
  <c r="C15"/>
  <c r="B15"/>
  <c r="F36" l="1"/>
  <c r="E36"/>
  <c r="G36"/>
  <c r="G5"/>
  <c r="G6"/>
  <c r="G7"/>
  <c r="G8"/>
  <c r="G9"/>
  <c r="G10"/>
  <c r="G11"/>
  <c r="G12"/>
  <c r="G13"/>
  <c r="G4"/>
  <c r="C30"/>
  <c r="C43" s="1"/>
  <c r="F30"/>
  <c r="E29"/>
  <c r="B29"/>
  <c r="E26"/>
  <c r="B26"/>
  <c r="E23"/>
  <c r="B23"/>
  <c r="E18"/>
  <c r="B18"/>
  <c r="E15"/>
  <c r="F15"/>
  <c r="G43" l="1"/>
  <c r="H43" s="1"/>
  <c r="H36"/>
  <c r="F43"/>
  <c r="B30"/>
  <c r="B43" s="1"/>
  <c r="E30"/>
  <c r="E43" s="1"/>
  <c r="G15"/>
  <c r="D16" i="45" l="1"/>
  <c r="D17" s="1"/>
  <c r="E17" s="1"/>
  <c r="D12"/>
  <c r="C12"/>
  <c r="C9"/>
  <c r="C71" i="9"/>
  <c r="C26" i="18" s="1"/>
  <c r="I28"/>
  <c r="H29"/>
  <c r="I29"/>
  <c r="D25"/>
  <c r="D11"/>
  <c r="D10" s="1"/>
  <c r="D6"/>
  <c r="D7"/>
  <c r="H7"/>
  <c r="P5" i="40"/>
  <c r="P7"/>
  <c r="P8"/>
  <c r="P9"/>
  <c r="P18"/>
  <c r="P21"/>
  <c r="P25"/>
  <c r="P26"/>
  <c r="P28"/>
  <c r="P41" s="1"/>
  <c r="P29"/>
  <c r="P30"/>
  <c r="P31"/>
  <c r="P32"/>
  <c r="P33"/>
  <c r="P34"/>
  <c r="P35"/>
  <c r="P36"/>
  <c r="P37"/>
  <c r="P38"/>
  <c r="P39"/>
  <c r="P40"/>
  <c r="O5"/>
  <c r="O7"/>
  <c r="O8"/>
  <c r="O18"/>
  <c r="O21"/>
  <c r="O25"/>
  <c r="O26"/>
  <c r="O30"/>
  <c r="O31"/>
  <c r="O32"/>
  <c r="O33"/>
  <c r="O34"/>
  <c r="O35"/>
  <c r="O36"/>
  <c r="O37"/>
  <c r="O38"/>
  <c r="O39"/>
  <c r="O40"/>
  <c r="O4"/>
  <c r="D38" i="6"/>
  <c r="E38"/>
  <c r="D39"/>
  <c r="E39"/>
  <c r="D40"/>
  <c r="E40"/>
  <c r="D41"/>
  <c r="E41"/>
  <c r="D42"/>
  <c r="E42"/>
  <c r="D43"/>
  <c r="E43"/>
  <c r="D44"/>
  <c r="E44"/>
  <c r="F44"/>
  <c r="E37"/>
  <c r="I38"/>
  <c r="I39"/>
  <c r="F39" s="1"/>
  <c r="F40"/>
  <c r="F41"/>
  <c r="F42"/>
  <c r="I43"/>
  <c r="I37"/>
  <c r="F37" s="1"/>
  <c r="I13"/>
  <c r="I14" s="1"/>
  <c r="I15"/>
  <c r="I17" s="1"/>
  <c r="I18"/>
  <c r="I19"/>
  <c r="I20"/>
  <c r="I22"/>
  <c r="I23"/>
  <c r="I27"/>
  <c r="I28" s="1"/>
  <c r="I30"/>
  <c r="I31"/>
  <c r="I32"/>
  <c r="I33"/>
  <c r="E11"/>
  <c r="E12"/>
  <c r="E13"/>
  <c r="E15"/>
  <c r="E16"/>
  <c r="E18"/>
  <c r="E19"/>
  <c r="E20"/>
  <c r="E21"/>
  <c r="E22"/>
  <c r="E23"/>
  <c r="E24"/>
  <c r="E26"/>
  <c r="E27"/>
  <c r="E29"/>
  <c r="E30"/>
  <c r="E31"/>
  <c r="E32"/>
  <c r="E33"/>
  <c r="U12"/>
  <c r="U13"/>
  <c r="U15"/>
  <c r="U16"/>
  <c r="U18"/>
  <c r="U19"/>
  <c r="U20"/>
  <c r="U21"/>
  <c r="U22"/>
  <c r="U23"/>
  <c r="U26"/>
  <c r="U27"/>
  <c r="U29"/>
  <c r="U30"/>
  <c r="U31"/>
  <c r="U32"/>
  <c r="U33"/>
  <c r="U11"/>
  <c r="R12"/>
  <c r="R13"/>
  <c r="R15"/>
  <c r="R16"/>
  <c r="R18"/>
  <c r="R19"/>
  <c r="R20"/>
  <c r="R21"/>
  <c r="R22"/>
  <c r="R23"/>
  <c r="R26"/>
  <c r="R27"/>
  <c r="R29"/>
  <c r="F29" s="1"/>
  <c r="R30"/>
  <c r="R31"/>
  <c r="R32"/>
  <c r="R33"/>
  <c r="R11"/>
  <c r="O13"/>
  <c r="F15"/>
  <c r="F16"/>
  <c r="O18"/>
  <c r="O19"/>
  <c r="O20"/>
  <c r="O21"/>
  <c r="O22"/>
  <c r="O23"/>
  <c r="O26"/>
  <c r="F26" s="1"/>
  <c r="O27"/>
  <c r="O30"/>
  <c r="O31"/>
  <c r="O32"/>
  <c r="F32" s="1"/>
  <c r="O33"/>
  <c r="O36"/>
  <c r="O37"/>
  <c r="O38"/>
  <c r="O11"/>
  <c r="O14" s="1"/>
  <c r="H8" i="37"/>
  <c r="K8" s="1"/>
  <c r="U13" i="8" s="1"/>
  <c r="E5" i="37"/>
  <c r="K5" s="1"/>
  <c r="E6"/>
  <c r="K6" s="1"/>
  <c r="E7"/>
  <c r="K7" s="1"/>
  <c r="E9"/>
  <c r="K9" s="1"/>
  <c r="E4"/>
  <c r="K4" s="1"/>
  <c r="E14" i="1"/>
  <c r="D14"/>
  <c r="E17"/>
  <c r="E7"/>
  <c r="D22" i="7"/>
  <c r="D23"/>
  <c r="D24"/>
  <c r="D25"/>
  <c r="D20"/>
  <c r="D23" i="17"/>
  <c r="D24"/>
  <c r="D16"/>
  <c r="D5"/>
  <c r="D9"/>
  <c r="D11"/>
  <c r="D13"/>
  <c r="D14"/>
  <c r="F66" i="7"/>
  <c r="F67"/>
  <c r="E66"/>
  <c r="D66"/>
  <c r="F18" i="9"/>
  <c r="L19" i="6"/>
  <c r="F19" s="1"/>
  <c r="L20"/>
  <c r="L21"/>
  <c r="L22"/>
  <c r="F22" s="1"/>
  <c r="L23"/>
  <c r="F23" s="1"/>
  <c r="F24"/>
  <c r="L18"/>
  <c r="F18" s="1"/>
  <c r="L12"/>
  <c r="F12" s="1"/>
  <c r="L13"/>
  <c r="L11"/>
  <c r="F11" s="1"/>
  <c r="X7" i="7"/>
  <c r="X8" s="1"/>
  <c r="F8" s="1"/>
  <c r="W8"/>
  <c r="E8" s="1"/>
  <c r="D11" i="9"/>
  <c r="D78"/>
  <c r="F78" s="1"/>
  <c r="O34" i="6" l="1"/>
  <c r="F20"/>
  <c r="R25"/>
  <c r="F33"/>
  <c r="F38"/>
  <c r="F31"/>
  <c r="F21"/>
  <c r="E41" i="44"/>
  <c r="K10" i="37"/>
  <c r="F27" i="6"/>
  <c r="F13"/>
  <c r="I34"/>
  <c r="U25"/>
  <c r="I45"/>
  <c r="D6" i="17"/>
  <c r="D7" s="1"/>
  <c r="O25" i="6"/>
  <c r="F30"/>
  <c r="I25"/>
  <c r="F43"/>
  <c r="E12" i="45"/>
  <c r="F14" i="17"/>
  <c r="F23"/>
  <c r="F24"/>
  <c r="D9" i="45"/>
  <c r="D22" i="17"/>
  <c r="F22" s="1"/>
  <c r="D10"/>
  <c r="D22" i="9"/>
  <c r="E34" i="1"/>
  <c r="E28"/>
  <c r="E25"/>
  <c r="U30" i="41"/>
  <c r="U31"/>
  <c r="U32"/>
  <c r="U33"/>
  <c r="U13"/>
  <c r="F13" s="1"/>
  <c r="U47"/>
  <c r="U48"/>
  <c r="U50"/>
  <c r="U51"/>
  <c r="U46"/>
  <c r="U34" l="1"/>
  <c r="U14"/>
  <c r="I35" i="6"/>
  <c r="E21" i="45"/>
  <c r="E9"/>
  <c r="D8" i="17"/>
  <c r="D4" s="1"/>
  <c r="D4" i="18"/>
  <c r="D3" s="1"/>
  <c r="D19" s="1"/>
  <c r="E35" i="1"/>
  <c r="F47" i="41" l="1"/>
  <c r="E9" i="9"/>
  <c r="E13"/>
  <c r="E14"/>
  <c r="E20"/>
  <c r="E21"/>
  <c r="E24"/>
  <c r="E26"/>
  <c r="E27"/>
  <c r="E29"/>
  <c r="E30"/>
  <c r="E32"/>
  <c r="E33"/>
  <c r="E34"/>
  <c r="E35"/>
  <c r="E37"/>
  <c r="E38"/>
  <c r="E40"/>
  <c r="E41"/>
  <c r="E42"/>
  <c r="E47"/>
  <c r="E48"/>
  <c r="E54"/>
  <c r="E58"/>
  <c r="D71"/>
  <c r="D72" s="1"/>
  <c r="V27" i="8"/>
  <c r="W27"/>
  <c r="E27" s="1"/>
  <c r="N5" i="40"/>
  <c r="N7"/>
  <c r="N8"/>
  <c r="N9"/>
  <c r="N21"/>
  <c r="N28"/>
  <c r="N41" s="1"/>
  <c r="N29"/>
  <c r="N30"/>
  <c r="N31"/>
  <c r="N32"/>
  <c r="N33"/>
  <c r="N34"/>
  <c r="N35"/>
  <c r="N36"/>
  <c r="N37"/>
  <c r="N38"/>
  <c r="N39"/>
  <c r="N40"/>
  <c r="N4"/>
  <c r="H8"/>
  <c r="H9"/>
  <c r="E5"/>
  <c r="E7"/>
  <c r="Q7" s="1"/>
  <c r="E21"/>
  <c r="Q21" s="1"/>
  <c r="E28"/>
  <c r="E29"/>
  <c r="E30"/>
  <c r="E31"/>
  <c r="Q31" s="1"/>
  <c r="E32"/>
  <c r="E33"/>
  <c r="E34"/>
  <c r="E35"/>
  <c r="Q35" s="1"/>
  <c r="E36"/>
  <c r="Q36" s="1"/>
  <c r="E37"/>
  <c r="E38"/>
  <c r="Q38" s="1"/>
  <c r="E39"/>
  <c r="Q39" s="1"/>
  <c r="E40"/>
  <c r="Q40" s="1"/>
  <c r="E4"/>
  <c r="G59" i="41"/>
  <c r="H59"/>
  <c r="I59"/>
  <c r="M59"/>
  <c r="N59"/>
  <c r="P59"/>
  <c r="Q59"/>
  <c r="R59"/>
  <c r="S59"/>
  <c r="T59"/>
  <c r="U59"/>
  <c r="D56"/>
  <c r="D57"/>
  <c r="D58"/>
  <c r="D55"/>
  <c r="O56"/>
  <c r="F56" s="1"/>
  <c r="O57"/>
  <c r="F57" s="1"/>
  <c r="O48"/>
  <c r="O50"/>
  <c r="O46"/>
  <c r="F46" s="1"/>
  <c r="I48"/>
  <c r="I50"/>
  <c r="F50" s="1"/>
  <c r="I51"/>
  <c r="F51" s="1"/>
  <c r="O30"/>
  <c r="F30" s="1"/>
  <c r="O31"/>
  <c r="O32"/>
  <c r="O29"/>
  <c r="I31"/>
  <c r="F31" s="1"/>
  <c r="I32"/>
  <c r="I33"/>
  <c r="F33" s="1"/>
  <c r="I29"/>
  <c r="F29" s="1"/>
  <c r="I15"/>
  <c r="F15" s="1"/>
  <c r="I16"/>
  <c r="F16" s="1"/>
  <c r="I18"/>
  <c r="F18" s="1"/>
  <c r="I19"/>
  <c r="F19" s="1"/>
  <c r="I20"/>
  <c r="F20" s="1"/>
  <c r="I21"/>
  <c r="F21" s="1"/>
  <c r="I22"/>
  <c r="F22" s="1"/>
  <c r="I23"/>
  <c r="F23" s="1"/>
  <c r="I24"/>
  <c r="F24" s="1"/>
  <c r="I26"/>
  <c r="F26" s="1"/>
  <c r="I27"/>
  <c r="F27" s="1"/>
  <c r="I9"/>
  <c r="I6"/>
  <c r="I7"/>
  <c r="I5"/>
  <c r="O14"/>
  <c r="AD94" i="7"/>
  <c r="AD95"/>
  <c r="AD61"/>
  <c r="F61" s="1"/>
  <c r="AD62"/>
  <c r="AD13"/>
  <c r="AD14"/>
  <c r="AD16"/>
  <c r="AD17"/>
  <c r="AD19"/>
  <c r="AD20"/>
  <c r="AD21"/>
  <c r="AD22"/>
  <c r="AD23"/>
  <c r="AD24"/>
  <c r="AD27"/>
  <c r="AD28"/>
  <c r="AD32"/>
  <c r="AD33"/>
  <c r="AD12"/>
  <c r="X13"/>
  <c r="X14"/>
  <c r="X16"/>
  <c r="X17"/>
  <c r="X19"/>
  <c r="X20"/>
  <c r="X21"/>
  <c r="X22"/>
  <c r="X23"/>
  <c r="X24"/>
  <c r="X25"/>
  <c r="X27"/>
  <c r="X28"/>
  <c r="X30"/>
  <c r="F30" s="1"/>
  <c r="X31"/>
  <c r="AC31" s="1"/>
  <c r="E31" s="1"/>
  <c r="X32"/>
  <c r="X33"/>
  <c r="X34"/>
  <c r="X12"/>
  <c r="U14"/>
  <c r="U15" s="1"/>
  <c r="U16"/>
  <c r="U17"/>
  <c r="U19"/>
  <c r="U20"/>
  <c r="U21"/>
  <c r="U23"/>
  <c r="U24"/>
  <c r="U25"/>
  <c r="U27"/>
  <c r="U28"/>
  <c r="U31"/>
  <c r="U32"/>
  <c r="U33"/>
  <c r="U34"/>
  <c r="R13"/>
  <c r="R14"/>
  <c r="R16"/>
  <c r="R17"/>
  <c r="R19"/>
  <c r="R20"/>
  <c r="R21"/>
  <c r="R23"/>
  <c r="R24"/>
  <c r="R27"/>
  <c r="R28"/>
  <c r="R31"/>
  <c r="R32"/>
  <c r="R33"/>
  <c r="R34"/>
  <c r="R12"/>
  <c r="O13"/>
  <c r="O14"/>
  <c r="O16"/>
  <c r="O17"/>
  <c r="O19"/>
  <c r="O21"/>
  <c r="F21" s="1"/>
  <c r="O22"/>
  <c r="O23"/>
  <c r="F23" s="1"/>
  <c r="O24"/>
  <c r="O25"/>
  <c r="F25" s="1"/>
  <c r="O27"/>
  <c r="O28"/>
  <c r="O12"/>
  <c r="L13"/>
  <c r="L14"/>
  <c r="L15"/>
  <c r="L16"/>
  <c r="L17"/>
  <c r="L18"/>
  <c r="L19"/>
  <c r="L21"/>
  <c r="L22"/>
  <c r="L23"/>
  <c r="L24"/>
  <c r="L25"/>
  <c r="L27"/>
  <c r="L28"/>
  <c r="L29"/>
  <c r="L31"/>
  <c r="L32"/>
  <c r="L33"/>
  <c r="L34"/>
  <c r="L12"/>
  <c r="I14"/>
  <c r="F14" s="1"/>
  <c r="I16"/>
  <c r="F16" s="1"/>
  <c r="I17"/>
  <c r="F17" s="1"/>
  <c r="I19"/>
  <c r="I20"/>
  <c r="F20" s="1"/>
  <c r="I24"/>
  <c r="I27"/>
  <c r="F27" s="1"/>
  <c r="I28"/>
  <c r="I32"/>
  <c r="F32" s="1"/>
  <c r="I33"/>
  <c r="F33" s="1"/>
  <c r="I12"/>
  <c r="F28" l="1"/>
  <c r="F24"/>
  <c r="F19"/>
  <c r="L35"/>
  <c r="L26"/>
  <c r="F22"/>
  <c r="F13"/>
  <c r="F34"/>
  <c r="U35"/>
  <c r="AD26"/>
  <c r="AD68"/>
  <c r="F62"/>
  <c r="F32" i="41"/>
  <c r="O34"/>
  <c r="F48"/>
  <c r="D59"/>
  <c r="J25" i="8" s="1"/>
  <c r="Q34" i="40"/>
  <c r="Q32"/>
  <c r="Q30"/>
  <c r="Q28"/>
  <c r="E41"/>
  <c r="Q9"/>
  <c r="H41"/>
  <c r="E25" i="9"/>
  <c r="E11"/>
  <c r="F11" s="1"/>
  <c r="I15" i="7"/>
  <c r="F12"/>
  <c r="F31"/>
  <c r="E51" i="9"/>
  <c r="Q5" i="40"/>
  <c r="O26" i="7"/>
  <c r="W20" i="8"/>
  <c r="L36" i="7"/>
  <c r="L91" s="1"/>
  <c r="O35"/>
  <c r="E11" i="17"/>
  <c r="F11" s="1"/>
  <c r="F51" i="9"/>
  <c r="I35" i="7"/>
  <c r="D26" i="18"/>
  <c r="D23" s="1"/>
  <c r="F71" i="9"/>
  <c r="X27" i="8"/>
  <c r="F27" s="1"/>
  <c r="I26" i="18" s="1"/>
  <c r="R35" i="7"/>
  <c r="U26"/>
  <c r="F59" i="41"/>
  <c r="L25" i="8" s="1"/>
  <c r="O59" i="41"/>
  <c r="R26" i="7"/>
  <c r="E59" i="41"/>
  <c r="K25" i="8" s="1"/>
  <c r="I26" i="7"/>
  <c r="E10" i="17"/>
  <c r="F10" s="1"/>
  <c r="F42" i="9"/>
  <c r="X35" i="7"/>
  <c r="AD35"/>
  <c r="AD96"/>
  <c r="Q4" i="40"/>
  <c r="Q37"/>
  <c r="Q33"/>
  <c r="Q29"/>
  <c r="E64" i="9"/>
  <c r="F64" s="1"/>
  <c r="D18" i="17"/>
  <c r="E10" i="9"/>
  <c r="F10" s="1"/>
  <c r="H26" i="18"/>
  <c r="D44" i="17"/>
  <c r="Q8" i="40"/>
  <c r="I7" i="18"/>
  <c r="F13" i="1"/>
  <c r="F18"/>
  <c r="F21"/>
  <c r="F22"/>
  <c r="F28"/>
  <c r="F27"/>
  <c r="F31"/>
  <c r="F32"/>
  <c r="F11"/>
  <c r="F5"/>
  <c r="F7" s="1"/>
  <c r="F46"/>
  <c r="F48"/>
  <c r="F50"/>
  <c r="F45"/>
  <c r="F25" l="1"/>
  <c r="F25" i="9"/>
  <c r="E36"/>
  <c r="F36" s="1"/>
  <c r="Q41" i="40"/>
  <c r="F35" i="7"/>
  <c r="X20" i="8"/>
  <c r="F52" i="1"/>
  <c r="I23" i="8" s="1"/>
  <c r="F14" i="1"/>
  <c r="E44" i="17"/>
  <c r="F44" s="1"/>
  <c r="F18"/>
  <c r="D15"/>
  <c r="D19" s="1"/>
  <c r="E22" i="9"/>
  <c r="E5" i="17"/>
  <c r="F34" i="1"/>
  <c r="C11" i="21"/>
  <c r="C16" s="1"/>
  <c r="H16" i="46"/>
  <c r="H5"/>
  <c r="H6"/>
  <c r="H7"/>
  <c r="H8"/>
  <c r="H9"/>
  <c r="H10"/>
  <c r="H11"/>
  <c r="H12"/>
  <c r="H13"/>
  <c r="H17"/>
  <c r="H19"/>
  <c r="H20"/>
  <c r="H21"/>
  <c r="H22"/>
  <c r="H24"/>
  <c r="H25"/>
  <c r="H27"/>
  <c r="H28"/>
  <c r="H31"/>
  <c r="H32"/>
  <c r="H33"/>
  <c r="H34"/>
  <c r="H35"/>
  <c r="H37"/>
  <c r="H38"/>
  <c r="H39"/>
  <c r="H40"/>
  <c r="H4"/>
  <c r="H29" l="1"/>
  <c r="H26"/>
  <c r="H15"/>
  <c r="F22" i="9"/>
  <c r="F5" i="17"/>
  <c r="F35" i="1"/>
  <c r="H23" i="46"/>
  <c r="H18"/>
  <c r="D21" i="7"/>
  <c r="D27"/>
  <c r="D28"/>
  <c r="D30"/>
  <c r="D31"/>
  <c r="D32"/>
  <c r="D33"/>
  <c r="D34"/>
  <c r="H26"/>
  <c r="J26"/>
  <c r="J36" s="1"/>
  <c r="J91" s="1"/>
  <c r="K26"/>
  <c r="E11" i="21"/>
  <c r="AB65" i="7"/>
  <c r="K36" l="1"/>
  <c r="K91" s="1"/>
  <c r="H30" i="46"/>
  <c r="C60" i="9"/>
  <c r="C63"/>
  <c r="D27" i="8"/>
  <c r="F29" i="40"/>
  <c r="O29" s="1"/>
  <c r="D65" i="7"/>
  <c r="E64"/>
  <c r="E65"/>
  <c r="F65"/>
  <c r="D67"/>
  <c r="E67"/>
  <c r="M32" i="15"/>
  <c r="D32" s="1"/>
  <c r="M29"/>
  <c r="M37" s="1"/>
  <c r="C74" i="9"/>
  <c r="C21" i="17" s="1"/>
  <c r="D29" i="15" l="1"/>
  <c r="F28" i="40"/>
  <c r="F41" s="1"/>
  <c r="D28" i="18"/>
  <c r="D31" s="1"/>
  <c r="D32" s="1"/>
  <c r="D21" i="17"/>
  <c r="O28" i="40"/>
  <c r="F32" i="15"/>
  <c r="F37" s="1"/>
  <c r="D81" i="9"/>
  <c r="F81" s="1"/>
  <c r="E28" i="18"/>
  <c r="C30"/>
  <c r="C77" i="9"/>
  <c r="C29" i="18" s="1"/>
  <c r="D20" i="17" l="1"/>
  <c r="F20" s="1"/>
  <c r="C28" i="18"/>
  <c r="AB64" i="7"/>
  <c r="AB63" s="1"/>
  <c r="AB68" s="1"/>
  <c r="C9" i="40"/>
  <c r="C41" s="1"/>
  <c r="D25" i="17" l="1"/>
  <c r="D29" s="1"/>
  <c r="D59"/>
  <c r="E13"/>
  <c r="E6" i="18"/>
  <c r="O9" i="40"/>
  <c r="O41" s="1"/>
  <c r="V20" i="8"/>
  <c r="D64" i="7"/>
  <c r="F13" i="17" l="1"/>
  <c r="F64" i="7"/>
  <c r="F9" i="37"/>
  <c r="G64" i="46" l="1"/>
  <c r="H64" s="1"/>
  <c r="E64"/>
  <c r="C75" i="9" l="1"/>
  <c r="H7" i="6" l="1"/>
  <c r="J7"/>
  <c r="G7"/>
  <c r="D7" i="1"/>
  <c r="I5" i="37"/>
  <c r="I6"/>
  <c r="I7"/>
  <c r="I8"/>
  <c r="I9"/>
  <c r="I4"/>
  <c r="B12" i="45" l="1"/>
  <c r="B9"/>
  <c r="D34" i="1" l="1"/>
  <c r="D28"/>
  <c r="D25"/>
  <c r="D17"/>
  <c r="D35" l="1"/>
  <c r="C64" i="43" l="1"/>
  <c r="D64"/>
  <c r="B64"/>
  <c r="C55"/>
  <c r="D55"/>
  <c r="B55"/>
  <c r="C11" i="9"/>
  <c r="D50" i="16"/>
  <c r="E43" i="43" l="1"/>
  <c r="E55"/>
  <c r="E29"/>
  <c r="E64"/>
  <c r="D53" i="16"/>
  <c r="D54"/>
  <c r="D55"/>
  <c r="D56"/>
  <c r="D57"/>
  <c r="H11" i="8" l="1"/>
  <c r="I11"/>
  <c r="H12"/>
  <c r="I12"/>
  <c r="H13"/>
  <c r="I13"/>
  <c r="H14"/>
  <c r="I14"/>
  <c r="H15"/>
  <c r="I15"/>
  <c r="G11"/>
  <c r="H9"/>
  <c r="I9"/>
  <c r="G9"/>
  <c r="D7" i="7"/>
  <c r="Y6" i="8" s="1"/>
  <c r="E7" i="7"/>
  <c r="Z6" i="8" s="1"/>
  <c r="F7" i="7"/>
  <c r="AA6" i="8" s="1"/>
  <c r="D8" i="7"/>
  <c r="Y7" i="8" s="1"/>
  <c r="Z7"/>
  <c r="AA7"/>
  <c r="D10" i="7"/>
  <c r="Y9" i="8" s="1"/>
  <c r="Z9"/>
  <c r="AA9"/>
  <c r="D12" i="7"/>
  <c r="D13"/>
  <c r="D14"/>
  <c r="D16"/>
  <c r="D17"/>
  <c r="D19"/>
  <c r="D58"/>
  <c r="D59"/>
  <c r="D60"/>
  <c r="D61"/>
  <c r="D62"/>
  <c r="D63"/>
  <c r="Y21" i="8" s="1"/>
  <c r="Z21"/>
  <c r="E21" s="1"/>
  <c r="AA21"/>
  <c r="F21" s="1"/>
  <c r="E40" i="17" s="1"/>
  <c r="E6" i="7"/>
  <c r="Z5" i="8" s="1"/>
  <c r="AA5"/>
  <c r="D6" i="7"/>
  <c r="Y5" i="8" s="1"/>
  <c r="J24" i="6"/>
  <c r="I16" i="8" l="1"/>
  <c r="D40" i="17"/>
  <c r="H10" i="18"/>
  <c r="D21" i="8"/>
  <c r="H16"/>
  <c r="U64" i="41"/>
  <c r="T64"/>
  <c r="S64"/>
  <c r="R64"/>
  <c r="Q64"/>
  <c r="P64"/>
  <c r="O64"/>
  <c r="N64"/>
  <c r="M64"/>
  <c r="I64"/>
  <c r="H64"/>
  <c r="G64"/>
  <c r="D63"/>
  <c r="D62"/>
  <c r="D61"/>
  <c r="U53"/>
  <c r="T53"/>
  <c r="S53"/>
  <c r="R53"/>
  <c r="Q53"/>
  <c r="P53"/>
  <c r="O53"/>
  <c r="N53"/>
  <c r="M53"/>
  <c r="I53"/>
  <c r="H53"/>
  <c r="G53"/>
  <c r="D52"/>
  <c r="D51"/>
  <c r="D50"/>
  <c r="D49"/>
  <c r="D48"/>
  <c r="D47"/>
  <c r="D46"/>
  <c r="T34"/>
  <c r="S34"/>
  <c r="Q34"/>
  <c r="P34"/>
  <c r="N34"/>
  <c r="E34" s="1"/>
  <c r="M34"/>
  <c r="I34"/>
  <c r="F34" s="1"/>
  <c r="G34"/>
  <c r="D34" s="1"/>
  <c r="U28"/>
  <c r="T28"/>
  <c r="S28"/>
  <c r="R28"/>
  <c r="Q28"/>
  <c r="P28"/>
  <c r="O28"/>
  <c r="N28"/>
  <c r="M28"/>
  <c r="H28"/>
  <c r="G28"/>
  <c r="U25"/>
  <c r="T25"/>
  <c r="S25"/>
  <c r="Q25"/>
  <c r="P25"/>
  <c r="O25"/>
  <c r="N25"/>
  <c r="M25"/>
  <c r="H25"/>
  <c r="E25" s="1"/>
  <c r="G25"/>
  <c r="D25" s="1"/>
  <c r="U17"/>
  <c r="T17"/>
  <c r="S17"/>
  <c r="R17"/>
  <c r="Q17"/>
  <c r="P17"/>
  <c r="O17"/>
  <c r="N17"/>
  <c r="M17"/>
  <c r="H17"/>
  <c r="G17"/>
  <c r="T14"/>
  <c r="S14"/>
  <c r="Q14"/>
  <c r="P14"/>
  <c r="N14"/>
  <c r="M14"/>
  <c r="H14"/>
  <c r="G14"/>
  <c r="D9"/>
  <c r="D8"/>
  <c r="F7"/>
  <c r="E7"/>
  <c r="D7"/>
  <c r="D6"/>
  <c r="D5"/>
  <c r="E22" i="5"/>
  <c r="F22"/>
  <c r="E9" i="6"/>
  <c r="Q9" i="8" s="1"/>
  <c r="F9" i="6"/>
  <c r="R9" i="8" s="1"/>
  <c r="D9" i="6"/>
  <c r="E6"/>
  <c r="Q6" i="8" s="1"/>
  <c r="F6" i="6"/>
  <c r="D6"/>
  <c r="E5"/>
  <c r="Q5" i="8" s="1"/>
  <c r="F5" i="6"/>
  <c r="R5" i="8" s="1"/>
  <c r="D5" i="6"/>
  <c r="D10" i="37"/>
  <c r="T16" i="8" s="1"/>
  <c r="E10" i="37"/>
  <c r="U16" i="8" s="1"/>
  <c r="F10" i="37"/>
  <c r="S18" i="8" s="1"/>
  <c r="G10" i="37"/>
  <c r="T18" i="8" s="1"/>
  <c r="E18" s="1"/>
  <c r="H10" i="37"/>
  <c r="U18" i="8" s="1"/>
  <c r="F18" s="1"/>
  <c r="I10" i="37"/>
  <c r="J10"/>
  <c r="C10"/>
  <c r="S16" i="8" s="1"/>
  <c r="N25"/>
  <c r="E25" s="1"/>
  <c r="O25"/>
  <c r="F25" s="1"/>
  <c r="M25"/>
  <c r="D25" s="1"/>
  <c r="N14"/>
  <c r="O14"/>
  <c r="N15"/>
  <c r="O15"/>
  <c r="N9"/>
  <c r="O9"/>
  <c r="N5"/>
  <c r="O5"/>
  <c r="N6"/>
  <c r="O6"/>
  <c r="H5"/>
  <c r="I5"/>
  <c r="H6"/>
  <c r="I6"/>
  <c r="G5"/>
  <c r="F53" i="41" l="1"/>
  <c r="L23" i="8" s="1"/>
  <c r="E53" i="41"/>
  <c r="K23" i="8" s="1"/>
  <c r="D64" i="41"/>
  <c r="E6" i="8"/>
  <c r="F40" i="17"/>
  <c r="U35" i="41"/>
  <c r="U66" s="1"/>
  <c r="F64"/>
  <c r="E43" i="17"/>
  <c r="I25" i="18"/>
  <c r="I8"/>
  <c r="E38" i="17"/>
  <c r="K15" i="8"/>
  <c r="K13"/>
  <c r="E9"/>
  <c r="E5"/>
  <c r="F9"/>
  <c r="F5"/>
  <c r="D38" i="17"/>
  <c r="H8" i="18"/>
  <c r="D43" i="17"/>
  <c r="H25" i="18"/>
  <c r="L15" i="8"/>
  <c r="I25" i="41"/>
  <c r="F25" s="1"/>
  <c r="J13" i="8"/>
  <c r="I17" i="41"/>
  <c r="J17" s="1"/>
  <c r="I28"/>
  <c r="I14"/>
  <c r="W29" i="8"/>
  <c r="X29"/>
  <c r="U29"/>
  <c r="P35" i="41"/>
  <c r="P66" s="1"/>
  <c r="T35"/>
  <c r="T66" s="1"/>
  <c r="N35"/>
  <c r="R35"/>
  <c r="R66" s="1"/>
  <c r="H35"/>
  <c r="H66" s="1"/>
  <c r="O35"/>
  <c r="S35"/>
  <c r="S66" s="1"/>
  <c r="Q35"/>
  <c r="Q66" s="1"/>
  <c r="T29" i="8"/>
  <c r="S29"/>
  <c r="D18"/>
  <c r="G7" i="18"/>
  <c r="G10"/>
  <c r="C40" i="17"/>
  <c r="J15" i="8"/>
  <c r="D53" i="41"/>
  <c r="J23" i="8" s="1"/>
  <c r="I7"/>
  <c r="I29" s="1"/>
  <c r="V29"/>
  <c r="H7"/>
  <c r="G35" i="41"/>
  <c r="M35"/>
  <c r="M66" s="1"/>
  <c r="E7" i="6"/>
  <c r="F7"/>
  <c r="D7"/>
  <c r="R6" i="8"/>
  <c r="Q7"/>
  <c r="O7"/>
  <c r="N7"/>
  <c r="I68" i="7"/>
  <c r="H68"/>
  <c r="G68"/>
  <c r="N29"/>
  <c r="M29"/>
  <c r="H29"/>
  <c r="G29"/>
  <c r="N26"/>
  <c r="M26"/>
  <c r="G26"/>
  <c r="N18"/>
  <c r="M18"/>
  <c r="H18"/>
  <c r="G18"/>
  <c r="N15"/>
  <c r="M15"/>
  <c r="H15"/>
  <c r="G15"/>
  <c r="K17" i="41" l="1"/>
  <c r="E17" s="1"/>
  <c r="K12" i="8" s="1"/>
  <c r="L17" i="41"/>
  <c r="D17"/>
  <c r="J12" i="8" s="1"/>
  <c r="M36" i="7"/>
  <c r="G66" i="41"/>
  <c r="L12" i="8"/>
  <c r="F17" i="41"/>
  <c r="J28"/>
  <c r="J14"/>
  <c r="N66"/>
  <c r="O66"/>
  <c r="H36" i="7"/>
  <c r="H91" s="1"/>
  <c r="I18"/>
  <c r="G36"/>
  <c r="G91" s="1"/>
  <c r="F38" i="17"/>
  <c r="F43"/>
  <c r="N36" i="7"/>
  <c r="N91" s="1"/>
  <c r="E7" i="8"/>
  <c r="I35" i="41"/>
  <c r="R7" i="8"/>
  <c r="F7" s="1"/>
  <c r="F6"/>
  <c r="I29" i="7"/>
  <c r="O18"/>
  <c r="O36" s="1"/>
  <c r="O91" s="1"/>
  <c r="O29"/>
  <c r="O15"/>
  <c r="M91"/>
  <c r="D14" i="41" l="1"/>
  <c r="J11" i="8" s="1"/>
  <c r="K14" i="41"/>
  <c r="E14" s="1"/>
  <c r="K11" i="8" s="1"/>
  <c r="I36" i="7"/>
  <c r="I91" s="1"/>
  <c r="K28" i="41"/>
  <c r="J35"/>
  <c r="D28"/>
  <c r="J14" i="8" s="1"/>
  <c r="I66" i="41"/>
  <c r="L13" i="8"/>
  <c r="J17" i="29"/>
  <c r="J16" s="1"/>
  <c r="I16"/>
  <c r="H16"/>
  <c r="G16"/>
  <c r="E16"/>
  <c r="D16"/>
  <c r="J13"/>
  <c r="J12"/>
  <c r="I11"/>
  <c r="H11"/>
  <c r="G11"/>
  <c r="F11"/>
  <c r="F19" s="1"/>
  <c r="E11"/>
  <c r="E19" s="1"/>
  <c r="D11"/>
  <c r="E7"/>
  <c r="E16" i="21"/>
  <c r="AB15" i="7"/>
  <c r="AC15"/>
  <c r="AB18"/>
  <c r="AC18"/>
  <c r="AB26"/>
  <c r="AC26"/>
  <c r="AB29"/>
  <c r="AC29"/>
  <c r="AB35"/>
  <c r="AB36" s="1"/>
  <c r="AC35"/>
  <c r="M72" i="15"/>
  <c r="J72"/>
  <c r="E78" i="12"/>
  <c r="N68" i="15" s="1"/>
  <c r="F78" i="12"/>
  <c r="O68" i="15" s="1"/>
  <c r="G78" i="12"/>
  <c r="I78"/>
  <c r="J78"/>
  <c r="K78"/>
  <c r="L78"/>
  <c r="M78"/>
  <c r="N78"/>
  <c r="O78"/>
  <c r="P78"/>
  <c r="Q78"/>
  <c r="R78"/>
  <c r="S78"/>
  <c r="T78"/>
  <c r="U78"/>
  <c r="V78"/>
  <c r="W78"/>
  <c r="X78"/>
  <c r="D71"/>
  <c r="D72"/>
  <c r="D73"/>
  <c r="D74"/>
  <c r="D75"/>
  <c r="D76"/>
  <c r="D77"/>
  <c r="D70"/>
  <c r="D36"/>
  <c r="D37"/>
  <c r="D39"/>
  <c r="D40"/>
  <c r="D42"/>
  <c r="D43"/>
  <c r="D44"/>
  <c r="D45"/>
  <c r="D47"/>
  <c r="D48"/>
  <c r="D49"/>
  <c r="D50"/>
  <c r="D52"/>
  <c r="D53"/>
  <c r="D55"/>
  <c r="D56"/>
  <c r="D57"/>
  <c r="D58"/>
  <c r="D59"/>
  <c r="D35"/>
  <c r="D27"/>
  <c r="D28"/>
  <c r="D29"/>
  <c r="D30"/>
  <c r="D32"/>
  <c r="D20"/>
  <c r="D21"/>
  <c r="D22"/>
  <c r="D6"/>
  <c r="D7"/>
  <c r="D8"/>
  <c r="D9"/>
  <c r="D10"/>
  <c r="D11"/>
  <c r="D12"/>
  <c r="D13"/>
  <c r="D14"/>
  <c r="D15"/>
  <c r="D16"/>
  <c r="D17"/>
  <c r="D18"/>
  <c r="D5"/>
  <c r="E23"/>
  <c r="N55" i="15" s="1"/>
  <c r="F23" i="12"/>
  <c r="O55" i="15" s="1"/>
  <c r="G23" i="12"/>
  <c r="H23"/>
  <c r="I23"/>
  <c r="J23"/>
  <c r="K23"/>
  <c r="L23"/>
  <c r="M23"/>
  <c r="N23"/>
  <c r="O23"/>
  <c r="P23"/>
  <c r="Q23"/>
  <c r="S23"/>
  <c r="T23"/>
  <c r="U23"/>
  <c r="V23"/>
  <c r="W23"/>
  <c r="X23"/>
  <c r="E19"/>
  <c r="N54" i="15" s="1"/>
  <c r="F19" i="12"/>
  <c r="G19"/>
  <c r="H19"/>
  <c r="I19"/>
  <c r="J19"/>
  <c r="J24" s="1"/>
  <c r="K19"/>
  <c r="L19"/>
  <c r="M19"/>
  <c r="N19"/>
  <c r="P19"/>
  <c r="P24" s="1"/>
  <c r="Q19"/>
  <c r="S19"/>
  <c r="T19"/>
  <c r="U19"/>
  <c r="V19"/>
  <c r="W19"/>
  <c r="X19"/>
  <c r="D69" i="16"/>
  <c r="D70"/>
  <c r="D71"/>
  <c r="D72"/>
  <c r="D73"/>
  <c r="D74"/>
  <c r="D75"/>
  <c r="D68"/>
  <c r="E58"/>
  <c r="K63" i="15" s="1"/>
  <c r="E63" s="1"/>
  <c r="F58" i="16"/>
  <c r="L63" i="15" s="1"/>
  <c r="F63" s="1"/>
  <c r="G58" i="16"/>
  <c r="H58"/>
  <c r="I58"/>
  <c r="J58"/>
  <c r="K58"/>
  <c r="L58"/>
  <c r="M58"/>
  <c r="N58"/>
  <c r="O58"/>
  <c r="P58"/>
  <c r="Q58"/>
  <c r="R58"/>
  <c r="S58"/>
  <c r="T58"/>
  <c r="U58"/>
  <c r="E52"/>
  <c r="K62" i="15" s="1"/>
  <c r="E62" s="1"/>
  <c r="F52" i="16"/>
  <c r="L62" i="15" s="1"/>
  <c r="F62" s="1"/>
  <c r="G52" i="16"/>
  <c r="H52"/>
  <c r="I52"/>
  <c r="J52"/>
  <c r="K52"/>
  <c r="L52"/>
  <c r="M52"/>
  <c r="N52"/>
  <c r="O52"/>
  <c r="P52"/>
  <c r="Q52"/>
  <c r="R52"/>
  <c r="S52"/>
  <c r="T52"/>
  <c r="U52"/>
  <c r="E49"/>
  <c r="K61" i="15" s="1"/>
  <c r="E61" s="1"/>
  <c r="F49" i="16"/>
  <c r="L61" i="15" s="1"/>
  <c r="F61" s="1"/>
  <c r="I49" i="16"/>
  <c r="K49"/>
  <c r="L49"/>
  <c r="M49"/>
  <c r="N49"/>
  <c r="O49"/>
  <c r="Q49"/>
  <c r="R49"/>
  <c r="T49"/>
  <c r="U49"/>
  <c r="E39"/>
  <c r="K60" i="15" s="1"/>
  <c r="E60" s="1"/>
  <c r="F39" i="16"/>
  <c r="L60" i="15" s="1"/>
  <c r="F60" s="1"/>
  <c r="G39" i="16"/>
  <c r="H39"/>
  <c r="I39"/>
  <c r="J39"/>
  <c r="K39"/>
  <c r="L39"/>
  <c r="M39"/>
  <c r="N39"/>
  <c r="O39"/>
  <c r="P39"/>
  <c r="Q39"/>
  <c r="R39"/>
  <c r="S39"/>
  <c r="T39"/>
  <c r="U39"/>
  <c r="E36"/>
  <c r="K59" i="15" s="1"/>
  <c r="F36" i="16"/>
  <c r="L59" i="15" s="1"/>
  <c r="G36" i="16"/>
  <c r="H36"/>
  <c r="I36"/>
  <c r="J36"/>
  <c r="K36"/>
  <c r="L36"/>
  <c r="M36"/>
  <c r="N36"/>
  <c r="O36"/>
  <c r="P36"/>
  <c r="Q36"/>
  <c r="R36"/>
  <c r="S36"/>
  <c r="T36"/>
  <c r="U36"/>
  <c r="D52"/>
  <c r="J62" i="15" s="1"/>
  <c r="D58" i="16"/>
  <c r="D34"/>
  <c r="D35"/>
  <c r="D37"/>
  <c r="D38"/>
  <c r="D40"/>
  <c r="D41"/>
  <c r="D42"/>
  <c r="D43"/>
  <c r="D45"/>
  <c r="D46"/>
  <c r="D47"/>
  <c r="D48"/>
  <c r="D33"/>
  <c r="D31"/>
  <c r="D27"/>
  <c r="D28"/>
  <c r="D29"/>
  <c r="D30"/>
  <c r="E23"/>
  <c r="K55" i="15" s="1"/>
  <c r="F23" i="16"/>
  <c r="L55" i="15" s="1"/>
  <c r="G23" i="16"/>
  <c r="H23"/>
  <c r="I23"/>
  <c r="J23"/>
  <c r="K23"/>
  <c r="L23"/>
  <c r="M23"/>
  <c r="N23"/>
  <c r="O23"/>
  <c r="P23"/>
  <c r="Q23"/>
  <c r="R23"/>
  <c r="S23"/>
  <c r="T23"/>
  <c r="U23"/>
  <c r="D22"/>
  <c r="D21"/>
  <c r="E19"/>
  <c r="K54" i="15" s="1"/>
  <c r="F19" i="16"/>
  <c r="L54" i="15" s="1"/>
  <c r="G19" i="16"/>
  <c r="H19"/>
  <c r="I19"/>
  <c r="J19"/>
  <c r="J24" s="1"/>
  <c r="K19"/>
  <c r="L19"/>
  <c r="M19"/>
  <c r="N19"/>
  <c r="O19"/>
  <c r="P19"/>
  <c r="Q19"/>
  <c r="R19"/>
  <c r="R24" s="1"/>
  <c r="S19"/>
  <c r="T19"/>
  <c r="U19"/>
  <c r="D6"/>
  <c r="D7"/>
  <c r="D8"/>
  <c r="D9"/>
  <c r="D10"/>
  <c r="D11"/>
  <c r="D12"/>
  <c r="D13"/>
  <c r="D14"/>
  <c r="D15"/>
  <c r="D16"/>
  <c r="D17"/>
  <c r="D18"/>
  <c r="D5"/>
  <c r="G29" i="18"/>
  <c r="U82" i="16"/>
  <c r="T82"/>
  <c r="S82"/>
  <c r="R82"/>
  <c r="Q82"/>
  <c r="P82"/>
  <c r="O82"/>
  <c r="N82"/>
  <c r="M82"/>
  <c r="L82"/>
  <c r="K82"/>
  <c r="J82"/>
  <c r="I82"/>
  <c r="H82"/>
  <c r="G82"/>
  <c r="F82"/>
  <c r="E82"/>
  <c r="D81"/>
  <c r="D80"/>
  <c r="D79"/>
  <c r="D78"/>
  <c r="U76"/>
  <c r="T76"/>
  <c r="S76"/>
  <c r="R76"/>
  <c r="Q76"/>
  <c r="P76"/>
  <c r="O76"/>
  <c r="N76"/>
  <c r="M76"/>
  <c r="L76"/>
  <c r="K76"/>
  <c r="J76"/>
  <c r="I76"/>
  <c r="H76"/>
  <c r="G76"/>
  <c r="F76"/>
  <c r="L68" i="15" s="1"/>
  <c r="E76" i="16"/>
  <c r="K68" i="15" s="1"/>
  <c r="E68" s="1"/>
  <c r="S49" i="16"/>
  <c r="P49"/>
  <c r="J49"/>
  <c r="G49"/>
  <c r="U26"/>
  <c r="T26"/>
  <c r="S26"/>
  <c r="R26"/>
  <c r="Q26"/>
  <c r="P26"/>
  <c r="O26"/>
  <c r="N26"/>
  <c r="M26"/>
  <c r="L26"/>
  <c r="K26"/>
  <c r="J26"/>
  <c r="I26"/>
  <c r="H26"/>
  <c r="G26"/>
  <c r="U24"/>
  <c r="D20"/>
  <c r="X84" i="12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3"/>
  <c r="D82"/>
  <c r="D81"/>
  <c r="D80"/>
  <c r="W24"/>
  <c r="U24"/>
  <c r="V24"/>
  <c r="N24"/>
  <c r="E24"/>
  <c r="D52" i="5"/>
  <c r="J16" i="15"/>
  <c r="C64" i="9"/>
  <c r="C51"/>
  <c r="D48" i="15"/>
  <c r="C67" i="9"/>
  <c r="C68" s="1"/>
  <c r="C7" i="18" s="1"/>
  <c r="D45" i="15"/>
  <c r="D46"/>
  <c r="C78" i="9"/>
  <c r="H44" i="15"/>
  <c r="J44"/>
  <c r="M44"/>
  <c r="N44"/>
  <c r="N49" s="1"/>
  <c r="G44"/>
  <c r="E64" i="5"/>
  <c r="F64"/>
  <c r="G64"/>
  <c r="H64"/>
  <c r="I64"/>
  <c r="J64"/>
  <c r="K64"/>
  <c r="L64"/>
  <c r="M64"/>
  <c r="N64"/>
  <c r="O64"/>
  <c r="P64"/>
  <c r="Q64"/>
  <c r="R64"/>
  <c r="D62"/>
  <c r="D63"/>
  <c r="D61"/>
  <c r="I22" i="14"/>
  <c r="G6" i="8"/>
  <c r="C17" i="17"/>
  <c r="C12"/>
  <c r="G37" i="15"/>
  <c r="D28"/>
  <c r="D63" i="1"/>
  <c r="C42" i="9"/>
  <c r="AC96" i="7"/>
  <c r="AC100" s="1"/>
  <c r="Z31" i="8" s="1"/>
  <c r="E31" s="1"/>
  <c r="P96" i="7"/>
  <c r="Q96"/>
  <c r="R96"/>
  <c r="S96"/>
  <c r="S100" s="1"/>
  <c r="T96"/>
  <c r="T100" s="1"/>
  <c r="U96"/>
  <c r="U100" s="1"/>
  <c r="V96"/>
  <c r="V100" s="1"/>
  <c r="W96"/>
  <c r="W100" s="1"/>
  <c r="X96"/>
  <c r="X100" s="1"/>
  <c r="K43" i="15"/>
  <c r="N43"/>
  <c r="D17"/>
  <c r="D18"/>
  <c r="D19"/>
  <c r="D20"/>
  <c r="D21"/>
  <c r="D22"/>
  <c r="D23"/>
  <c r="D24"/>
  <c r="D25"/>
  <c r="D26"/>
  <c r="M16"/>
  <c r="M4"/>
  <c r="M15" s="1"/>
  <c r="C40"/>
  <c r="C39" i="9"/>
  <c r="E39" s="1"/>
  <c r="D76" i="15"/>
  <c r="G72"/>
  <c r="M42"/>
  <c r="J42"/>
  <c r="L42" s="1"/>
  <c r="G42"/>
  <c r="D41"/>
  <c r="M40"/>
  <c r="D39"/>
  <c r="J40"/>
  <c r="L40" s="1"/>
  <c r="G40"/>
  <c r="I40" s="1"/>
  <c r="D38"/>
  <c r="C9" i="17"/>
  <c r="C36" i="9"/>
  <c r="AB96" i="7"/>
  <c r="AB100" s="1"/>
  <c r="I80" i="14"/>
  <c r="G70" i="15"/>
  <c r="I74" i="14"/>
  <c r="F66" i="15"/>
  <c r="I25" i="14"/>
  <c r="I18"/>
  <c r="J37" i="15"/>
  <c r="P53" i="5"/>
  <c r="Q53"/>
  <c r="R53"/>
  <c r="P14"/>
  <c r="Q14"/>
  <c r="R14"/>
  <c r="P17"/>
  <c r="Q17"/>
  <c r="R17"/>
  <c r="P25"/>
  <c r="Q25"/>
  <c r="R25"/>
  <c r="P28"/>
  <c r="Q28"/>
  <c r="R28"/>
  <c r="P34"/>
  <c r="Q34"/>
  <c r="R34"/>
  <c r="D8"/>
  <c r="D11"/>
  <c r="D12"/>
  <c r="D13"/>
  <c r="D15"/>
  <c r="D16"/>
  <c r="D18"/>
  <c r="D19"/>
  <c r="D20"/>
  <c r="D21"/>
  <c r="D23"/>
  <c r="D24"/>
  <c r="D26"/>
  <c r="D27"/>
  <c r="D29"/>
  <c r="D30"/>
  <c r="D31"/>
  <c r="D32"/>
  <c r="D33"/>
  <c r="D46"/>
  <c r="D48"/>
  <c r="D49"/>
  <c r="D50"/>
  <c r="D51"/>
  <c r="C10" i="9"/>
  <c r="H28" i="5"/>
  <c r="I28"/>
  <c r="J28"/>
  <c r="K28"/>
  <c r="L28"/>
  <c r="M28"/>
  <c r="N28"/>
  <c r="O28"/>
  <c r="H34"/>
  <c r="I34"/>
  <c r="J34"/>
  <c r="K34"/>
  <c r="L34"/>
  <c r="M34"/>
  <c r="N34"/>
  <c r="O34"/>
  <c r="H53"/>
  <c r="I53"/>
  <c r="J53"/>
  <c r="K53"/>
  <c r="L53"/>
  <c r="M53"/>
  <c r="N53"/>
  <c r="O53"/>
  <c r="E53"/>
  <c r="N23" i="8" s="1"/>
  <c r="F53" i="5"/>
  <c r="O23" i="8" s="1"/>
  <c r="G28" i="5"/>
  <c r="G34"/>
  <c r="E7"/>
  <c r="F7"/>
  <c r="F25"/>
  <c r="O13" i="8" s="1"/>
  <c r="E25" i="5"/>
  <c r="O25"/>
  <c r="N25"/>
  <c r="M25"/>
  <c r="L25"/>
  <c r="K25"/>
  <c r="J25"/>
  <c r="I25"/>
  <c r="H25"/>
  <c r="F17"/>
  <c r="O12" i="8" s="1"/>
  <c r="E17" i="5"/>
  <c r="N12" i="8" s="1"/>
  <c r="O17" i="5"/>
  <c r="N17"/>
  <c r="M17"/>
  <c r="L17"/>
  <c r="K17"/>
  <c r="J17"/>
  <c r="I17"/>
  <c r="H17"/>
  <c r="G17"/>
  <c r="F14"/>
  <c r="O11" i="8" s="1"/>
  <c r="E14" i="5"/>
  <c r="N11" i="8" s="1"/>
  <c r="O14" i="5"/>
  <c r="N14"/>
  <c r="M14"/>
  <c r="L14"/>
  <c r="K14"/>
  <c r="J14"/>
  <c r="I14"/>
  <c r="H14"/>
  <c r="G14"/>
  <c r="G25"/>
  <c r="P35" i="7"/>
  <c r="Q35"/>
  <c r="S35"/>
  <c r="T35"/>
  <c r="V35"/>
  <c r="W35"/>
  <c r="P29"/>
  <c r="Q29"/>
  <c r="S29"/>
  <c r="T29"/>
  <c r="V29"/>
  <c r="W29"/>
  <c r="S26"/>
  <c r="T26"/>
  <c r="V26"/>
  <c r="W26"/>
  <c r="S18"/>
  <c r="T18"/>
  <c r="V18"/>
  <c r="W18"/>
  <c r="S15"/>
  <c r="T15"/>
  <c r="V15"/>
  <c r="W15"/>
  <c r="Q68"/>
  <c r="R68"/>
  <c r="S68"/>
  <c r="T68"/>
  <c r="U68"/>
  <c r="V68"/>
  <c r="W68"/>
  <c r="X68"/>
  <c r="P26"/>
  <c r="Q18"/>
  <c r="P18"/>
  <c r="Q15"/>
  <c r="E15" s="1"/>
  <c r="P15"/>
  <c r="H28" i="6"/>
  <c r="J28"/>
  <c r="K28"/>
  <c r="L28"/>
  <c r="M28"/>
  <c r="O28" s="1"/>
  <c r="O35" s="1"/>
  <c r="N28"/>
  <c r="P28"/>
  <c r="R28" s="1"/>
  <c r="Q28"/>
  <c r="S28"/>
  <c r="U28" s="1"/>
  <c r="T28"/>
  <c r="G28"/>
  <c r="D37"/>
  <c r="D12"/>
  <c r="D13"/>
  <c r="D15"/>
  <c r="D16"/>
  <c r="D18"/>
  <c r="D19"/>
  <c r="D20"/>
  <c r="D21"/>
  <c r="D23"/>
  <c r="D24"/>
  <c r="D26"/>
  <c r="D27"/>
  <c r="D29"/>
  <c r="D30"/>
  <c r="D31"/>
  <c r="D32"/>
  <c r="D33"/>
  <c r="D11"/>
  <c r="E45"/>
  <c r="Q23" i="8" s="1"/>
  <c r="F45" i="6"/>
  <c r="R23" i="8" s="1"/>
  <c r="H45" i="6"/>
  <c r="J45"/>
  <c r="K45"/>
  <c r="L45"/>
  <c r="M45"/>
  <c r="N45"/>
  <c r="O45"/>
  <c r="P45"/>
  <c r="Q45"/>
  <c r="R45"/>
  <c r="S45"/>
  <c r="T45"/>
  <c r="U45"/>
  <c r="G45"/>
  <c r="H34"/>
  <c r="J34"/>
  <c r="K34"/>
  <c r="L34"/>
  <c r="M34"/>
  <c r="N34"/>
  <c r="P34"/>
  <c r="R34" s="1"/>
  <c r="Q34"/>
  <c r="S34"/>
  <c r="U34" s="1"/>
  <c r="T34"/>
  <c r="G34"/>
  <c r="T25"/>
  <c r="S25"/>
  <c r="Q25"/>
  <c r="P25"/>
  <c r="N25"/>
  <c r="M25"/>
  <c r="L25"/>
  <c r="K25"/>
  <c r="J25"/>
  <c r="H25"/>
  <c r="G25"/>
  <c r="T17"/>
  <c r="S17"/>
  <c r="Q17"/>
  <c r="P17"/>
  <c r="N17"/>
  <c r="M17"/>
  <c r="L17"/>
  <c r="K17"/>
  <c r="J17"/>
  <c r="H17"/>
  <c r="G17"/>
  <c r="T14"/>
  <c r="S14"/>
  <c r="U14" s="1"/>
  <c r="Q14"/>
  <c r="P14"/>
  <c r="R14" s="1"/>
  <c r="N14"/>
  <c r="M14"/>
  <c r="L14"/>
  <c r="K14"/>
  <c r="J14"/>
  <c r="H14"/>
  <c r="G14"/>
  <c r="D43" i="1"/>
  <c r="E52"/>
  <c r="D52"/>
  <c r="G23" i="8" s="1"/>
  <c r="G15"/>
  <c r="G14"/>
  <c r="G13"/>
  <c r="G12"/>
  <c r="J4" i="15"/>
  <c r="E18" i="7" l="1"/>
  <c r="Z12" i="8" s="1"/>
  <c r="F68" i="7"/>
  <c r="E26"/>
  <c r="Z13" i="8" s="1"/>
  <c r="E29" i="7"/>
  <c r="Q36"/>
  <c r="Q91" s="1"/>
  <c r="E35"/>
  <c r="AD29"/>
  <c r="J66" i="41"/>
  <c r="D35"/>
  <c r="E68" i="7"/>
  <c r="X15"/>
  <c r="X18"/>
  <c r="U18"/>
  <c r="X26"/>
  <c r="F26" s="1"/>
  <c r="U29"/>
  <c r="V36"/>
  <c r="V91" s="1"/>
  <c r="P36"/>
  <c r="X24" i="12"/>
  <c r="L28" i="41"/>
  <c r="K35"/>
  <c r="E28"/>
  <c r="K14" i="8" s="1"/>
  <c r="L14" i="41"/>
  <c r="F14" s="1"/>
  <c r="L11" i="8" s="1"/>
  <c r="T36" i="7"/>
  <c r="AC36"/>
  <c r="AC91" s="1"/>
  <c r="H23" i="8"/>
  <c r="H29" s="1"/>
  <c r="E65" i="1"/>
  <c r="H24" i="12"/>
  <c r="E23" i="8"/>
  <c r="F68" i="15"/>
  <c r="E55"/>
  <c r="E9" i="17"/>
  <c r="E53" i="9"/>
  <c r="E72" s="1"/>
  <c r="Z15" i="8"/>
  <c r="R17" i="6"/>
  <c r="R35" s="1"/>
  <c r="D25"/>
  <c r="F28"/>
  <c r="R14" i="8" s="1"/>
  <c r="W36" i="7"/>
  <c r="W91" s="1"/>
  <c r="N24" i="16"/>
  <c r="M24" i="12"/>
  <c r="U36" i="7"/>
  <c r="O58" i="6"/>
  <c r="E28"/>
  <c r="Q14" i="8" s="1"/>
  <c r="X36" i="7"/>
  <c r="S36"/>
  <c r="S91" s="1"/>
  <c r="E26" i="16"/>
  <c r="K57" i="15" s="1"/>
  <c r="E57" s="1"/>
  <c r="D36" i="17" s="1"/>
  <c r="AD18" i="7"/>
  <c r="U17" i="6"/>
  <c r="U35" s="1"/>
  <c r="F34"/>
  <c r="X91" i="7"/>
  <c r="D38" i="12"/>
  <c r="F23" i="8"/>
  <c r="F55" i="15"/>
  <c r="T91" i="7"/>
  <c r="R15" i="8"/>
  <c r="E34" i="6"/>
  <c r="Q15" i="8" s="1"/>
  <c r="F25" i="6"/>
  <c r="R13" i="8" s="1"/>
  <c r="E25" i="6"/>
  <c r="Q13" i="8" s="1"/>
  <c r="E17" i="6"/>
  <c r="Q12" i="8" s="1"/>
  <c r="E14" i="6"/>
  <c r="F14"/>
  <c r="R11" i="8" s="1"/>
  <c r="I24" i="12"/>
  <c r="I88" s="1"/>
  <c r="N56" i="15"/>
  <c r="N74" s="1"/>
  <c r="N78" s="1"/>
  <c r="F24" i="12"/>
  <c r="F88" s="1"/>
  <c r="O54" i="15"/>
  <c r="O56" s="1"/>
  <c r="O74" s="1"/>
  <c r="O78" s="1"/>
  <c r="F26" i="16"/>
  <c r="L57" i="15" s="1"/>
  <c r="F57" s="1"/>
  <c r="K56"/>
  <c r="L56"/>
  <c r="K64"/>
  <c r="E59"/>
  <c r="L64"/>
  <c r="F59"/>
  <c r="E44"/>
  <c r="E47" s="1"/>
  <c r="E49" s="1"/>
  <c r="E50" s="1"/>
  <c r="I56"/>
  <c r="D4"/>
  <c r="L4"/>
  <c r="D40"/>
  <c r="G43"/>
  <c r="I42"/>
  <c r="M27"/>
  <c r="O27" s="1"/>
  <c r="F16"/>
  <c r="E16" i="17" s="1"/>
  <c r="E25" i="18" s="1"/>
  <c r="E23" s="1"/>
  <c r="E31" s="1"/>
  <c r="G47" i="15"/>
  <c r="C24" i="17"/>
  <c r="D42" i="15"/>
  <c r="M47"/>
  <c r="G49"/>
  <c r="G50" s="1"/>
  <c r="Q24" i="12"/>
  <c r="E24" i="16"/>
  <c r="K47" i="15"/>
  <c r="F65" i="1"/>
  <c r="D18" i="7"/>
  <c r="R18"/>
  <c r="AA31" i="8"/>
  <c r="F31" s="1"/>
  <c r="D26" i="7"/>
  <c r="R29"/>
  <c r="D29"/>
  <c r="X29"/>
  <c r="AD15"/>
  <c r="D15"/>
  <c r="Y11" i="8" s="1"/>
  <c r="R15" i="7"/>
  <c r="F15" s="1"/>
  <c r="D35"/>
  <c r="D36" s="1"/>
  <c r="Z11" i="8"/>
  <c r="D82" i="16"/>
  <c r="J70" i="15" s="1"/>
  <c r="T24" i="16"/>
  <c r="P24"/>
  <c r="L24"/>
  <c r="H24"/>
  <c r="E88" i="12"/>
  <c r="D84"/>
  <c r="M70" i="15" s="1"/>
  <c r="T59" i="16"/>
  <c r="T86" s="1"/>
  <c r="L59"/>
  <c r="E59"/>
  <c r="Q24"/>
  <c r="M24"/>
  <c r="I24"/>
  <c r="F24"/>
  <c r="D23"/>
  <c r="J55" i="15" s="1"/>
  <c r="S24" i="16"/>
  <c r="O24"/>
  <c r="K24"/>
  <c r="I23" i="14"/>
  <c r="I84" s="1"/>
  <c r="N50" i="15"/>
  <c r="C6" i="17"/>
  <c r="J11" i="29"/>
  <c r="J19" s="1"/>
  <c r="H19"/>
  <c r="D19"/>
  <c r="G19"/>
  <c r="I19"/>
  <c r="C81" i="9"/>
  <c r="C11" i="17"/>
  <c r="D19" i="16"/>
  <c r="J54" i="15" s="1"/>
  <c r="C10" i="17"/>
  <c r="D37" i="15"/>
  <c r="C5" i="17"/>
  <c r="Q100" i="7"/>
  <c r="E100" s="1"/>
  <c r="R100"/>
  <c r="E60" i="17"/>
  <c r="E58" s="1"/>
  <c r="Z20" i="8"/>
  <c r="Z14"/>
  <c r="C46" i="17"/>
  <c r="D44" i="15"/>
  <c r="J47"/>
  <c r="J49" s="1"/>
  <c r="D16"/>
  <c r="C16" i="17" s="1"/>
  <c r="M43" i="15"/>
  <c r="D72"/>
  <c r="D26" i="16"/>
  <c r="J57" i="15" s="1"/>
  <c r="G24" i="16"/>
  <c r="D78" i="12"/>
  <c r="M68" i="15" s="1"/>
  <c r="D54" i="12"/>
  <c r="G7" i="8"/>
  <c r="D76" i="16"/>
  <c r="J68" i="15" s="1"/>
  <c r="F59" i="16"/>
  <c r="D39"/>
  <c r="J60" i="15" s="1"/>
  <c r="H59" i="16"/>
  <c r="O59"/>
  <c r="O86" s="1"/>
  <c r="K59"/>
  <c r="K86" s="1"/>
  <c r="D36"/>
  <c r="J59" i="15" s="1"/>
  <c r="U59" i="16"/>
  <c r="U86" s="1"/>
  <c r="Q59"/>
  <c r="Q86" s="1"/>
  <c r="M59"/>
  <c r="I59"/>
  <c r="R59"/>
  <c r="R86" s="1"/>
  <c r="N59"/>
  <c r="N86" s="1"/>
  <c r="D60" i="12"/>
  <c r="D41"/>
  <c r="M60" i="15" s="1"/>
  <c r="N88" i="12"/>
  <c r="Q88"/>
  <c r="W88"/>
  <c r="M57" i="15"/>
  <c r="D23" i="12"/>
  <c r="M55" i="15" s="1"/>
  <c r="T24" i="12"/>
  <c r="L24"/>
  <c r="D19"/>
  <c r="M54" i="15" s="1"/>
  <c r="U88" i="12"/>
  <c r="S24"/>
  <c r="O24"/>
  <c r="K24"/>
  <c r="C18" i="17"/>
  <c r="G16" i="8"/>
  <c r="Y13"/>
  <c r="Y12"/>
  <c r="T35" i="6"/>
  <c r="D17"/>
  <c r="P12" i="8" s="1"/>
  <c r="N35" i="6"/>
  <c r="L35"/>
  <c r="L58" s="1"/>
  <c r="D22"/>
  <c r="D14"/>
  <c r="P11" i="8" s="1"/>
  <c r="J35" i="6"/>
  <c r="O16" i="8"/>
  <c r="O29" s="1"/>
  <c r="D64" i="5"/>
  <c r="H35"/>
  <c r="H66" s="1"/>
  <c r="M35"/>
  <c r="M66" s="1"/>
  <c r="E35"/>
  <c r="E66" s="1"/>
  <c r="N13" i="8"/>
  <c r="D9" i="5"/>
  <c r="M9" i="8" s="1"/>
  <c r="P35" i="5"/>
  <c r="P66" s="1"/>
  <c r="G35" i="6"/>
  <c r="G58" s="1"/>
  <c r="Y14" i="8"/>
  <c r="P68" i="7"/>
  <c r="P91" s="1"/>
  <c r="P100"/>
  <c r="C43" i="17"/>
  <c r="C22" i="9"/>
  <c r="D5" i="5"/>
  <c r="M5" i="8" s="1"/>
  <c r="K35" i="6"/>
  <c r="K58" s="1"/>
  <c r="S35"/>
  <c r="S58" s="1"/>
  <c r="P6" i="8"/>
  <c r="D34" i="6"/>
  <c r="D45"/>
  <c r="P23" i="8" s="1"/>
  <c r="H35" i="6"/>
  <c r="P9" i="8"/>
  <c r="Q35" i="6"/>
  <c r="P35"/>
  <c r="D6" i="5"/>
  <c r="M6" i="8" s="1"/>
  <c r="I35" i="5"/>
  <c r="I66" s="1"/>
  <c r="L35"/>
  <c r="L66" s="1"/>
  <c r="D28"/>
  <c r="M14" i="8" s="1"/>
  <c r="R35" i="5"/>
  <c r="R66" s="1"/>
  <c r="D17"/>
  <c r="M12" i="8" s="1"/>
  <c r="K35" i="5"/>
  <c r="K66" s="1"/>
  <c r="F35"/>
  <c r="F66" s="1"/>
  <c r="M35" i="6"/>
  <c r="M58" s="1"/>
  <c r="P13" i="8"/>
  <c r="D47" i="5"/>
  <c r="D53" s="1"/>
  <c r="M23" i="8" s="1"/>
  <c r="G53" i="5"/>
  <c r="C6" i="18"/>
  <c r="J63" i="15"/>
  <c r="M63"/>
  <c r="J15"/>
  <c r="D65" i="1"/>
  <c r="D28" i="6"/>
  <c r="P14" i="8" s="1"/>
  <c r="G35" i="5"/>
  <c r="D22"/>
  <c r="D14"/>
  <c r="M11" i="8" s="1"/>
  <c r="D34" i="5"/>
  <c r="M15" i="8" s="1"/>
  <c r="O35" i="5"/>
  <c r="O66" s="1"/>
  <c r="H88" i="12"/>
  <c r="S59" i="16"/>
  <c r="G59"/>
  <c r="S88" i="12"/>
  <c r="P59" i="16"/>
  <c r="P86" s="1"/>
  <c r="C14" i="17"/>
  <c r="D25" i="5"/>
  <c r="M13" i="8" s="1"/>
  <c r="Q35" i="5"/>
  <c r="Q66" s="1"/>
  <c r="L86" i="16"/>
  <c r="J59"/>
  <c r="J86" s="1"/>
  <c r="N35" i="5"/>
  <c r="N66" s="1"/>
  <c r="J35"/>
  <c r="J66" s="1"/>
  <c r="J88" i="12"/>
  <c r="D46"/>
  <c r="D51" s="1"/>
  <c r="C11" i="18"/>
  <c r="C10" s="1"/>
  <c r="C53" i="9"/>
  <c r="J27" i="15"/>
  <c r="F27" s="1"/>
  <c r="G24" i="12"/>
  <c r="D44" i="16"/>
  <c r="D49" s="1"/>
  <c r="C23" i="17"/>
  <c r="F29" i="7" l="1"/>
  <c r="AA14" i="8" s="1"/>
  <c r="E12"/>
  <c r="K66" i="41"/>
  <c r="E35"/>
  <c r="D66"/>
  <c r="J16" i="8"/>
  <c r="J29" s="1"/>
  <c r="G86" i="16"/>
  <c r="Y15" i="8"/>
  <c r="Y16" s="1"/>
  <c r="H86" i="16"/>
  <c r="F18" i="7"/>
  <c r="E36"/>
  <c r="L35" i="41"/>
  <c r="F28"/>
  <c r="L14" i="8" s="1"/>
  <c r="D15" i="15"/>
  <c r="L15"/>
  <c r="F15" s="1"/>
  <c r="F43" s="1"/>
  <c r="I43"/>
  <c r="I50" s="1"/>
  <c r="O43"/>
  <c r="O50" s="1"/>
  <c r="E6" i="17"/>
  <c r="F6" s="1"/>
  <c r="F4" i="15"/>
  <c r="E91" i="7"/>
  <c r="E8" i="17"/>
  <c r="F8" s="1"/>
  <c r="E20" i="8"/>
  <c r="H9" i="18" s="1"/>
  <c r="H24"/>
  <c r="H23" s="1"/>
  <c r="H31" s="1"/>
  <c r="E15" i="8"/>
  <c r="E14"/>
  <c r="I24" i="18"/>
  <c r="F14" i="8"/>
  <c r="E15" i="17"/>
  <c r="F15" s="1"/>
  <c r="F16"/>
  <c r="P15" i="8"/>
  <c r="D35" i="6"/>
  <c r="AA12" i="8"/>
  <c r="R36" i="7"/>
  <c r="R91" s="1"/>
  <c r="G66" i="5"/>
  <c r="F17" i="6"/>
  <c r="R12" i="8" s="1"/>
  <c r="R16" s="1"/>
  <c r="R29" s="1"/>
  <c r="H5" i="18"/>
  <c r="AD36" i="7"/>
  <c r="AD91" s="1"/>
  <c r="F53" i="9"/>
  <c r="E5" i="18"/>
  <c r="F72" i="9"/>
  <c r="S86" i="16"/>
  <c r="G29" i="8"/>
  <c r="M86" i="16"/>
  <c r="C8" i="17"/>
  <c r="E86" i="16"/>
  <c r="F46" i="17"/>
  <c r="E42"/>
  <c r="E41" s="1"/>
  <c r="I5" i="18"/>
  <c r="E36" i="17"/>
  <c r="F36" s="1"/>
  <c r="F35" i="6"/>
  <c r="F58" s="1"/>
  <c r="U91" i="7"/>
  <c r="D60" i="17"/>
  <c r="D58" s="1"/>
  <c r="T58" i="6"/>
  <c r="U58"/>
  <c r="E35"/>
  <c r="E58" s="1"/>
  <c r="Q11" i="8"/>
  <c r="H58" i="6"/>
  <c r="I58"/>
  <c r="F54" i="15"/>
  <c r="N16" i="8"/>
  <c r="N29" s="1"/>
  <c r="E13"/>
  <c r="E64" i="15"/>
  <c r="K74"/>
  <c r="K78" s="1"/>
  <c r="I86" i="16"/>
  <c r="F64" i="15"/>
  <c r="L74"/>
  <c r="L78" s="1"/>
  <c r="F44"/>
  <c r="D60"/>
  <c r="D63"/>
  <c r="D42" i="17"/>
  <c r="E54" i="15"/>
  <c r="H56"/>
  <c r="I74"/>
  <c r="F56"/>
  <c r="M49"/>
  <c r="M50" s="1"/>
  <c r="D47"/>
  <c r="G64"/>
  <c r="M88" i="12"/>
  <c r="O88"/>
  <c r="P88"/>
  <c r="R88"/>
  <c r="V88"/>
  <c r="X88"/>
  <c r="F86" i="16"/>
  <c r="K49" i="15"/>
  <c r="F100" i="7"/>
  <c r="D24" i="16"/>
  <c r="D11" i="8"/>
  <c r="D13"/>
  <c r="D12"/>
  <c r="D68" i="15"/>
  <c r="C60" i="17"/>
  <c r="D6" i="8"/>
  <c r="D9"/>
  <c r="D23"/>
  <c r="D14"/>
  <c r="C22" i="17"/>
  <c r="C7"/>
  <c r="C13"/>
  <c r="M62" i="15"/>
  <c r="D62" s="1"/>
  <c r="M59"/>
  <c r="D59" s="1"/>
  <c r="Z16" i="8"/>
  <c r="Z29" s="1"/>
  <c r="D100" i="7"/>
  <c r="Y31" i="8"/>
  <c r="C15" i="17"/>
  <c r="D57" i="15"/>
  <c r="T88" i="12"/>
  <c r="L88"/>
  <c r="G88"/>
  <c r="K88"/>
  <c r="M56" i="15"/>
  <c r="D24" i="12"/>
  <c r="N58" i="6"/>
  <c r="J58"/>
  <c r="R58"/>
  <c r="P58"/>
  <c r="P5" i="8"/>
  <c r="P7" s="1"/>
  <c r="M16"/>
  <c r="M7"/>
  <c r="D7" i="5"/>
  <c r="D70" i="15"/>
  <c r="C4" i="18"/>
  <c r="Q58" i="6"/>
  <c r="G25" i="18"/>
  <c r="J61" i="15"/>
  <c r="D59" i="16"/>
  <c r="D86" s="1"/>
  <c r="M61" i="15"/>
  <c r="D61" i="12"/>
  <c r="J56" i="15"/>
  <c r="D55"/>
  <c r="C5" i="18"/>
  <c r="C72" i="9"/>
  <c r="G56" i="15"/>
  <c r="D54"/>
  <c r="D35" i="5"/>
  <c r="D27" i="15"/>
  <c r="J43"/>
  <c r="E7" i="17" l="1"/>
  <c r="D15" i="8"/>
  <c r="L66" i="41"/>
  <c r="F35"/>
  <c r="K16" i="8"/>
  <c r="K29" s="1"/>
  <c r="E66" i="41"/>
  <c r="F36" i="7"/>
  <c r="F91"/>
  <c r="D39" i="17"/>
  <c r="P16" i="8"/>
  <c r="D16" s="1"/>
  <c r="F12"/>
  <c r="L43" i="15"/>
  <c r="L50" s="1"/>
  <c r="F7" i="17"/>
  <c r="E4"/>
  <c r="D66" i="5"/>
  <c r="D41" i="17"/>
  <c r="F41" s="1"/>
  <c r="F42"/>
  <c r="E35"/>
  <c r="I4" i="18"/>
  <c r="AA13" i="8"/>
  <c r="F13" s="1"/>
  <c r="AA15"/>
  <c r="F15" s="1"/>
  <c r="AA11"/>
  <c r="F11" s="1"/>
  <c r="Q16"/>
  <c r="Q29" s="1"/>
  <c r="E11"/>
  <c r="D61" i="15"/>
  <c r="G74"/>
  <c r="G78" s="1"/>
  <c r="E56"/>
  <c r="H74"/>
  <c r="I78"/>
  <c r="F78" s="1"/>
  <c r="F74"/>
  <c r="J50"/>
  <c r="D49"/>
  <c r="F47"/>
  <c r="F49" s="1"/>
  <c r="C20" i="17"/>
  <c r="K50" i="15"/>
  <c r="AB91" i="7"/>
  <c r="D7" i="8"/>
  <c r="D31"/>
  <c r="D5"/>
  <c r="C4" i="17"/>
  <c r="M29" i="8"/>
  <c r="M64" i="15"/>
  <c r="M74" s="1"/>
  <c r="M78" s="1"/>
  <c r="C3" i="18"/>
  <c r="C19" s="1"/>
  <c r="D68" i="7"/>
  <c r="D58" i="6"/>
  <c r="C36" i="17"/>
  <c r="G5" i="18"/>
  <c r="D56" i="15"/>
  <c r="J64"/>
  <c r="J74" s="1"/>
  <c r="J78" s="1"/>
  <c r="D43"/>
  <c r="C25" i="18"/>
  <c r="C44" i="17"/>
  <c r="G26" i="18"/>
  <c r="D88" i="12"/>
  <c r="L16" i="8" l="1"/>
  <c r="L29" s="1"/>
  <c r="F66" i="41"/>
  <c r="P29" i="8"/>
  <c r="E19" i="17"/>
  <c r="F19" s="1"/>
  <c r="E25"/>
  <c r="E4" i="18"/>
  <c r="E3" s="1"/>
  <c r="E19" s="1"/>
  <c r="E32" s="1"/>
  <c r="F50" i="15"/>
  <c r="F4" i="17"/>
  <c r="AA16" i="8"/>
  <c r="F16" s="1"/>
  <c r="E16"/>
  <c r="H6" i="18" s="1"/>
  <c r="D64" i="15"/>
  <c r="H4" i="18"/>
  <c r="D35" i="17"/>
  <c r="H78" i="15"/>
  <c r="E78" s="1"/>
  <c r="E74"/>
  <c r="C23" i="18"/>
  <c r="C31" s="1"/>
  <c r="C32" s="1"/>
  <c r="C19" i="17"/>
  <c r="C59"/>
  <c r="C58" s="1"/>
  <c r="AA20" i="8"/>
  <c r="C25" i="17"/>
  <c r="C29" s="1"/>
  <c r="D50" i="15"/>
  <c r="Y20" i="8"/>
  <c r="D91" i="7"/>
  <c r="C35" i="17"/>
  <c r="G24" i="18"/>
  <c r="C42" i="17"/>
  <c r="G8" i="18"/>
  <c r="C38" i="17"/>
  <c r="G4" i="18"/>
  <c r="D66" i="15"/>
  <c r="F25" i="17" l="1"/>
  <c r="E29"/>
  <c r="F35"/>
  <c r="E37"/>
  <c r="I6" i="18"/>
  <c r="D37" i="17"/>
  <c r="E29" i="8"/>
  <c r="H3" i="18"/>
  <c r="H19" s="1"/>
  <c r="H32" s="1"/>
  <c r="G23"/>
  <c r="G31" s="1"/>
  <c r="I23"/>
  <c r="I31" s="1"/>
  <c r="AA29" i="8"/>
  <c r="F20"/>
  <c r="C41" i="17"/>
  <c r="Y29" i="8"/>
  <c r="D20"/>
  <c r="G9" i="18" s="1"/>
  <c r="C37" i="17"/>
  <c r="G6" i="18"/>
  <c r="D78" i="15"/>
  <c r="D74"/>
  <c r="F29" i="8" l="1"/>
  <c r="I9" i="18"/>
  <c r="I3" s="1"/>
  <c r="E39" i="17"/>
  <c r="F39" s="1"/>
  <c r="D34"/>
  <c r="D45" s="1"/>
  <c r="D54" s="1"/>
  <c r="F37"/>
  <c r="G3" i="18"/>
  <c r="D29" i="8"/>
  <c r="C39" i="17"/>
  <c r="I32" i="18" l="1"/>
  <c r="E34" i="17"/>
  <c r="G19" i="18"/>
  <c r="G32" s="1"/>
  <c r="D47" i="17"/>
  <c r="C34"/>
  <c r="D63" l="1"/>
  <c r="D51"/>
  <c r="F34"/>
  <c r="E45"/>
  <c r="E54" s="1"/>
  <c r="C45"/>
  <c r="C47" s="1"/>
  <c r="C63" l="1"/>
  <c r="C51"/>
  <c r="F45"/>
  <c r="E47"/>
  <c r="C54"/>
  <c r="F47" l="1"/>
  <c r="E51"/>
  <c r="E63"/>
</calcChain>
</file>

<file path=xl/comments1.xml><?xml version="1.0" encoding="utf-8"?>
<comments xmlns="http://schemas.openxmlformats.org/spreadsheetml/2006/main">
  <authors>
    <author>user</author>
    <author>Anyuka</author>
  </authors>
  <commentList>
    <comment ref="C15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Mezőőri tám: 1080
Iskolatej tám: 250
01-03 támogatás: 3521
Munkaügyi kp tám:25 267
TKT-nak támogató szolg. bevéte: 8550
KLIK-műv.isk tér.díj: 800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Védőnő+iskola eü</t>
        </r>
      </text>
    </comment>
    <comment ref="C19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TKT</t>
        </r>
      </text>
    </comment>
    <comment ref="C28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user:
Leader színpad: 12 341
Leader sétány: 13 446</t>
        </r>
      </text>
    </comment>
    <comment ref="C4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Váll.gazd.övezetben: 28500 m2
nem gazd.övezet. 9000 m2
Összesen: 37500 m2 * 400 = 15 M
100 %-ot tervezzük</t>
        </r>
      </text>
    </comment>
    <comment ref="C44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Váll.gazd.övezet: 760 000 m2
váll és magánszemély nem gazd: 41 300 m2
Összesen: 801300 m2 *100 = 80 130 000
70 %-át tervezzük: 57 M</t>
        </r>
      </text>
    </comment>
    <comment ref="C45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28500*2000*70% = 39 900 e ~ 40 M</t>
        </r>
      </text>
    </comment>
    <comment ref="C46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Iparűzési adó</t>
        </r>
      </text>
    </comment>
    <comment ref="C50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Talajterhelési díj+Idegenforg.adó
</t>
        </r>
      </text>
    </comment>
    <comment ref="C52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Pótlékok, bírságok
</t>
        </r>
      </text>
    </comment>
    <comment ref="C55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Mezőőri bevétel
</t>
        </r>
      </text>
    </comment>
    <comment ref="C57" authorId="1">
      <text>
        <r>
          <rPr>
            <sz val="8"/>
            <color indexed="81"/>
            <rFont val="Tahoma"/>
            <family val="2"/>
            <charset val="238"/>
          </rPr>
          <t>Csatorna és víz bevétel</t>
        </r>
      </text>
    </comment>
    <comment ref="C59" authorId="0">
      <text>
        <r>
          <rPr>
            <sz val="8"/>
            <color indexed="81"/>
            <rFont val="Tahoma"/>
            <family val="2"/>
            <charset val="238"/>
          </rPr>
          <t>Mezőőr, Csatorna, továbbszámlázott szolg.</t>
        </r>
      </text>
    </comment>
    <comment ref="C60" authorId="0">
      <text>
        <r>
          <rPr>
            <sz val="8"/>
            <color indexed="81"/>
            <rFont val="Tahoma"/>
            <family val="2"/>
            <charset val="238"/>
          </rPr>
          <t>Csatorna + továbbszámlázott szolg.visszatérülés</t>
        </r>
      </text>
    </comment>
    <comment ref="C6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Med-Martoncat érdekletségi díjhátralék megfizetése. 1200
Bérleti díj bevételek: 810 </t>
        </r>
      </text>
    </comment>
    <comment ref="C66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MK Alapítvány megtérülése</t>
        </r>
      </text>
    </comment>
    <comment ref="C67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Temető fennt:42
MÁV: 3 500</t>
        </r>
      </text>
    </comment>
    <comment ref="C70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KDOP bevétel</t>
        </r>
      </text>
    </comment>
    <comment ref="C77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Korm.tám: 300 000
Fejl.c. pm: 94000
Csatorna: 21 822
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A6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Szolgáltatások </t>
        </r>
      </text>
    </comment>
    <comment ref="A7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Tulajdonosi bevételek</t>
        </r>
      </text>
    </comment>
    <comment ref="A1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Önk működési tám: mezőőr, közfogi tám, Tkt bevétel, pályázat bevétel</t>
        </r>
      </text>
    </comment>
    <comment ref="A14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Értékvesztés visszaírása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D9" authorId="0">
      <text>
        <r>
          <rPr>
            <sz val="8"/>
            <color indexed="81"/>
            <rFont val="Tahoma"/>
            <family val="2"/>
            <charset val="238"/>
          </rPr>
          <t>Víz: 353 274
Csatorna: 13 873 727
Bérletidíj: 2 111 262</t>
        </r>
      </text>
    </comment>
    <comment ref="D10" authorId="0">
      <text>
        <r>
          <rPr>
            <sz val="8"/>
            <color indexed="81"/>
            <rFont val="Tahoma"/>
            <family val="2"/>
            <charset val="238"/>
          </rPr>
          <t>Víz: 95384
Csat: 3745 904
Továbbsz.szolg: 1 284 905
Mezőőr: 226 628
Csat.rákötés: 133 610
Bérleti díj: 110 032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D2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ügyvédi díj</t>
        </r>
      </text>
    </comment>
    <comment ref="D24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bankktg: 4 000 000
Tagdíj(Völgy Vidék Leader) : 100 000
Közép-duna Hulladék gazd.: 565 000
IT biztonság: 360 000 
Önkormányzati díjak: 500 000 </t>
        </r>
      </text>
    </comment>
    <comment ref="E24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Hull.gazd.társ. Díj átcsop</t>
        </r>
      </text>
    </comment>
    <comment ref="F24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Posta: 34e
Szállítás: 833 e
Bankktg: 3051e
egyéb szolg: 1198</t>
        </r>
      </text>
    </comment>
    <comment ref="F3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Mák befiz.kötelezettség
végrehajtói díj
adósságkonsz. befizetés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M2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Labor+orvosi</t>
        </r>
      </text>
    </comment>
    <comment ref="P2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Szemészet</t>
        </r>
      </text>
    </comment>
    <comment ref="J24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Kinga néni: 490 000
Biztosítás: 7 000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C9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Pénzeszköz átadás. 10 268
Normatíva: 215 253
Tám.szolg: 8 550</t>
        </r>
      </text>
    </comment>
    <comment ref="H24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Karbantartási munkákra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G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Földhivatali díjak és ingatlan rendezéshez kapcs. egyéb kiadások</t>
        </r>
      </text>
    </comment>
    <comment ref="G2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Továbbszlázott szolg.</t>
        </r>
      </text>
    </comment>
    <comment ref="G25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Földhivatali és egyéb díjak
Vagyonbiztosítás: 1 500</t>
        </r>
      </text>
    </comment>
    <comment ref="G31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Mezőőr fiz.áfa+továbbszámlázott</t>
        </r>
      </text>
    </comment>
    <comment ref="AB31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Csatorna fiz.áfa</t>
        </r>
      </text>
    </comment>
    <comment ref="AB63" authorId="0">
      <text>
        <r>
          <rPr>
            <sz val="8"/>
            <color indexed="81"/>
            <rFont val="Tahoma"/>
            <family val="2"/>
            <charset val="238"/>
          </rPr>
          <t>Áthúzódó EU forrásból képzett fc.tartalék: 40 098
MKA-tól visszatérülő kölcsön: 19500
2015. évi csat.haszn.díj tartalék: 20828</t>
        </r>
      </text>
    </comment>
    <comment ref="AB64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Nemz.kapcs: 5500
Gyermekétk: 1464</t>
        </r>
      </text>
    </comment>
    <comment ref="AB65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user:
</t>
        </r>
        <r>
          <rPr>
            <sz val="8"/>
            <color indexed="81"/>
            <rFont val="Tahoma"/>
            <family val="2"/>
            <charset val="238"/>
          </rPr>
          <t xml:space="preserve">MKA alapítvány:19500
Csatorna: 42650
Korm.tám: 300000
Pénzmaradvány: 44000
Áthúzódó pályázat. 40098
</t>
        </r>
      </text>
    </comment>
    <comment ref="AB9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Áfakölcsön törlesztése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I4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választás</t>
        </r>
      </text>
    </comment>
    <comment ref="J19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Pályázati támogatás áthúzódó összege</t>
        </r>
      </text>
    </comment>
    <comment ref="I28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Hatósági biz. </t>
        </r>
      </text>
    </comment>
    <comment ref="G29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Házasságkötés</t>
        </r>
      </text>
    </comment>
    <comment ref="I29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Házasságkötés</t>
        </r>
      </text>
    </comment>
    <comment ref="L29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Óvodai gyakorlat </t>
        </r>
      </text>
    </comment>
    <comment ref="M29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Könyvtár:88
ÓM: 1156
Rendezvények. 1209
Hirdetés: 360
</t>
        </r>
      </text>
    </comment>
    <comment ref="O29" authorId="0">
      <text>
        <r>
          <rPr>
            <sz val="8"/>
            <color indexed="81"/>
            <rFont val="Tahoma"/>
            <family val="2"/>
            <charset val="238"/>
          </rPr>
          <t xml:space="preserve">
Könyvtár: 241
Múzeum: 1262
BBK rendezvények: 9445
Újság: 957</t>
        </r>
      </text>
    </comment>
    <comment ref="O31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BBk bérleti díjak</t>
        </r>
      </text>
    </comment>
    <comment ref="I36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Túlfizetés visszautalása éven túl
Szépkártya juttatás fel nem használt rész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G32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Könyv, folyóirat</t>
        </r>
      </text>
    </comment>
    <comment ref="J32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Könyv, folyóirat</t>
        </r>
      </text>
    </comment>
    <comment ref="G3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Üzemanyag: 150
Munkaruha: 50
Egyéb készlet: 150
Irodaszer. 1300</t>
        </r>
      </text>
    </comment>
    <comment ref="J3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Üzemanyag: 150
Munkaruha: 50
Egyéb készlet: 150
Irodaszer. 1300</t>
        </r>
      </text>
    </comment>
    <comment ref="G36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Szoftver nyomköv.díj: 1 100 000
Internet 150</t>
        </r>
      </text>
    </comment>
    <comment ref="J36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Szoftver nyomköv.díj: 1 100 000
Internet 150</t>
        </r>
      </text>
    </comment>
    <comment ref="G37" authorId="0">
      <text>
        <r>
          <rPr>
            <sz val="8"/>
            <color indexed="81"/>
            <rFont val="Tahoma"/>
            <family val="2"/>
            <charset val="238"/>
          </rPr>
          <t>vezetékes 350
mobil 750</t>
        </r>
      </text>
    </comment>
    <comment ref="J37" authorId="0">
      <text>
        <r>
          <rPr>
            <sz val="8"/>
            <color indexed="81"/>
            <rFont val="Tahoma"/>
            <family val="2"/>
            <charset val="238"/>
          </rPr>
          <t>vezetékes 350
mobil 750</t>
        </r>
      </text>
    </comment>
    <comment ref="G42" authorId="0">
      <text>
        <r>
          <rPr>
            <sz val="8"/>
            <color indexed="81"/>
            <rFont val="Tahoma"/>
            <family val="2"/>
            <charset val="238"/>
          </rPr>
          <t>mezőőri gépkocsi karbantartás és egyéb
fénymásoló karbantartása</t>
        </r>
      </text>
    </comment>
    <comment ref="J42" authorId="0">
      <text>
        <r>
          <rPr>
            <sz val="8"/>
            <color indexed="81"/>
            <rFont val="Tahoma"/>
            <family val="2"/>
            <charset val="238"/>
          </rPr>
          <t>mezőőri gépkocsi karbantartás és egyéb
fénymásoló karbantartása</t>
        </r>
      </text>
    </comment>
    <comment ref="G46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Sanyi: 230 
Marcsi: 180 
Viki: 165 
Anna: 150
Tönde: 180
Ügyvédi díj. 200 
Épügy.viszga: 2*30 000= 60 
</t>
        </r>
      </text>
    </comment>
    <comment ref="J46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Sanyi: 230 
Marcsi: 180 
Viki: 165 
Anna: 150
Tönde: 180
Ügyvédi díj. 200 
Épügy.viszga: 2*30 000= 60 
</t>
        </r>
      </text>
    </comment>
    <comment ref="G47" authorId="0">
      <text>
        <r>
          <rPr>
            <sz val="8"/>
            <color indexed="81"/>
            <rFont val="Tahoma"/>
            <family val="2"/>
            <charset val="238"/>
          </rPr>
          <t>Bankktg:800
Posta: 2000
Könyvvizsg: 550
Hirdetés: 100
Gyepmester: 550
Utalvány ktg: 70
KGFB-mezőőr: 80
Alapvizsga. 160
Normatíva: 600</t>
        </r>
      </text>
    </comment>
    <comment ref="J47" authorId="0">
      <text>
        <r>
          <rPr>
            <sz val="8"/>
            <color indexed="81"/>
            <rFont val="Tahoma"/>
            <family val="2"/>
            <charset val="238"/>
          </rPr>
          <t>Bankktg:800
Posta: 2000
Könyvvizsg: 550
Hirdetés: 100
Gyepmester: 550
Utalvány ktg: 70
KGFB-mezőőr: 80
Alapvizsga. 160
Normatíva: 600</t>
        </r>
      </text>
    </comment>
    <comment ref="G56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Kódexpress tartozás kifizetése</t>
        </r>
      </text>
    </comment>
    <comment ref="J56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Kódexpress tartozás kifizetése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E15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Védőnői számítógép
</t>
        </r>
      </text>
    </comment>
    <comment ref="E50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Apple Airpad</t>
        </r>
      </text>
    </comment>
    <comment ref="E51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pénzkazetta, tv tartó konzol, postaláda, DI-BOKSZ, mikroport, szék, konyhabútor, polc</t>
        </r>
      </text>
    </comment>
    <comment ref="E52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Nyomtató
számítógép+monitor</t>
        </r>
      </text>
    </comment>
    <comment ref="E5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Görgős tároló, polcelem, vasaló, szekrény</t>
        </r>
      </text>
    </comment>
    <comment ref="E55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Nyomtató, Telefon, Notebook, Számítógép+konfiguráció</t>
        </r>
      </text>
    </comment>
    <comment ref="E56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Páncélszekrény, Irodai székek, lézeres távolságmérő, vízforraló, kávéfőzőgép, fali mosogató, konyhablokk</t>
        </r>
      </text>
    </comment>
  </commentList>
</comments>
</file>

<file path=xl/sharedStrings.xml><?xml version="1.0" encoding="utf-8"?>
<sst xmlns="http://schemas.openxmlformats.org/spreadsheetml/2006/main" count="2884" uniqueCount="1309">
  <si>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</si>
  <si>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</si>
  <si>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</si>
  <si>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</si>
  <si>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</si>
  <si>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</si>
  <si>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</si>
  <si>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</si>
  <si>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</si>
  <si>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</si>
  <si>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</si>
  <si>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</si>
  <si>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</si>
  <si>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</si>
  <si>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</si>
  <si>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</si>
  <si>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</si>
  <si>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</si>
  <si>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</si>
  <si>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</si>
  <si>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</si>
  <si>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</si>
  <si>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</si>
  <si>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</si>
  <si>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</si>
  <si>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</si>
  <si>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</si>
  <si>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</si>
  <si>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</si>
  <si>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</si>
  <si>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</si>
  <si>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</si>
  <si>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</si>
  <si>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</si>
  <si>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</si>
  <si>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</si>
  <si>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</si>
  <si>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ebből: szociális hozzájárulási adó</t>
  </si>
  <si>
    <t>ebből: rehabilitációs hozzájárulás</t>
  </si>
  <si>
    <t>ebből: egészségügyi hozzájárulás</t>
  </si>
  <si>
    <t>ebből: munkaadót a foglalkoztatottak részére történő kifizetésekkel kapcsolatban terhelő más járulék jellegű kötelezettségek</t>
  </si>
  <si>
    <t>ebből: munkáltatót terhelő személyi jövedelemadó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</si>
  <si>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</si>
  <si>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</si>
  <si>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</si>
  <si>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</si>
  <si>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</si>
  <si>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</si>
  <si>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</si>
  <si>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</si>
  <si>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</si>
  <si>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</si>
  <si>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</si>
  <si>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</si>
  <si>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</si>
  <si>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</si>
  <si>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</si>
  <si>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</si>
  <si>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</si>
  <si>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</si>
  <si>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</si>
  <si>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</si>
  <si>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</si>
  <si>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</si>
  <si>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</si>
  <si>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 xml:space="preserve">Egyéb szolgáltatások 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</si>
  <si>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</si>
  <si>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</si>
  <si>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</si>
  <si>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</si>
  <si>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</si>
  <si>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</si>
  <si>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</si>
  <si>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</si>
  <si>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</si>
  <si>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</si>
  <si>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</si>
  <si>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</si>
  <si>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</si>
  <si>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</si>
  <si>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</si>
  <si>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</si>
  <si>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</si>
  <si>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</si>
  <si>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</si>
  <si>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</si>
  <si>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Pénzbeli kárpótlások, kártérítések</t>
  </si>
  <si>
    <t>K43</t>
  </si>
  <si>
    <t>K44</t>
  </si>
  <si>
    <t>ebből: ápolási díj</t>
  </si>
  <si>
    <t>K45</t>
  </si>
  <si>
    <t>K46</t>
  </si>
  <si>
    <t>K47</t>
  </si>
  <si>
    <t>ebből: oktatásban résztvevők pénzbeli juttatásai</t>
  </si>
  <si>
    <t>K48</t>
  </si>
  <si>
    <t>K4</t>
  </si>
  <si>
    <t>Elvonások és befizetések</t>
  </si>
  <si>
    <t>K502</t>
  </si>
  <si>
    <t>Működési célú visszatérítendő támogatások, kölcsönök nyújtása államháztartáson belülre (=135+…+144)</t>
  </si>
  <si>
    <t>K504</t>
  </si>
  <si>
    <t>ebből: helyi önkormányzatok és költségvetési szerveik</t>
  </si>
  <si>
    <t>ebből: társulások és költségvetési szerveik</t>
  </si>
  <si>
    <t>K506</t>
  </si>
  <si>
    <t>Működési célú visszatérítendő támogatások, kölcsönök nyújtása államháztartáson kívülre (=170+…+180)</t>
  </si>
  <si>
    <t>K508</t>
  </si>
  <si>
    <t>ebből:önkormányzati többségi tulajdonú nem pénzügyi vállalkozások</t>
  </si>
  <si>
    <t>K511</t>
  </si>
  <si>
    <t>Tartalékok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</si>
  <si>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</si>
  <si>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</si>
  <si>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</si>
  <si>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</si>
  <si>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</si>
  <si>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</si>
  <si>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</si>
  <si>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</si>
  <si>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</si>
  <si>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</si>
  <si>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</si>
  <si>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</si>
  <si>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</si>
  <si>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</si>
  <si>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</si>
  <si>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</si>
  <si>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</si>
  <si>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</si>
  <si>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</si>
  <si>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</si>
  <si>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</si>
  <si>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</si>
  <si>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</si>
  <si>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</si>
  <si>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</si>
  <si>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</si>
  <si>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K88</t>
  </si>
  <si>
    <t>K8</t>
  </si>
  <si>
    <t>K1-K8</t>
  </si>
  <si>
    <t>Családi támogatások</t>
  </si>
  <si>
    <t>ebből: önkormányzati segély (átmeneti segély, rendkívüli gyermekvédelmi tám., temetési segély)</t>
  </si>
  <si>
    <t xml:space="preserve">ebből: óvodáztatási támogatás </t>
  </si>
  <si>
    <t xml:space="preserve">Betegséggel kapcsolatos (nem társadalombiztosítási) ellátások </t>
  </si>
  <si>
    <t xml:space="preserve">ebből: helyi megállapítású közgyógyellátás </t>
  </si>
  <si>
    <t xml:space="preserve">Foglalkoztatással, munkanélküliséggel kapcsolatos ellátások </t>
  </si>
  <si>
    <t xml:space="preserve">ebből: foglalkoztatást helyettesítő támogatás </t>
  </si>
  <si>
    <t xml:space="preserve">Lakhatással kapcsolatos ellátások </t>
  </si>
  <si>
    <t xml:space="preserve">ebből: lakásfenntartási támogatás </t>
  </si>
  <si>
    <t xml:space="preserve">Intézményi ellátottak pénzbeli juttatásai </t>
  </si>
  <si>
    <t xml:space="preserve">Egyéb nem intézményi ellátások </t>
  </si>
  <si>
    <t>ebből: rendszeres szociális segély</t>
  </si>
  <si>
    <t>ebből: köztemetés</t>
  </si>
  <si>
    <t xml:space="preserve">ebből: rászorultságtól függõ normatív kedvezmények </t>
  </si>
  <si>
    <t xml:space="preserve">Ellátottak pénzbeli juttatásai </t>
  </si>
  <si>
    <t xml:space="preserve">Dologi kiadások </t>
  </si>
  <si>
    <t>Különféle befizetések és egyéb dologi kiadások</t>
  </si>
  <si>
    <t xml:space="preserve">Egyéb pénzügyi műveletek kiadásai </t>
  </si>
  <si>
    <t xml:space="preserve">Kamatkiadások   </t>
  </si>
  <si>
    <t>Kiküldetések, reklám- és propagandakiadások</t>
  </si>
  <si>
    <t xml:space="preserve">Szolgáltatási kiadások </t>
  </si>
  <si>
    <t xml:space="preserve">Költségvetési kiadások </t>
  </si>
  <si>
    <t>Egyéb felhalmozási célú kiadások</t>
  </si>
  <si>
    <t xml:space="preserve">Egyéb felhalmozási célú támogatások államháztartáson kívülre </t>
  </si>
  <si>
    <t xml:space="preserve">Felújítások </t>
  </si>
  <si>
    <t>Beruházások</t>
  </si>
  <si>
    <t xml:space="preserve">Ingatlanok beszerzése, létesítése </t>
  </si>
  <si>
    <t>Egyéb működési célú kiadások</t>
  </si>
  <si>
    <t>Egyéb működési célú támogatások államháztartáson kívülre</t>
  </si>
  <si>
    <t xml:space="preserve">Egyéb működési célú támogatások államháztartáson belülre </t>
  </si>
  <si>
    <t>Közvetített szolgáltatások</t>
  </si>
  <si>
    <t xml:space="preserve">Bérleti és lízing díjak </t>
  </si>
  <si>
    <t>ebből: államháztartáson kívül</t>
  </si>
  <si>
    <t xml:space="preserve">Kommunikációs szolgáltatások </t>
  </si>
  <si>
    <t xml:space="preserve">Készletbeszerzés </t>
  </si>
  <si>
    <t xml:space="preserve">Munkaadókat terhelő járulékok és szociális hozzájárulási adó                                                                   </t>
  </si>
  <si>
    <t xml:space="preserve">Személyi juttatások összesen </t>
  </si>
  <si>
    <t xml:space="preserve">Külső személyi juttatások </t>
  </si>
  <si>
    <t xml:space="preserve">Foglalkoztatottak személyi juttatásai </t>
  </si>
  <si>
    <t>Foglalkoztatottak egyéb személyi juttatásai</t>
  </si>
  <si>
    <t>011130- Önkormányzati jogalkotás</t>
  </si>
  <si>
    <t>Eredeti ei.</t>
  </si>
  <si>
    <t>Összesen</t>
  </si>
  <si>
    <t>066020 Város- és községgazdálkodási egyéb szolgáltatások</t>
  </si>
  <si>
    <t>Megnevezése</t>
  </si>
  <si>
    <t xml:space="preserve">Működési célú visszatérítendő támogatások, kölcsönök nyújtása államháztartáson kívülre </t>
  </si>
  <si>
    <t>Működési célú visszatérítendő támogatások, kölcsönök nyújtása államháztartáson belülre</t>
  </si>
  <si>
    <t>091110- Óvodai nevelés, ellátás szakmai feladatai</t>
  </si>
  <si>
    <t>074031- Család és nővédelmi eü gondozás</t>
  </si>
  <si>
    <t>074032- Ifjúság-eüi gondozás</t>
  </si>
  <si>
    <t>072420- Eü laboratóriumi szolg.</t>
  </si>
  <si>
    <t>Kötelező feladat</t>
  </si>
  <si>
    <t>Önként vállalt feladat</t>
  </si>
  <si>
    <t>072210 - Járóbetegek gyógyító szakellátása</t>
  </si>
  <si>
    <t>074011- Foglalkozás eü-i alapellátás</t>
  </si>
  <si>
    <t>091250- Alapfokú művokt. Összefüggő működési feladatok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</si>
  <si>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</si>
  <si>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</si>
  <si>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</si>
  <si>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</si>
  <si>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</si>
  <si>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</si>
  <si>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</si>
  <si>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</si>
  <si>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</si>
  <si>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</si>
  <si>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</si>
  <si>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</si>
  <si>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</si>
  <si>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Egyéb működési célú támogatások bevételei államháztartáson belülről</t>
  </si>
  <si>
    <t>B16</t>
  </si>
  <si>
    <t>B1</t>
  </si>
  <si>
    <t>Egyéb felhalmozási célú támogatások bevételei államháztartáson belülről</t>
  </si>
  <si>
    <t>B25</t>
  </si>
  <si>
    <t>B2</t>
  </si>
  <si>
    <t>Magánszemélyek jövedelemadói</t>
  </si>
  <si>
    <t>B311</t>
  </si>
  <si>
    <t xml:space="preserve">Társaságok jövedelemadói </t>
  </si>
  <si>
    <t>B312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</si>
  <si>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</si>
  <si>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</si>
  <si>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</si>
  <si>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</si>
  <si>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</si>
  <si>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</si>
  <si>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</si>
  <si>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</si>
  <si>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</si>
  <si>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</si>
  <si>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</si>
  <si>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</si>
  <si>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</si>
  <si>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</si>
  <si>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</si>
  <si>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</si>
  <si>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</si>
  <si>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</si>
  <si>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</si>
  <si>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</si>
  <si>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</si>
  <si>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</si>
  <si>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</si>
  <si>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</si>
  <si>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</si>
  <si>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</si>
  <si>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</si>
  <si>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</si>
  <si>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</si>
  <si>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</si>
  <si>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</si>
  <si>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</si>
  <si>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</si>
  <si>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</si>
  <si>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</si>
  <si>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</si>
  <si>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</si>
  <si>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</si>
  <si>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</si>
  <si>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</si>
  <si>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</si>
  <si>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>B4</t>
  </si>
  <si>
    <t>B5</t>
  </si>
  <si>
    <t>Egyéb működési célú átvett pénzeszközök</t>
  </si>
  <si>
    <t>B63</t>
  </si>
  <si>
    <t>B6</t>
  </si>
  <si>
    <t>Egyéb felhalmozási célú átvett pénzeszközök</t>
  </si>
  <si>
    <t>B73</t>
  </si>
  <si>
    <t>B7</t>
  </si>
  <si>
    <t>B1-B7</t>
  </si>
  <si>
    <t>Jogalkotás</t>
  </si>
  <si>
    <t>Szociális ellátások</t>
  </si>
  <si>
    <t>Egyéb tevékenységek</t>
  </si>
  <si>
    <t xml:space="preserve">Hosszú lejáratú hitelek, kölcsönök törlesztése </t>
  </si>
  <si>
    <t>K9111</t>
  </si>
  <si>
    <t>Hitel-, kölcsöntörlesztés államháztartáson kívülre (=01+02+03)</t>
  </si>
  <si>
    <t>K911</t>
  </si>
  <si>
    <t>K9</t>
  </si>
  <si>
    <t>Előző év költségvetési maradványának igénybevétele</t>
  </si>
  <si>
    <t>B8131</t>
  </si>
  <si>
    <t>B813</t>
  </si>
  <si>
    <t>B8</t>
  </si>
  <si>
    <t xml:space="preserve">Költségvetési bevételek </t>
  </si>
  <si>
    <t>Finanszírozási kiadások</t>
  </si>
  <si>
    <t xml:space="preserve">Működési célú átvett pénzeszközök </t>
  </si>
  <si>
    <t xml:space="preserve">Felhalmozási bevételek </t>
  </si>
  <si>
    <t xml:space="preserve">Működési bevételek </t>
  </si>
  <si>
    <t>Mindösszesen</t>
  </si>
  <si>
    <t>Eredeti előirányzat</t>
  </si>
  <si>
    <t>Megnevezés</t>
  </si>
  <si>
    <t xml:space="preserve">Felhalmozási célú átvett pénzeszközök </t>
  </si>
  <si>
    <t>B816</t>
  </si>
  <si>
    <t>Központi, irányítószervi támogatás</t>
  </si>
  <si>
    <t>Finanszírozási bevételek</t>
  </si>
  <si>
    <t>Összes bevétel</t>
  </si>
  <si>
    <t>Kiadások összesen</t>
  </si>
  <si>
    <t>091140- Óvodai nevelés, ellátás működési feladatai</t>
  </si>
  <si>
    <t>091120- SNI gyermekek óvodai nevelés, ellátás szakmai feladatai</t>
  </si>
  <si>
    <t>Polgármesteri Hivatal</t>
  </si>
  <si>
    <t>Brunszvik Teréz Óvoda</t>
  </si>
  <si>
    <t>Pályázat</t>
  </si>
  <si>
    <t>011130-Önkormányzati hivatalok jogalkotó és általános igazgatási tevékenysége</t>
  </si>
  <si>
    <t>082091-Közművelődés- közösségi és társadalmi részvétel fejlesztése</t>
  </si>
  <si>
    <t>082061-Múzeumi gyűjteményi tevékenység</t>
  </si>
  <si>
    <t>082030-Művészeti tevékenység</t>
  </si>
  <si>
    <t>082044- Könyvtári szolgáltatások</t>
  </si>
  <si>
    <t>Intézmények összesen</t>
  </si>
  <si>
    <t>083030- Egyéb kiadói tevékenység</t>
  </si>
  <si>
    <t>B E V É T E L E K</t>
  </si>
  <si>
    <t>1. sz. táblázat</t>
  </si>
  <si>
    <t>A</t>
  </si>
  <si>
    <t>C</t>
  </si>
  <si>
    <t>D</t>
  </si>
  <si>
    <t>E</t>
  </si>
  <si>
    <t>1.</t>
  </si>
  <si>
    <t>K I A D Á S O K</t>
  </si>
  <si>
    <t>2. sz. táblázat</t>
  </si>
  <si>
    <t>B</t>
  </si>
  <si>
    <t>1.1.</t>
  </si>
  <si>
    <t>1.2.</t>
  </si>
  <si>
    <t>Felújítások</t>
  </si>
  <si>
    <t>KÖLTSÉGVETÉSI BEVÉTELEK ÉS KIADÁSOK EGYENLEGE</t>
  </si>
  <si>
    <t>FINANSZÍROZÁSI CÉLÚ BEVÉTELEK ÉS KIADÁSOK EGYENLEGE</t>
  </si>
  <si>
    <t>4. sz. táblázat</t>
  </si>
  <si>
    <r>
      <t xml:space="preserve">Finanszírozási célú műveletek egyenlege </t>
    </r>
    <r>
      <rPr>
        <sz val="8"/>
        <rFont val="Times New Roman CE"/>
        <charset val="238"/>
      </rPr>
      <t>(1.1 - 1.2) +/-</t>
    </r>
  </si>
  <si>
    <t>5 sz. táblázat</t>
  </si>
  <si>
    <t>ebből:Központi ktgvetési szervek</t>
  </si>
  <si>
    <t>ebből: központi kezelésű előirányzatok</t>
  </si>
  <si>
    <t>ebből: fejezeti kezelésű előirányzatok, EU-s programok és azok hazai társfinanszírozása</t>
  </si>
  <si>
    <t>ebből: egyéb fejezeti kezelésű előirányzatok</t>
  </si>
  <si>
    <t>ebből: TB pénzügy alapjai</t>
  </si>
  <si>
    <t>ebből: elkülönített állami pénzalapok</t>
  </si>
  <si>
    <t>ebből: nezmetiségi önkormányzatok és költségvetési szerveik</t>
  </si>
  <si>
    <t>ebből: térségi fejlesztési tanácsok és költségvetési szerveik</t>
  </si>
  <si>
    <t>Működési célú támogatások államháztartáson belülről</t>
  </si>
  <si>
    <t xml:space="preserve">Felhalmozási célú támogatások államháztartáson belülről </t>
  </si>
  <si>
    <t xml:space="preserve">Önkormányzatok működési támogatásai </t>
  </si>
  <si>
    <t>ebből:központi ktgvetési szervek</t>
  </si>
  <si>
    <t xml:space="preserve">Jövedelemadók </t>
  </si>
  <si>
    <t>Termékek és szolgáltatások adói</t>
  </si>
  <si>
    <t xml:space="preserve">Közhatalmi bevételek </t>
  </si>
  <si>
    <t xml:space="preserve">Maradvány igénybevétele </t>
  </si>
  <si>
    <t xml:space="preserve">Finanszírozási bevételek </t>
  </si>
  <si>
    <t>Bevételek</t>
  </si>
  <si>
    <t>Kiadások</t>
  </si>
  <si>
    <t>Működési bevételek</t>
  </si>
  <si>
    <t>Személyi juttatások</t>
  </si>
  <si>
    <t>Munkaadókat terhelő járulékok</t>
  </si>
  <si>
    <t>Dologi kiadások</t>
  </si>
  <si>
    <t>Ellátottak juttatási</t>
  </si>
  <si>
    <t>I. Működtetés összesen</t>
  </si>
  <si>
    <t>II.Fejlesztés összesen</t>
  </si>
  <si>
    <t>Martonvásár Város Önkormányzat beruházási (felhalmozási) célú kiadásai
előirányzata feladatonként</t>
  </si>
  <si>
    <t>Sorsz.</t>
  </si>
  <si>
    <t>Beruházás  megnevezése</t>
  </si>
  <si>
    <t>Áthúzódó EU-s pályázatok összesen</t>
  </si>
  <si>
    <t>Egyéb beruházások</t>
  </si>
  <si>
    <t>Egyéb beruházások összesen</t>
  </si>
  <si>
    <t>Hazai támogatású fejlesztési programok</t>
  </si>
  <si>
    <t xml:space="preserve">Áthúzódó hazai tám. fejlesztési programok </t>
  </si>
  <si>
    <t>Hazai támogatású fejlesztési programok összesen</t>
  </si>
  <si>
    <t>Intézményi beruházások összesen</t>
  </si>
  <si>
    <t>Informatikai fejlesztés</t>
  </si>
  <si>
    <t>Informatikai fejlesztés összesen</t>
  </si>
  <si>
    <t>BERUHÁZÁSOK ÖSSZESEN:</t>
  </si>
  <si>
    <t>Ssz.</t>
  </si>
  <si>
    <t>Felújítás  megnevezése</t>
  </si>
  <si>
    <t xml:space="preserve">Eredeti előirányzat </t>
  </si>
  <si>
    <t>Európai uniós támogatással megvalósuló felújítás</t>
  </si>
  <si>
    <t>Európai uniós támogatással megvalósuló felújítások összesen</t>
  </si>
  <si>
    <t>Egyéb felújítások</t>
  </si>
  <si>
    <t>Egyéb felújítások összesen</t>
  </si>
  <si>
    <t>Intézményi felújítások</t>
  </si>
  <si>
    <t>Intézményi felújítások összesen</t>
  </si>
  <si>
    <t>FELÚJÍTÁSOK  ÖSSZESEN:</t>
  </si>
  <si>
    <t>Sorszám</t>
  </si>
  <si>
    <t>Intézmények</t>
  </si>
  <si>
    <t>BB Központ</t>
  </si>
  <si>
    <t>INTÉZMÉNYEK ÖSSZESEN:</t>
  </si>
  <si>
    <t>Területi Védőnői Szolgálat</t>
  </si>
  <si>
    <t xml:space="preserve">Mezei Őrszolgálat </t>
  </si>
  <si>
    <t>Közfoglalkoztatottak</t>
  </si>
  <si>
    <t>MINDÖSSZESEN:</t>
  </si>
  <si>
    <t>ebből: Építményadó</t>
  </si>
  <si>
    <t>ebből: Telekadó</t>
  </si>
  <si>
    <t>ebből: Kommunális adó</t>
  </si>
  <si>
    <t>K9112</t>
  </si>
  <si>
    <t>K9113</t>
  </si>
  <si>
    <t>Rövid lejáratú hitelek, kölcsönök törlesztése</t>
  </si>
  <si>
    <t>Likviditási célú hitelek, kölcsönök törlesztése</t>
  </si>
  <si>
    <t>K915</t>
  </si>
  <si>
    <t>Központi, irányító szervi támogatás folyósítása</t>
  </si>
  <si>
    <t>Működési célú tám.ért.kiadások</t>
  </si>
  <si>
    <t>K82</t>
  </si>
  <si>
    <t>Felhalmozási célú visszatérítendő támogatások, kölcsönök nyújtása ÁH belülre</t>
  </si>
  <si>
    <t>B23</t>
  </si>
  <si>
    <t>Felh.célú visszatérítendő támogatások, kölcsönök visszatérülése ÁH belülről</t>
  </si>
  <si>
    <r>
      <t xml:space="preserve">Közhatalmi bevételek </t>
    </r>
    <r>
      <rPr>
        <sz val="10"/>
        <rFont val="Times New Roman"/>
        <family val="1"/>
        <charset val="238"/>
      </rPr>
      <t>(igazgatási szolg.díj)</t>
    </r>
  </si>
  <si>
    <t>Hitel, kölcsön felvétel államháztartáson kívülről</t>
  </si>
  <si>
    <t>Működési célú maradvány</t>
  </si>
  <si>
    <t>Felhalmozási célú maradvány</t>
  </si>
  <si>
    <t>KÖLTSÉGVETÉSI BEVÉTELEK ÖSSZESEN</t>
  </si>
  <si>
    <t>BEVÉTELEK ÖSSZESEN</t>
  </si>
  <si>
    <t xml:space="preserve">Polgármesteri Hivatal </t>
  </si>
  <si>
    <t>Adatok E forintban</t>
  </si>
  <si>
    <t>B21</t>
  </si>
  <si>
    <t>Felhalmozási célú önkormnyzati támogatások</t>
  </si>
  <si>
    <t>2.melléklet</t>
  </si>
  <si>
    <t>Adatok E Ft-ban</t>
  </si>
  <si>
    <t>K84</t>
  </si>
  <si>
    <t>Egyéb felhalmozási célú támogatások áh belülre</t>
  </si>
  <si>
    <t xml:space="preserve">Egyéb felhalmozási célú támogatások áh kívülre </t>
  </si>
  <si>
    <t>ebből működési maradvány</t>
  </si>
  <si>
    <t>ebből felhalmozási maradvány</t>
  </si>
  <si>
    <t>a</t>
  </si>
  <si>
    <t>b</t>
  </si>
  <si>
    <t xml:space="preserve"> Működési célú bevételek</t>
  </si>
  <si>
    <t>I.</t>
  </si>
  <si>
    <t>2.</t>
  </si>
  <si>
    <t>a.</t>
  </si>
  <si>
    <t>b.</t>
  </si>
  <si>
    <t>c.</t>
  </si>
  <si>
    <t>d.</t>
  </si>
  <si>
    <t>II.</t>
  </si>
  <si>
    <t>III.</t>
  </si>
  <si>
    <t>Működési célú támogatások ÁH belülről</t>
  </si>
  <si>
    <t>KÖLTSÉGVETÉSI KIADÁSOK ÖSSZESEN</t>
  </si>
  <si>
    <t>KIADÁSOK ÖSSZESEN</t>
  </si>
  <si>
    <t xml:space="preserve"> Működési célú kiadások</t>
  </si>
  <si>
    <t>II</t>
  </si>
  <si>
    <t>Felhalmozási kiadások</t>
  </si>
  <si>
    <t>III</t>
  </si>
  <si>
    <t>Költségvetési hiány, többlet ( költségvetési bevételek  - költségvetési kiadások) (+/-)</t>
  </si>
  <si>
    <t>Finanszírozási célú műv. bevételei (1. sz. mell.1. sz. táblázat III.)</t>
  </si>
  <si>
    <t>Finanszírozási célú műv. kiadásai (1. sz. mell .2. sz. táblázat III:)</t>
  </si>
  <si>
    <t>Működési célú tám. Áh belülről</t>
  </si>
  <si>
    <t>Műk. célú átvett pénzeszközök</t>
  </si>
  <si>
    <t>Felhalmozási célú tám. Áh belülről</t>
  </si>
  <si>
    <t>Egyéb felhalmozási kiadások</t>
  </si>
  <si>
    <t>Tartalék</t>
  </si>
  <si>
    <t>Európai uniós támogatással megvalósuló beruházások összesen</t>
  </si>
  <si>
    <t xml:space="preserve">Európai uniós támogatással megvalósuló beruházások </t>
  </si>
  <si>
    <t>Áthúzódó 2013 évi EU-s felújítások</t>
  </si>
  <si>
    <t>Foglalkoztatottak személyi juttatásai</t>
  </si>
  <si>
    <t>Külső személyi juttatások</t>
  </si>
  <si>
    <t>Személyi juttatások összesen</t>
  </si>
  <si>
    <t>Munkaadókat terhelő járulékok és szociális hozzájárulási adó</t>
  </si>
  <si>
    <t>ebből: fogl.kapcs.egyéb járulék</t>
  </si>
  <si>
    <t>Készletbeszerzés</t>
  </si>
  <si>
    <t>Kommunikációs szolgáltatások</t>
  </si>
  <si>
    <t>Bérleti és lízing díjak</t>
  </si>
  <si>
    <t>Szakmai tevékenységet segítő szolgáltatások</t>
  </si>
  <si>
    <t>Egyéb szolgáltatások</t>
  </si>
  <si>
    <t>Szolgáltatási kiadások</t>
  </si>
  <si>
    <t>Fizetendő általános forgalmi adó</t>
  </si>
  <si>
    <t>Kamatkiadások</t>
  </si>
  <si>
    <t>Egyéb pénzügyi műveletek kiadásai</t>
  </si>
  <si>
    <t>Ingatlanok beszerzése, létesítése</t>
  </si>
  <si>
    <t>Egyéb tárgyi eszközök felújítása</t>
  </si>
  <si>
    <t>Költségvetési kiadások</t>
  </si>
  <si>
    <t>Működési kiadások</t>
  </si>
  <si>
    <t>Közhatalmi bevételek</t>
  </si>
  <si>
    <t>Január</t>
  </si>
  <si>
    <t>Február</t>
  </si>
  <si>
    <t>Március</t>
  </si>
  <si>
    <t>Április</t>
  </si>
  <si>
    <t>Május</t>
  </si>
  <si>
    <t>Június</t>
  </si>
  <si>
    <t>Július</t>
  </si>
  <si>
    <t>Szeptember</t>
  </si>
  <si>
    <t>Október</t>
  </si>
  <si>
    <t>November</t>
  </si>
  <si>
    <t>December</t>
  </si>
  <si>
    <t>Köztemető fenntartása</t>
  </si>
  <si>
    <t>ebből: működési hiány finanszírozása</t>
  </si>
  <si>
    <t>Felhalmozási bevételek</t>
  </si>
  <si>
    <t xml:space="preserve"> Ezer forintban !</t>
  </si>
  <si>
    <t>Sor-szám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</si>
  <si>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</si>
  <si>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</si>
  <si>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</si>
  <si>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</si>
  <si>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</si>
  <si>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</si>
  <si>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</si>
  <si>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</si>
  <si>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</si>
  <si>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</si>
  <si>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Összesen:</t>
  </si>
  <si>
    <t>Többéves kihatással járó döntésekből származó kötelezettségek célok szerint, évenkénti bontásban</t>
  </si>
  <si>
    <t>Sor-
szám</t>
  </si>
  <si>
    <t>Kötelezettség jogcíme</t>
  </si>
  <si>
    <t>Köt. váll.
 éve</t>
  </si>
  <si>
    <t>Tárgyév előtti tőke kifizetés összesen</t>
  </si>
  <si>
    <t>Kiadás vonzata évenként</t>
  </si>
  <si>
    <t>Tárgyév</t>
  </si>
  <si>
    <t>Tárgyévi teljesítés</t>
  </si>
  <si>
    <t>Tárgyévet követő év</t>
  </si>
  <si>
    <t>Tárgyévet követő 2. év</t>
  </si>
  <si>
    <t>10=(4+5+7+8+9)</t>
  </si>
  <si>
    <t>Működési célú hiteltörlesztés (tőke+kamat)</t>
  </si>
  <si>
    <t>Felhalmozási célú hiteltörlesztés (tőke+kamat)</t>
  </si>
  <si>
    <t xml:space="preserve">    Egyéb elismert kötelezettségek</t>
  </si>
  <si>
    <t xml:space="preserve">   Áfa Kölcsön törlesztés</t>
  </si>
  <si>
    <t>Összesen (1+5+10)</t>
  </si>
  <si>
    <t>Sportszervezetek támogatása</t>
  </si>
  <si>
    <t>011130</t>
  </si>
  <si>
    <t>066020</t>
  </si>
  <si>
    <t>Út, autópálya építése</t>
  </si>
  <si>
    <t>Egyéb szárazföldi személyszállítás</t>
  </si>
  <si>
    <t>Nem veszélyes hulladék vegyes begyűjtése, szállítása, átrakása</t>
  </si>
  <si>
    <t>Közvilágítás</t>
  </si>
  <si>
    <t>Zöldterület-kezlés</t>
  </si>
  <si>
    <t>Város- és községgazdálkodás</t>
  </si>
  <si>
    <t>Sportlétesítmények, edzőtáborok működtetése</t>
  </si>
  <si>
    <t>Egyéb működési célú támogatások áh-n kívülre</t>
  </si>
  <si>
    <t>Orvosi rendelő, védőnői helységek</t>
  </si>
  <si>
    <t>084032</t>
  </si>
  <si>
    <t>Civil szervezetek programtámogatása</t>
  </si>
  <si>
    <t>081041</t>
  </si>
  <si>
    <t>Cofog</t>
  </si>
  <si>
    <t>Rovatrend</t>
  </si>
  <si>
    <t>Ellátottak pénzbeli juttatásai</t>
  </si>
  <si>
    <t>101150</t>
  </si>
  <si>
    <t>Betegséggel kapcsolatos pénzbeli ellátások</t>
  </si>
  <si>
    <t>104051</t>
  </si>
  <si>
    <t>Gyermekvédelmi pénzbeli és természetbeni ellátások</t>
  </si>
  <si>
    <t>105010</t>
  </si>
  <si>
    <t>Munkanélküli aktív korúak ellátásai</t>
  </si>
  <si>
    <t>106020</t>
  </si>
  <si>
    <t>Lakásfenntartással, lakhatással összefüggő ellátások</t>
  </si>
  <si>
    <t>107051</t>
  </si>
  <si>
    <t>Szociális étkeztetés</t>
  </si>
  <si>
    <t>107060</t>
  </si>
  <si>
    <t>Egyéb szociális pénzbeni és természetbeni ellátások</t>
  </si>
  <si>
    <t>TKT-nak pénzeszköz átadás</t>
  </si>
  <si>
    <t>Városfejlesztés saját forrásból</t>
  </si>
  <si>
    <t>Városfejlesztés EU forrásból</t>
  </si>
  <si>
    <t>Védőnő, Eü</t>
  </si>
  <si>
    <t>Átadott pénzeszközök</t>
  </si>
  <si>
    <t>Közfoglalkoztatás</t>
  </si>
  <si>
    <t>Martonvásári Tehetséggondozó Alapítvány támogatása</t>
  </si>
  <si>
    <t>Köznev.int tanuló szakmai feladatai                      1-4.évfolyam</t>
  </si>
  <si>
    <t>Alapfokú művészetoktatással összefüggő működési feladatok</t>
  </si>
  <si>
    <t xml:space="preserve">092111-Köznev.int tanuló szakmai feladatai                     </t>
  </si>
  <si>
    <t>Martongazdának átadott pe (MÁV)</t>
  </si>
  <si>
    <t>B62</t>
  </si>
  <si>
    <t>Működési célú támogatások visszatérülése ÁH-n kívülről</t>
  </si>
  <si>
    <t>Módosított előirányzat, Ft</t>
  </si>
  <si>
    <t>Mezőőri szolgálat</t>
  </si>
  <si>
    <t>Közfoglalkoztatás támogatása</t>
  </si>
  <si>
    <t>Műk.célú pénzeszk.átvétel SZLV TKT</t>
  </si>
  <si>
    <t xml:space="preserve">TKT  Támogató szolgálat </t>
  </si>
  <si>
    <t>Eü. Finanszírozás</t>
  </si>
  <si>
    <t>Műv.Iskola térítési díj átvétele KLIK-től</t>
  </si>
  <si>
    <t>Iskolatej támogatás</t>
  </si>
  <si>
    <t>MÁV átadott pénzeszköz karbantartásra</t>
  </si>
  <si>
    <t>Zsidó Hitközség</t>
  </si>
  <si>
    <t xml:space="preserve">Továbbszámlázott szolg.  bevétele </t>
  </si>
  <si>
    <t>Működési célú kamatbevétel</t>
  </si>
  <si>
    <t xml:space="preserve">  </t>
  </si>
  <si>
    <t>Építményadó</t>
  </si>
  <si>
    <t>Telekadó</t>
  </si>
  <si>
    <t>Magánszemélyek komm. adója</t>
  </si>
  <si>
    <t>Idegenforgalmi adó</t>
  </si>
  <si>
    <t>Iparűzési adó</t>
  </si>
  <si>
    <t>Helyi  adók összesen</t>
  </si>
  <si>
    <t>Gépjárműadó</t>
  </si>
  <si>
    <t>Átengedett központi adók összesen</t>
  </si>
  <si>
    <t>Talajterhelési díj</t>
  </si>
  <si>
    <t>Termőföld bérbead.szárm.jöv.adó</t>
  </si>
  <si>
    <t>Egyéb közhatalmi bevételek összesen</t>
  </si>
  <si>
    <t>Közhatalmi bevételek mindösszesen</t>
  </si>
  <si>
    <t>Eredeti előirányzat, Ft</t>
  </si>
  <si>
    <t>Működési célú támogatások</t>
  </si>
  <si>
    <t>Felhalmozási célú támogatások</t>
  </si>
  <si>
    <t>Jövedelem pótló támogatások</t>
  </si>
  <si>
    <t>Működési célú átvett pénzeszköz</t>
  </si>
  <si>
    <t>Felhalmozási célú átvett pénzeszköz</t>
  </si>
  <si>
    <t>MKA visszafizetése</t>
  </si>
  <si>
    <t xml:space="preserve">Mezőőri szolgáltatás bevétele </t>
  </si>
  <si>
    <t>Med-Martoncat érdekeltségi díjhátralék megtérülése</t>
  </si>
  <si>
    <t>BBKP könyvtár bevétele</t>
  </si>
  <si>
    <t>BBKP Óvodamúzeum bevétele</t>
  </si>
  <si>
    <t>BBKP Rendezvények bevétele</t>
  </si>
  <si>
    <t>Pályázati támogatás - Leader színpad</t>
  </si>
  <si>
    <t>Pályázati támogatás - Leader sétány</t>
  </si>
  <si>
    <t>Pályázati támogatás - TÁMOP 3.4.2</t>
  </si>
  <si>
    <t>Kiszámlázott áfa</t>
  </si>
  <si>
    <t xml:space="preserve">Pótlékok, bírságok </t>
  </si>
  <si>
    <t>Normatíva jogcíme</t>
  </si>
  <si>
    <t>ÖNKORMÁNYZAT</t>
  </si>
  <si>
    <t>TÖBBCÉLÚ KIST. TÁRSULÁS</t>
  </si>
  <si>
    <t xml:space="preserve">Önkormányzati hivatal műk. </t>
  </si>
  <si>
    <t>Település-üzemeltetés tám.</t>
  </si>
  <si>
    <t>Beszámítás összege (elvárt bevétel, visszavonás)</t>
  </si>
  <si>
    <t>Egyéb köt. Önk. Feladatok</t>
  </si>
  <si>
    <t>Pénzbeli szociális ellátás támogatása</t>
  </si>
  <si>
    <t>Helyi önk műk ált támogatás összesen</t>
  </si>
  <si>
    <t>2013/2014 8 hó</t>
  </si>
  <si>
    <t>2014/2015 4 hó</t>
  </si>
  <si>
    <t>Óvodaped bértámogatása</t>
  </si>
  <si>
    <t>Óvodaped pótlólagos támogatás</t>
  </si>
  <si>
    <t>Óvodapedagógusok  nev. munkáját közvetlenül segítők bértámogatása</t>
  </si>
  <si>
    <t>Óvodaműködtetési támogatás</t>
  </si>
  <si>
    <t>Elismert bértámogatás</t>
  </si>
  <si>
    <t>Üzemeltetési támogatás</t>
  </si>
  <si>
    <t>Gyermekétkeztetés támogatás</t>
  </si>
  <si>
    <t>Köznevelési támogatások összesen</t>
  </si>
  <si>
    <t>Szociális és gyermekjóléti feladat</t>
  </si>
  <si>
    <t>Házi segítségnyújtás</t>
  </si>
  <si>
    <t>Tanyagondnoki szolgálat</t>
  </si>
  <si>
    <t>Idősek nappali ellátása</t>
  </si>
  <si>
    <t>Családi napközi</t>
  </si>
  <si>
    <t>Szociális feladatok összesen</t>
  </si>
  <si>
    <t>Könyvtári, közművelődési feladat támogatása</t>
  </si>
  <si>
    <t>Üdülőhelyi feladatok támogatása</t>
  </si>
  <si>
    <t>Köznevelési feladatok egyéb tám</t>
  </si>
  <si>
    <t>Lakott külterülettel kapcsol. Tám</t>
  </si>
  <si>
    <t>Bérkompenzáció</t>
  </si>
  <si>
    <t>TÁMOGATÁSOK ÖSSZESEN</t>
  </si>
  <si>
    <t>Vagyonkezelés</t>
  </si>
  <si>
    <t>2015. évi</t>
  </si>
  <si>
    <t>Ebből:  Tartalék</t>
  </si>
  <si>
    <t>Kieg.támogatás óvodaped. Minősítésből adódó kiadáshoz</t>
  </si>
  <si>
    <t>Utalványozó</t>
  </si>
  <si>
    <t>Jogi ellenjegyző</t>
  </si>
  <si>
    <t>Pénzügyi ellenjegyző</t>
  </si>
  <si>
    <t>Ellenőrizte</t>
  </si>
  <si>
    <t>Készítette</t>
  </si>
  <si>
    <t>Hivatal működési támogatása</t>
  </si>
  <si>
    <t>ÖL: lakosságszám</t>
  </si>
  <si>
    <t>A: tel.típus lakosság alsó határ</t>
  </si>
  <si>
    <t>B: tel.típus lakosság felső határ</t>
  </si>
  <si>
    <t>kerekítve</t>
  </si>
  <si>
    <t>Alaplétszám</t>
  </si>
  <si>
    <t>ÖSSZESEN</t>
  </si>
  <si>
    <t>ebből: Zöldterület gazdálkodás</t>
  </si>
  <si>
    <t>ebből: Közutak fenntartása</t>
  </si>
  <si>
    <t>ebből: Közvilágítás fenntartása</t>
  </si>
  <si>
    <t>ebből: Köztemető fenntartása</t>
  </si>
  <si>
    <t>Tartalék (részleteiben: 5/g.melléklet)</t>
  </si>
  <si>
    <t>BBKP (NAKVI)</t>
  </si>
  <si>
    <t>Működési céltartalék</t>
  </si>
  <si>
    <t>Fejlesztési célú céltartalék</t>
  </si>
  <si>
    <t>Általános tartalék</t>
  </si>
  <si>
    <t>B8111</t>
  </si>
  <si>
    <t>Hosszú lejáratú hitelek, kölcsönök pénzügyi vállalkozástól</t>
  </si>
  <si>
    <t>Hitelek, kölcsön felvétel pénzügyi vállalkozástól</t>
  </si>
  <si>
    <t>B811</t>
  </si>
  <si>
    <t>Hitelv felvétel</t>
  </si>
  <si>
    <t>ebből: általános tartalék</t>
  </si>
  <si>
    <t>013350- Az önkormányzati vagyonnal való gazdálkodással kapcsolatos feladat</t>
  </si>
  <si>
    <t>ebből fordított áfa</t>
  </si>
  <si>
    <t>BBKP Újság bevétele</t>
  </si>
  <si>
    <t>Áfavisszatérülés</t>
  </si>
  <si>
    <t>INTÉZMÉNYI BERUHÁZÁSOK</t>
  </si>
  <si>
    <t>Beethoven Általános Iskola beruházása</t>
  </si>
  <si>
    <t>BBKP egyéb tárgyi eszköz vásárlás</t>
  </si>
  <si>
    <t>Brunszvik Óvoda informatikai eszköz vásárlás</t>
  </si>
  <si>
    <t>Brunszvik Óvoda egyéb tárgyi eszköz vásárlás</t>
  </si>
  <si>
    <t>Polgármesteri Hivatal immateriális javak vásárlása</t>
  </si>
  <si>
    <t>Polgármesteri Hivatal informatikai eszközök vásárlása</t>
  </si>
  <si>
    <t>Polgármesteri Hivatal egyéb tárgyi eszköz vásárlása</t>
  </si>
  <si>
    <t>Martongazdának átadott pe városüzemeltetési feladatokra</t>
  </si>
  <si>
    <t>Közbiztonság támogatása</t>
  </si>
  <si>
    <t xml:space="preserve">Martonvásár Város Önkormányzatának kiadásai 2015. </t>
  </si>
  <si>
    <t>Martonvásár Város Önkormányzat közhatalmi bevételeinek részletezése</t>
  </si>
  <si>
    <t>MARTONVÁSÁR VÁROS ÖNKORMÁNYZATA NORMATÍV TÁMOGATÁSOK KIMUTATÁSA</t>
  </si>
  <si>
    <t>Martonvásár Város Önkormányzata és Intézményei  2015. évi létszámkerete</t>
  </si>
  <si>
    <t xml:space="preserve">Tárgyévet követő  évek
</t>
  </si>
  <si>
    <t>Egyéb működési célú támogatások áh-n belülre</t>
  </si>
  <si>
    <t>096015- Gyermekétkeztetés köznevelési intézményben</t>
  </si>
  <si>
    <t>104035- Gyermekétkeztetés bölcsödében és fogyatékosok nappali intézményében</t>
  </si>
  <si>
    <t>Költségvetési egyenleg</t>
  </si>
  <si>
    <t>Módosítás</t>
  </si>
  <si>
    <t>Mód.ei.</t>
  </si>
  <si>
    <t>Mód.ei</t>
  </si>
  <si>
    <t>2015 .évi tervezett  létszám (fő)</t>
  </si>
  <si>
    <t>2015. évi módosított létszám (fő)</t>
  </si>
  <si>
    <t>1.mellékelet</t>
  </si>
  <si>
    <t>3.melléklet</t>
  </si>
  <si>
    <t>3.a melléklet</t>
  </si>
  <si>
    <t>3.b melléklet</t>
  </si>
  <si>
    <t>3.c melléklet</t>
  </si>
  <si>
    <t>4.melléklet</t>
  </si>
  <si>
    <t>5.melléklet</t>
  </si>
  <si>
    <t>5.a melléklet</t>
  </si>
  <si>
    <t>5.b melléklet</t>
  </si>
  <si>
    <t>5.c melléklet</t>
  </si>
  <si>
    <t>5.d melléklet</t>
  </si>
  <si>
    <t>5.e melléklet</t>
  </si>
  <si>
    <t>5.f melléklet</t>
  </si>
  <si>
    <t>5.g melléklet</t>
  </si>
  <si>
    <t>6.melléklet</t>
  </si>
  <si>
    <t>6.a melléklet</t>
  </si>
  <si>
    <t>6.b melléklet</t>
  </si>
  <si>
    <t>6.c melléklet</t>
  </si>
  <si>
    <t>7.melléklet</t>
  </si>
  <si>
    <t>8.melléklet</t>
  </si>
  <si>
    <t>9.melléklet</t>
  </si>
  <si>
    <t>10.melléklet</t>
  </si>
  <si>
    <t>Martonvásár Város Önkormányzatának 2015.évi költésgvetési pénzügyi mérlege 1.</t>
  </si>
  <si>
    <t>Martonvásár Város Önkormányzatának 2015.évi költésgvetési pénzügyi mérlege 2.</t>
  </si>
  <si>
    <t>Martonvásár Város Önkormányzatának Normatív támogatása</t>
  </si>
  <si>
    <t>Martonvásár Város Önkormányzatának kiadásai 2015. Önkormányzati jogalkotás</t>
  </si>
  <si>
    <t>Martonvásár Város Önkormányzatának kiadásai 2015. Városfejlesztés EU forrásból</t>
  </si>
  <si>
    <t>Martonvásár Város Önkormányzatának kiadásai 2015. Városfejlesztés saját forrásból</t>
  </si>
  <si>
    <t>Martonvásár Város Önkormányzatának kiadásai 2015. Védőnői, iskola egészségügyi feladatok ellátása</t>
  </si>
  <si>
    <t>Martonvásár Város Önkormányzatának kiadásai 2015. Szociális ellátások</t>
  </si>
  <si>
    <t>Martonvásár Város Önkormányzatának kiadásai 2015. Egyéb tevékenységek</t>
  </si>
  <si>
    <t>Martonvásár Város Önkormányzatának kiadásai 2015. Intézmények mindösszesen</t>
  </si>
  <si>
    <t>Martonvásár Város Önkormányzat felújítási(felhalmozási) célú kiadásai
előirányzata feladatonként</t>
  </si>
  <si>
    <t>Polgármesteri Hivatal kiadásai</t>
  </si>
  <si>
    <t>Brunszvik Terzés Óvoda kiadásai</t>
  </si>
  <si>
    <t>Brunszvik Beethoven Kulturális Központ kiadásai</t>
  </si>
  <si>
    <t>K513</t>
  </si>
  <si>
    <t>Felhalmozási célú visszatérítendő támogatások</t>
  </si>
  <si>
    <t>B75</t>
  </si>
  <si>
    <t>B74</t>
  </si>
  <si>
    <t>K914</t>
  </si>
  <si>
    <t>ÁH-n belüli megelőlegezések visszafizetése</t>
  </si>
  <si>
    <t>KLIK működési célú pe átadás</t>
  </si>
  <si>
    <t>Kisajátítási eljárás költségei tartalék</t>
  </si>
  <si>
    <t>Martongazda Kft. Felhalm.célú pe átadás visszatérítendő</t>
  </si>
  <si>
    <t xml:space="preserve">Martongazda Kft. Felhalm.célú pe átadás </t>
  </si>
  <si>
    <t>Áfa kölcsön törlesztése</t>
  </si>
  <si>
    <t>Intézmények pénzmaradványa</t>
  </si>
  <si>
    <t>Kerékpár tároló</t>
  </si>
  <si>
    <t>Martonsport üzletrész vásárlás, törzstőke emelés</t>
  </si>
  <si>
    <t>Művészeti Iskola világítás</t>
  </si>
  <si>
    <t>Jövedelempótló támogatások</t>
  </si>
  <si>
    <t>2013.évről áthúzódó bérkomp.</t>
  </si>
  <si>
    <t>Kifizetői adó</t>
  </si>
  <si>
    <t>B411</t>
  </si>
  <si>
    <t>Bizotsító által fizetett bevételek</t>
  </si>
  <si>
    <t>Egyéb elvonások és befizetések</t>
  </si>
  <si>
    <t>Egyéb működési célú támogatások államháztartáson belülre</t>
  </si>
  <si>
    <t>061020- Épület építés</t>
  </si>
  <si>
    <t>066020 - Város- és községgazdálkodás</t>
  </si>
  <si>
    <t>082070- Történelmi hely, építmény, egyéb látványosság működtetése és megóvása</t>
  </si>
  <si>
    <t>BBKP közvetített szolgáltatások</t>
  </si>
  <si>
    <t>Egyéb működési bevétel</t>
  </si>
  <si>
    <t>013350</t>
  </si>
  <si>
    <t>045150</t>
  </si>
  <si>
    <t>Biztosító által fizetett kártérítés</t>
  </si>
  <si>
    <t>Mód.ei I.</t>
  </si>
  <si>
    <t>Brunszvik-Beethoven Kulturális Központ</t>
  </si>
  <si>
    <t>Módosított előirányzat I.</t>
  </si>
  <si>
    <t>Telj.ei.</t>
  </si>
  <si>
    <t>016010-Országgyűlési, önkormányzati és európai parlamenti vál.kapcs. tevékenységek</t>
  </si>
  <si>
    <t>Telj. ei.</t>
  </si>
  <si>
    <t>Teljesítés Összesen</t>
  </si>
  <si>
    <t>Teljesített előirányzat, Ft</t>
  </si>
  <si>
    <t>Teljesített  előirányzat, Ft</t>
  </si>
  <si>
    <t>Módosított  előirányzat, Ft</t>
  </si>
  <si>
    <t>Támogatás egyéb külföldinek</t>
  </si>
  <si>
    <t>013320</t>
  </si>
  <si>
    <t>045120</t>
  </si>
  <si>
    <t>051030</t>
  </si>
  <si>
    <t>064010</t>
  </si>
  <si>
    <t>066010</t>
  </si>
  <si>
    <t>081030</t>
  </si>
  <si>
    <t>091250</t>
  </si>
  <si>
    <t xml:space="preserve">Telj.ei. </t>
  </si>
  <si>
    <t xml:space="preserve">Mód.ei. </t>
  </si>
  <si>
    <t>2015. évi teljesített létszám (fő)</t>
  </si>
  <si>
    <t xml:space="preserve">Tulajdonosi bevételek </t>
  </si>
  <si>
    <t>Alapítványi támogatás szobor megvalósításához</t>
  </si>
  <si>
    <t>ÖKOVÍZ üzletrész értékesítés</t>
  </si>
  <si>
    <t>Csatorna utólagos rákötés</t>
  </si>
  <si>
    <t>Közvetített szolgáltalás bev. PH</t>
  </si>
  <si>
    <t>Martonvásár Város Önkormányzatának  bevételei 2015.</t>
  </si>
  <si>
    <t>Index, %</t>
  </si>
  <si>
    <r>
      <t xml:space="preserve">BBKP Nakvi bevétel </t>
    </r>
    <r>
      <rPr>
        <i/>
        <sz val="10"/>
        <rFont val="Times New Roman"/>
        <family val="1"/>
        <charset val="238"/>
      </rPr>
      <t>(2014. évről áthúzódó tétel)</t>
    </r>
  </si>
  <si>
    <t>Martongazda Kft visszatérítendő pályázati támogatás</t>
  </si>
  <si>
    <t>Áthúzódó pályázati bevétel (KDOP)</t>
  </si>
  <si>
    <r>
      <t xml:space="preserve">Egyéb működési bevétel </t>
    </r>
    <r>
      <rPr>
        <i/>
        <sz val="10"/>
        <rFont val="Times New Roman"/>
        <family val="1"/>
        <charset val="238"/>
      </rPr>
      <t>(végrehajtói,egyéb bev.)</t>
    </r>
  </si>
  <si>
    <t xml:space="preserve">Fűtéskorszerűsítés </t>
  </si>
  <si>
    <t>Malom, Járási Hivatal felújítása</t>
  </si>
  <si>
    <t>Nyomtató vásárlás</t>
  </si>
  <si>
    <t>Beethoven Általános Iskola épületgépészeti tervezés</t>
  </si>
  <si>
    <t>Ingatlan vásárlás 025/10, 025/24, 025/25, 025/31. hrsz</t>
  </si>
  <si>
    <t>051020</t>
  </si>
  <si>
    <t>2015.évi tagdíj KDV Hulladékgazd. Társ.</t>
  </si>
  <si>
    <t>MKE működési célú visszatérítendő támogatása</t>
  </si>
  <si>
    <t>Egyéb működési célú visszatérítendő támogatások áh-n kívülre</t>
  </si>
  <si>
    <t xml:space="preserve">FM Polgárőr egyesület visszatérítendő felhalmozási célú támogatása </t>
  </si>
  <si>
    <t>NKA - szobor pályázat támogatása</t>
  </si>
  <si>
    <t>Gyermekvédelmi természetbeni ellátások</t>
  </si>
  <si>
    <t>Önkormányzati választások finanszírozása</t>
  </si>
  <si>
    <t>Pénzeszköz átvétel Bethlen Gábor Alapkezelőtől</t>
  </si>
  <si>
    <t>Lakástörlesztés bevétele</t>
  </si>
  <si>
    <t>Közterület használat</t>
  </si>
  <si>
    <t>Kamat bevételek</t>
  </si>
  <si>
    <t>Hungarikum pályázati támogatás</t>
  </si>
  <si>
    <t>NÉBIH támogatás</t>
  </si>
  <si>
    <t>Nemzeti Kulturális Alap támogatás</t>
  </si>
  <si>
    <t>BBKP terembérlet</t>
  </si>
  <si>
    <t xml:space="preserve">Közvetített szolgáltatások bev. Óvoda </t>
  </si>
  <si>
    <t>Kamat bevételek Óvoda</t>
  </si>
  <si>
    <r>
      <t>Szolgáltatások ellenértéke</t>
    </r>
    <r>
      <rPr>
        <i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Óvoda</t>
    </r>
  </si>
  <si>
    <t>Házasságkötés bevétele</t>
  </si>
  <si>
    <t>Terembérlet PH</t>
  </si>
  <si>
    <t>Kamat bevételek PH</t>
  </si>
  <si>
    <t>Traktor értékesítés bevétele</t>
  </si>
  <si>
    <t>Tordas önkormányzat m.célú pe. Átadás (Etyek-Ercsi bringaút)</t>
  </si>
  <si>
    <t>045120- Út, autópálya építése</t>
  </si>
  <si>
    <t>NKA Közműv. Koll. Pályázat</t>
  </si>
  <si>
    <t xml:space="preserve">Laptop értékesítés </t>
  </si>
  <si>
    <t>Gyalogátkelőhely kialakítás</t>
  </si>
  <si>
    <t>Szennyvíztisztító telepen berendezések cseréje</t>
  </si>
  <si>
    <t>Deák Ferenc u. oszlop kiváltás tervezés</t>
  </si>
  <si>
    <t>Deák Ferenc u. légvezeték áthelyezés</t>
  </si>
  <si>
    <t>Tantermi szék Beethoven Iskola</t>
  </si>
  <si>
    <t>Bérleti díj bevétel szétosztása intézményektől</t>
  </si>
  <si>
    <t>MNN pénzeszköz átadás BBK-tól</t>
  </si>
  <si>
    <t>Önkormányzati összesen</t>
  </si>
  <si>
    <t>Család- és gyermekjóléti kp támogatása</t>
  </si>
  <si>
    <t>Érdekeltségnövelő pályázat</t>
  </si>
  <si>
    <t>Önkormányzat összesen</t>
  </si>
  <si>
    <t>Szociális kölcsön visszatérülése- Takácsi József</t>
  </si>
  <si>
    <t>Működési bevételek részletezése</t>
  </si>
  <si>
    <t>Felhalmozási bevételek részletezése</t>
  </si>
  <si>
    <t>Működési bevételek összesen</t>
  </si>
  <si>
    <t>Felhalmozási bevételek összesen</t>
  </si>
  <si>
    <t>Polgárőr Egyesület visszatérítendő támogatás</t>
  </si>
  <si>
    <t>Tulajdonosi bevételek (csatorna, víz, bérleti díjak)</t>
  </si>
  <si>
    <t>Áfa megtérülés NAV</t>
  </si>
  <si>
    <t>Igazgatási szolg.díj PH</t>
  </si>
  <si>
    <t>K86</t>
  </si>
  <si>
    <t>MG Kft beszedett bérleti díj átadás</t>
  </si>
  <si>
    <t>091220</t>
  </si>
  <si>
    <t>Martongazda Kft működési célú pe. átadás</t>
  </si>
  <si>
    <t>082091- Közművelődés - közösségi és társadalmi részvétel fejlesztése</t>
  </si>
  <si>
    <t>091110</t>
  </si>
  <si>
    <t>Jogalkoltás</t>
  </si>
  <si>
    <t>Óvodai nevelés, ellátás</t>
  </si>
  <si>
    <t>096015</t>
  </si>
  <si>
    <t>Gyermekétkeztetés</t>
  </si>
  <si>
    <t>102030</t>
  </si>
  <si>
    <t>Idós, demens betegek nappali ellátása</t>
  </si>
  <si>
    <t>104030</t>
  </si>
  <si>
    <t>Gyermekek napközbeni ellátása</t>
  </si>
  <si>
    <t>104042</t>
  </si>
  <si>
    <t>Gyermekjóléti szolgálat</t>
  </si>
  <si>
    <t>107052</t>
  </si>
  <si>
    <t>107055</t>
  </si>
  <si>
    <t>Falugondnok</t>
  </si>
  <si>
    <t>Pénztárak és betétkönyvek egyenlege</t>
  </si>
  <si>
    <t>Bankszámlák egyenlege</t>
  </si>
  <si>
    <t>Sajátos elszámolások (36) tárgyidőszaki forgalma (+/-)</t>
  </si>
  <si>
    <t>Költségvetési maradvány igénybevétel (-)</t>
  </si>
  <si>
    <t>Kiadások (-)</t>
  </si>
  <si>
    <t>Bevételek (+)</t>
  </si>
  <si>
    <t>Brunszvik-Beethoven Központ</t>
  </si>
  <si>
    <t>Martonvásári Polgármesteri Hivatal</t>
  </si>
  <si>
    <t>Martonvásár Város Önkormányzata</t>
  </si>
  <si>
    <t>F</t>
  </si>
  <si>
    <t>G</t>
  </si>
  <si>
    <t>H</t>
  </si>
  <si>
    <t>I</t>
  </si>
  <si>
    <t>J</t>
  </si>
  <si>
    <t>Költségvetési szervek megnevezése</t>
  </si>
  <si>
    <t>Tárgyévi helyesbí-tett pénzma-radvány</t>
  </si>
  <si>
    <t>Alul- és túlfinanszírozás miatti korrekció</t>
  </si>
  <si>
    <t>Normatíva visszafizetési kötelezettség</t>
  </si>
  <si>
    <t>Költségvetési pénzma-radvány</t>
  </si>
  <si>
    <t>Pénzmaradvány elvonás</t>
  </si>
  <si>
    <t xml:space="preserve">Módosított pénzmaradvány </t>
  </si>
  <si>
    <t>Eredeti költségve-tésben jóváhagyott</t>
  </si>
  <si>
    <t>Korrigált tárgyévi pénzma-radvány</t>
  </si>
  <si>
    <t>Felosztha-tó pénzma-radvány</t>
  </si>
  <si>
    <t>Brunszvik Beethoven Központ</t>
  </si>
  <si>
    <t>K</t>
  </si>
  <si>
    <t>Kiadásból</t>
  </si>
  <si>
    <t>Személyi juttatás</t>
  </si>
  <si>
    <t>Munkaadót terhelő járulék</t>
  </si>
  <si>
    <t>Dologi</t>
  </si>
  <si>
    <t>Működési célra átadott pénzeszköz</t>
  </si>
  <si>
    <t>Felhalmozási célra átadott pénzeszköz</t>
  </si>
  <si>
    <t>Beruházás</t>
  </si>
  <si>
    <t>Felújítás</t>
  </si>
  <si>
    <t>Támogatás értékű</t>
  </si>
  <si>
    <t>ÁH-t kívül</t>
  </si>
  <si>
    <t>Közbeszerzési garancia letét</t>
  </si>
  <si>
    <t>Gépjárműadó számla egyenlege</t>
  </si>
  <si>
    <t>Idegen bevételi száma egyenlege</t>
  </si>
  <si>
    <t>Állami finanszírozás számla egyenlege</t>
  </si>
  <si>
    <t>ÖSSZESEN:</t>
  </si>
  <si>
    <t>Adatok Ft-ban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</si>
  <si>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</si>
  <si>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</si>
  <si>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</si>
  <si>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</si>
  <si>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</si>
  <si>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</si>
  <si>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</si>
  <si>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</si>
  <si>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</si>
  <si>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</si>
  <si>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</si>
  <si>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</si>
  <si>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</si>
  <si>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</si>
  <si>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</si>
  <si>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</si>
  <si>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</si>
  <si>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</si>
  <si>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menteség</t>
  </si>
  <si>
    <t>15.</t>
  </si>
  <si>
    <t>Eszközök hasznosítása utáni kedvezmény, menteség</t>
  </si>
  <si>
    <t>16.</t>
  </si>
  <si>
    <t>Egyéb kedvezmény</t>
  </si>
  <si>
    <t>17.</t>
  </si>
  <si>
    <t>Egyéb kölcsön elengedése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</si>
  <si>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</si>
  <si>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</si>
  <si>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</si>
  <si>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</si>
  <si>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</si>
  <si>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</si>
  <si>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</si>
  <si>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</si>
  <si>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</si>
  <si>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</si>
  <si>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ESZKÖZÖK</t>
  </si>
  <si>
    <t>2014. évi állományi értékek</t>
  </si>
  <si>
    <t>Index</t>
  </si>
  <si>
    <t>A/I/1        Vagyoni értékű jogok</t>
  </si>
  <si>
    <t>A/I/2        Szellemi termékek</t>
  </si>
  <si>
    <t>A/I/3        Immateriális javak értékhelyesbítése</t>
  </si>
  <si>
    <t xml:space="preserve">A/I        Immateriális javak 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</si>
  <si>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</si>
  <si>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</si>
  <si>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</si>
  <si>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</si>
  <si>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</si>
  <si>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 xml:space="preserve">A/II        Tárgyi eszközök </t>
  </si>
  <si>
    <t xml:space="preserve">A/III/1        Tartós részesedések </t>
  </si>
  <si>
    <t xml:space="preserve">A/III/2        Tartós hitelviszonyt megtestesítő értékpapírok </t>
  </si>
  <si>
    <t>A/III/3        Befektetett pénzügyi eszközök értékhelyesbítése</t>
  </si>
  <si>
    <t xml:space="preserve">A/III        Befektetett pénzügyi eszközök </t>
  </si>
  <si>
    <t xml:space="preserve">A/IV        Koncesszióba, vagyonkezelésbe adott eszközök </t>
  </si>
  <si>
    <t xml:space="preserve">A)        NEMZETI VAGYONBA TARTOZÓ BEFEKTETETT ESZKÖZÖK </t>
  </si>
  <si>
    <t xml:space="preserve">B/I        Készletek </t>
  </si>
  <si>
    <t xml:space="preserve">B/II        Értékpapírok </t>
  </si>
  <si>
    <t>B)        NEMZETI VAGYONBA TARTOZÓ FORGÓESZKÖZÖK</t>
  </si>
  <si>
    <t>C/I        Hosszú lejáratú betétek</t>
  </si>
  <si>
    <t>C/II        Pénztárak, csekkek, betétkönyvek</t>
  </si>
  <si>
    <t>C/III        Forintszámlák</t>
  </si>
  <si>
    <t>C/IV        Devizaszámlák</t>
  </si>
  <si>
    <t>C/V        Idegen pénzeszközök</t>
  </si>
  <si>
    <t xml:space="preserve">C)        PÉNZESZKÖZÖK </t>
  </si>
  <si>
    <t xml:space="preserve">D/I        Költségvetési évben esedékes követelések </t>
  </si>
  <si>
    <t xml:space="preserve">D/II        Költségvetési évet követően esedékes követelések </t>
  </si>
  <si>
    <t xml:space="preserve">D/III        Követelés jellegű sajátos elszámolások </t>
  </si>
  <si>
    <t>D)        KÖVETELÉSEK</t>
  </si>
  <si>
    <t>E)        EGYÉB SAJÁTOS ESZKÖZOLDALI ELSZÁMOLÁSOK</t>
  </si>
  <si>
    <t>F)        AKTÍV IDŐBELI ELHATÁROLÁSOK</t>
  </si>
  <si>
    <t xml:space="preserve">ESZKÖZÖK ÖSSZESEN </t>
  </si>
  <si>
    <t>FORRÁSOK</t>
  </si>
  <si>
    <t>G/I        Nemzeti vagyon induláskori értéke</t>
  </si>
  <si>
    <t>G/II        Nemzeti vagyon változásai</t>
  </si>
  <si>
    <t>G/III        Egyéb eszközök induláskori értéke és változásai</t>
  </si>
  <si>
    <t>G/IV        Felhalmozott eredmény</t>
  </si>
  <si>
    <t>G/V        Eszközök értékhelyesbítésének forrása</t>
  </si>
  <si>
    <t>G/VI        Mérleg szerinti eredmény</t>
  </si>
  <si>
    <t xml:space="preserve">G)        SAJÁT TŐKE </t>
  </si>
  <si>
    <t xml:space="preserve">H/I        Költségvetési évben esedékes kötelezettségek </t>
  </si>
  <si>
    <t xml:space="preserve">H/II        Költségvetési évet követően esedékes kötelezettségek </t>
  </si>
  <si>
    <t xml:space="preserve">H/III        Kötelezettség jellegű sajátos elszámolások </t>
  </si>
  <si>
    <t xml:space="preserve">H)        KÖTELEZETTSÉGEK </t>
  </si>
  <si>
    <t>I)        EGYÉB SAJÁTOS FORRÁSOLDALI ELSZÁMOLÁSOK</t>
  </si>
  <si>
    <t>J)        KINCSTÁRI SZÁMLAVEZETÉSSEL KAPCSOLATOS ELSZÁMOLÁSOK</t>
  </si>
  <si>
    <t xml:space="preserve">K)        PASSZÍV IDŐBELI ELHATÁROLÁSOK </t>
  </si>
  <si>
    <t xml:space="preserve">FORRÁSOK ÖSSZESEN </t>
  </si>
  <si>
    <t>Eredménykimutatás</t>
  </si>
  <si>
    <t>01        Közhatalmi eredményszemléletű bevételek</t>
  </si>
  <si>
    <t>ebből: Közhatalmi bevételek</t>
  </si>
  <si>
    <t>ebből: Közhatalmi bevétel hátralék</t>
  </si>
  <si>
    <t>02        Eszközök és szolgáltatások értékesítése nettó eredményszemléletű bevételei</t>
  </si>
  <si>
    <t>03        Tevékenység egyéb nettó eredményszemléletű bevételei</t>
  </si>
  <si>
    <t xml:space="preserve">I        Tevékenység nettó eredményszemléletű bevétele </t>
  </si>
  <si>
    <t>04        Saját termelésű készletek állományváltozása</t>
  </si>
  <si>
    <t>05        Saját előállítású eszközök aktivált értéke</t>
  </si>
  <si>
    <t xml:space="preserve">II        Aktivált saját teljesítmények értéke </t>
  </si>
  <si>
    <t>06        Központi működési célú támogatások eredményszemléletű bevételei</t>
  </si>
  <si>
    <t>07        Egyéb működési célú támogatások eredményszemléletű bevételei</t>
  </si>
  <si>
    <t>08        Különféle egyéb eredményszemléletű bevételek</t>
  </si>
  <si>
    <t xml:space="preserve">III        Egyéb eredményszemléletű bevételek </t>
  </si>
  <si>
    <t>09        Anyagköltség</t>
  </si>
  <si>
    <t>10        Igénybe vett szolgáltatások értéke</t>
  </si>
  <si>
    <t>11        Eladott áruk beszerzési értéke</t>
  </si>
  <si>
    <t>12        Eladott (közvetített) szolgáltatások értéke</t>
  </si>
  <si>
    <t xml:space="preserve">IV        Anyagjellegű ráfordítások </t>
  </si>
  <si>
    <t>13        Bérköltség</t>
  </si>
  <si>
    <t>14        Személyi jellegű egyéb kifizetések</t>
  </si>
  <si>
    <t>15        Bérjárulékok</t>
  </si>
  <si>
    <t xml:space="preserve">V        Személyi jellegű ráfordítások </t>
  </si>
  <si>
    <t>VI        Értékcsökkenési leírás</t>
  </si>
  <si>
    <t>VII        Egyéb ráfordítások</t>
  </si>
  <si>
    <t xml:space="preserve">A) TEVÉKENYSÉGEK EREDMÉNYE </t>
  </si>
  <si>
    <t>16        Kapott (járó) osztalék és részesedés</t>
  </si>
  <si>
    <t>17        Kapott (járó) kamatok és kamatjellegű eredményszemléletű bevételek</t>
  </si>
  <si>
    <t xml:space="preserve">18        Pénzügyi műveletek egyéb eredményszemléletű bevételei </t>
  </si>
  <si>
    <t>18a        - ebből: árfolyamnyereség</t>
  </si>
  <si>
    <t>VIII        Pénzügyi műveletek eredményszemléletű bevételei</t>
  </si>
  <si>
    <t>19        Fizetendő kamatok és kamatjellegű ráfordítások</t>
  </si>
  <si>
    <t>20        Részesedések, értékpapírok, pénzeszközök értékvesztése</t>
  </si>
  <si>
    <t xml:space="preserve">21        Pénzügyi műveletek egyéb ráfordításai </t>
  </si>
  <si>
    <r>
      <t xml:space="preserve">21a        - ebből: árfolyamveszteség </t>
    </r>
    <r>
      <rPr>
        <i/>
        <sz val="10"/>
        <rFont val="Times New Roman"/>
        <family val="1"/>
        <charset val="238"/>
      </rPr>
      <t>(kötvény konszolidáció)</t>
    </r>
  </si>
  <si>
    <t>IX        Pénzügyi műveletek ráfordításai</t>
  </si>
  <si>
    <t xml:space="preserve">B)        PÉNZÜGYI MŰVELETEK EREDMÉNYE </t>
  </si>
  <si>
    <t>C)        SZOKÁSOS EREDMÉNY</t>
  </si>
  <si>
    <t>22        Felhalmozási célú támogatások eredményszemléletű bevételei</t>
  </si>
  <si>
    <t>23        Különféle rendkívüli eredményszemléletű bevételek</t>
  </si>
  <si>
    <t xml:space="preserve">X        Rendkívüli eredményszemléletű bevételek </t>
  </si>
  <si>
    <t>XI        Rendkívüli ráfordítások</t>
  </si>
  <si>
    <t>D)        RENDKÍVÜLI EREDMÉNY</t>
  </si>
  <si>
    <t xml:space="preserve">E)        MÉRLEG SZERINTI EREDMÉNY </t>
  </si>
  <si>
    <t>Bruttó</t>
  </si>
  <si>
    <t xml:space="preserve">Könyv szerinti </t>
  </si>
  <si>
    <t>állományi érték</t>
  </si>
  <si>
    <t xml:space="preserve">A </t>
  </si>
  <si>
    <t xml:space="preserve"> I. Immateriális javak </t>
  </si>
  <si>
    <t>01.</t>
  </si>
  <si>
    <t xml:space="preserve">II. Tárgyi eszközök </t>
  </si>
  <si>
    <t>02.</t>
  </si>
  <si>
    <t xml:space="preserve">1. Ingatlanok és kapcsolódó vagyoni értékű jogok  </t>
  </si>
  <si>
    <t>03.</t>
  </si>
  <si>
    <t>1.1. Forgalomképtelen ingatlanok és kapcsolódó vagyoni értékű jogok</t>
  </si>
  <si>
    <t>04.</t>
  </si>
  <si>
    <t>1.2. Nemzetgazdasági szempontból kiemelt jelentőségű ingatlanok és kapcsolódó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</si>
  <si>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</si>
  <si>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</si>
  <si>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</si>
  <si>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</si>
  <si>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</si>
  <si>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 xml:space="preserve">2. Gépek, berendezések, felszerelések, járművek </t>
  </si>
  <si>
    <t>08.</t>
  </si>
  <si>
    <t>2.1. Forgalomképtelen gépek, berendezések, felszerelések, járművek</t>
  </si>
  <si>
    <t>09.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</si>
  <si>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</si>
  <si>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</si>
  <si>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</si>
  <si>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 xml:space="preserve">3. Tenyészállatok 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</si>
  <si>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</si>
  <si>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</si>
  <si>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</si>
  <si>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</si>
  <si>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 xml:space="preserve">4. Beruházások, felújítások 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</si>
  <si>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</si>
  <si>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</si>
  <si>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</si>
  <si>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</si>
  <si>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 xml:space="preserve">5. Tárgyi eszközök értékhelyesbítése 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</si>
  <si>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</si>
  <si>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</si>
  <si>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</si>
  <si>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</si>
  <si>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</t>
  </si>
  <si>
    <t>28.</t>
  </si>
  <si>
    <t xml:space="preserve">1. Tartós részesedések </t>
  </si>
  <si>
    <t>29.</t>
  </si>
  <si>
    <t>1.1. Forgalomképtelen tartós részesedések</t>
  </si>
  <si>
    <t>30.</t>
  </si>
  <si>
    <t>1.2. Nemzetgazdasági szempontból kiemelt jelentőségű tartós részesedések</t>
  </si>
  <si>
    <t>31.</t>
  </si>
  <si>
    <t>1.3. Korlátozottan forgalomképes tartós részesedések</t>
  </si>
  <si>
    <t>32.</t>
  </si>
  <si>
    <t>1.4. Üzleti tartós részesedések</t>
  </si>
  <si>
    <t>33.</t>
  </si>
  <si>
    <t>2. Tartós hitelviszonyt megtestesítő értékpapírok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</si>
  <si>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</si>
  <si>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</si>
  <si>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</si>
  <si>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</si>
  <si>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</si>
  <si>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</si>
  <si>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</si>
  <si>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</si>
  <si>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</si>
  <si>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</si>
  <si>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</si>
  <si>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</si>
  <si>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</si>
  <si>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</si>
  <si>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</si>
  <si>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</si>
  <si>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</si>
  <si>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</si>
  <si>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</si>
  <si>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</si>
  <si>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</si>
  <si>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45.</t>
  </si>
  <si>
    <t>I. Készletek</t>
  </si>
  <si>
    <t>46.</t>
  </si>
  <si>
    <t>II. Értékpapírok</t>
  </si>
  <si>
    <t>47.</t>
  </si>
  <si>
    <t xml:space="preserve">B) NEMZETI VAGYONBA TARTOZÓ FORGÓESZKÖZÖK 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</si>
  <si>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</si>
  <si>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</si>
  <si>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</si>
  <si>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</si>
  <si>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</si>
  <si>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</si>
  <si>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</si>
  <si>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</si>
  <si>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</si>
  <si>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V. Idegen pénzeszközök</t>
  </si>
  <si>
    <t>53.</t>
  </si>
  <si>
    <t xml:space="preserve">C) PÉNZESZKÖZÖK </t>
  </si>
  <si>
    <t>54.</t>
  </si>
  <si>
    <t>I. Költségvetési évben esedékes követelések</t>
  </si>
  <si>
    <t>55.</t>
  </si>
  <si>
    <t>II. Költségvetési évet követően esedékes követelések</t>
  </si>
  <si>
    <t>56.</t>
  </si>
  <si>
    <t>III. Követelés jellegű sajátos elszámolások</t>
  </si>
  <si>
    <t>57.</t>
  </si>
  <si>
    <t xml:space="preserve">D) KÖVETELÉSEK </t>
  </si>
  <si>
    <t>58.</t>
  </si>
  <si>
    <t>I. December havi illetmények, munkabérek elszámolása</t>
  </si>
  <si>
    <t>59.</t>
  </si>
  <si>
    <t>II. Utalványok, bérletek és más hasonló, készpénz-helyettesítő fizetési 
     eszköznek nem minősülő eszközök elszámolásai</t>
  </si>
  <si>
    <t>60.</t>
  </si>
  <si>
    <t xml:space="preserve">E) EGYÉB SAJÁTOS ESZKÖZOLDALI ELSZÁMOLÁSOK </t>
  </si>
  <si>
    <t>61.</t>
  </si>
  <si>
    <t>F) AKTÍV IDŐBELI ELHATÁROLÁSOK</t>
  </si>
  <si>
    <t>62.</t>
  </si>
  <si>
    <t xml:space="preserve">ESZKÖZÖK ÖSSZESEN  </t>
  </si>
  <si>
    <t>63.</t>
  </si>
  <si>
    <t>állományi 
érték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</si>
  <si>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</si>
  <si>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</si>
  <si>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</si>
  <si>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</si>
  <si>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</si>
  <si>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</si>
  <si>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 xml:space="preserve">G) SAJÁT TŐKE </t>
  </si>
  <si>
    <t>I. Költségvetési évben esedékes kötelezettségek</t>
  </si>
  <si>
    <t>II. Költségvetési évet követően esedékes kötelezettségek</t>
  </si>
  <si>
    <t>III. Kötelezettség jellegű sajátos elszámolások</t>
  </si>
  <si>
    <t xml:space="preserve">H) KÖTELEZETTSÉGEK </t>
  </si>
  <si>
    <t>I)EGYÉB SAJÁTOS FORRÁSOLDALI ELSZÁMOLÁSOK</t>
  </si>
  <si>
    <t>J) PASSZÍV IDŐBELI ELHATÁROLÁSOK</t>
  </si>
  <si>
    <t xml:space="preserve">FORRÁSOK ÖSSZESEN  </t>
  </si>
  <si>
    <t>Mennyiség
(db)</t>
  </si>
  <si>
    <t>Értéke
(E Ft)</t>
  </si>
  <si>
    <t>„0”-ra leírt eszközök</t>
  </si>
  <si>
    <t>Használatban lévő kisértékű immateriális javak</t>
  </si>
  <si>
    <t>Használatban lévő kisértékű tárgyi eszközök</t>
  </si>
  <si>
    <t>Készletek</t>
  </si>
  <si>
    <t xml:space="preserve">01 számlacsoportban nyilvántartott befektetett eszközök </t>
  </si>
  <si>
    <t>Államháztartáson belüli vagyonkezelésbe adott eszközök</t>
  </si>
  <si>
    <t>Bérbe vett befektetett eszközök</t>
  </si>
  <si>
    <t>Letétbe, bizományba, üzemeltetésre átvett befektetett eszközök</t>
  </si>
  <si>
    <t> PPP konstrukcióban használt befektetett eszközök</t>
  </si>
  <si>
    <t xml:space="preserve"> 02 számlacsoportban nyilvántartott készletek </t>
  </si>
  <si>
    <t> Bérbe vett készletek</t>
  </si>
  <si>
    <t> Letétbe bizományba átvett készletek</t>
  </si>
  <si>
    <t> Intervenciós készletek</t>
  </si>
  <si>
    <t>Gyűjtemény, régészeti lelet*</t>
  </si>
  <si>
    <t>Közgyűjtemény</t>
  </si>
  <si>
    <t> Saját gyűjteményben nyilvántartott kulturális javak</t>
  </si>
  <si>
    <t> Régészeti lelet</t>
  </si>
  <si>
    <t> Egyéb érték nélkül nyilvántartott eszközök</t>
  </si>
  <si>
    <t xml:space="preserve">Összesen </t>
  </si>
  <si>
    <t>* Nvt. 1. § (2) bekezdés g) és h) pontja szerinti kulturális javak és régészeti eszközök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</si>
  <si>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</si>
  <si>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</si>
  <si>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</si>
  <si>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</si>
  <si>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>Martongazda Városfejlesztési és Üzemeltetési Nonprofit Kft</t>
  </si>
  <si>
    <t>MartonSport Nonprofit Kft</t>
  </si>
  <si>
    <t>Fejér Megyei Önk.Temetekzési Kft</t>
  </si>
  <si>
    <t>Közép-Duna Vidéke Hulladékgazd. Zrt.</t>
  </si>
  <si>
    <t>Ökovíz Kft</t>
  </si>
  <si>
    <t>Szent L. Völgye Nonprofit Kft</t>
  </si>
  <si>
    <t>Velencei-tavi Kistérségi Járóbeteg Szakellátó Kft</t>
  </si>
  <si>
    <t>Fejérvíz Zrt</t>
  </si>
  <si>
    <t xml:space="preserve">       ÖSSZESEN:</t>
  </si>
  <si>
    <t>Augusztus</t>
  </si>
  <si>
    <t>teljesített</t>
  </si>
  <si>
    <t>Városüzemeltetés ( VÜ )</t>
  </si>
  <si>
    <t>Települési hulladék gazdálkodás</t>
  </si>
  <si>
    <t>Út, járda karbantartás</t>
  </si>
  <si>
    <t>Helyi közösségi közlekedés</t>
  </si>
  <si>
    <t>Közvilágítás, karbantartás</t>
  </si>
  <si>
    <t>Zöldterület kezelés</t>
  </si>
  <si>
    <t>Városgazdálkodás</t>
  </si>
  <si>
    <t>Intézményüzemeltetés ( IÜ )</t>
  </si>
  <si>
    <t>Sportlétesítmények / sportpálya</t>
  </si>
  <si>
    <t>Gyermekorvosi rendelő/fogorvos</t>
  </si>
  <si>
    <t>Védőnői helyiségek</t>
  </si>
  <si>
    <t>Orvosi rendelő</t>
  </si>
  <si>
    <t>Beethoven Általános Iskola</t>
  </si>
  <si>
    <t>Művészeti Iskola</t>
  </si>
  <si>
    <t>Brunszvik Beethoven központ</t>
  </si>
  <si>
    <t>Óvoda Múzeum és Könyvtár</t>
  </si>
  <si>
    <t>Mindösszesen:</t>
  </si>
  <si>
    <t>15.sz. melléklet</t>
  </si>
  <si>
    <t>Martonvásár Város Önkormányzata - Pénzeszköz változás</t>
  </si>
  <si>
    <t>16.sz. melléklet</t>
  </si>
  <si>
    <t>17.sz. melléklet</t>
  </si>
  <si>
    <t>19.sz. melléklet</t>
  </si>
  <si>
    <t>Martonvásár Város Önkormányzatának mérlege</t>
  </si>
  <si>
    <t>20.sz. melléklet</t>
  </si>
  <si>
    <t>Martonvásár Város Önkormányzatának eredménykimutatása</t>
  </si>
  <si>
    <t>Martonvásár Város Önkormányzatának Vagyonkimutatása - eszközök</t>
  </si>
  <si>
    <t>Martonvásár Város Önkormányzatának Vagyonkimutatása - források</t>
  </si>
  <si>
    <t>Martonvásár Város Önkormányzatának Vagyonkimutatása - érték nélkül nyilvántartott eszközök</t>
  </si>
  <si>
    <t>11.sz. melléklet</t>
  </si>
  <si>
    <t>12.sz. melléklet</t>
  </si>
  <si>
    <t>13.sz. melléklet</t>
  </si>
  <si>
    <t>14.sz. melléklet</t>
  </si>
  <si>
    <t>18.a.sz. melléklet</t>
  </si>
  <si>
    <t>18.b.sz. melléklet</t>
  </si>
  <si>
    <t>18.c.sz. melléklet</t>
  </si>
  <si>
    <t xml:space="preserve">Mód. Előirányzat </t>
  </si>
  <si>
    <t>Járási Hivatal felirat</t>
  </si>
  <si>
    <t>Karácsonyi fényfüzér</t>
  </si>
  <si>
    <t>Szennyvíztisztító telep fejlesztés</t>
  </si>
  <si>
    <t>Emlékezés tere légvezeték kiváltása</t>
  </si>
  <si>
    <t>Salgó polc</t>
  </si>
  <si>
    <t>BBKP informatikai eszköz vásárlás</t>
  </si>
  <si>
    <t>Pénzkészlet 2015. január 1-jén                            ebből:</t>
  </si>
  <si>
    <t>Záró pénzkészlet 2015. december 31-én ebből:</t>
  </si>
  <si>
    <t>2015. évi állományi értékek</t>
  </si>
  <si>
    <t>Összesen 2014.év</t>
  </si>
  <si>
    <t>Összesen 2015. év</t>
  </si>
  <si>
    <t>Index %</t>
  </si>
  <si>
    <t xml:space="preserve">A) NEMZETI VAGYONBA TARTOZÓ BEFEKTETETT ESZKÖZÖK </t>
  </si>
  <si>
    <t>BBK Összesen</t>
  </si>
  <si>
    <t>Brunszvik Teréz Óvoda összesen</t>
  </si>
  <si>
    <t>Polgármesteri Hivatal összesen</t>
  </si>
  <si>
    <t>BBK összesen</t>
  </si>
  <si>
    <t>Támogatott szervezet neve</t>
  </si>
  <si>
    <t>Tárgyévi eredeti előirányzat</t>
  </si>
  <si>
    <t>Módosított  előirányzat</t>
  </si>
  <si>
    <t>Teljesített  előirányzat</t>
  </si>
  <si>
    <t>Golden Tiger's Kung Fu Club</t>
  </si>
  <si>
    <t>Szent László Lovas Egyesület</t>
  </si>
  <si>
    <t>Mv. Kézilabda Egyesület</t>
  </si>
  <si>
    <t>Mv. Olimpia Diák SE</t>
  </si>
  <si>
    <t>Martontenisz SE</t>
  </si>
  <si>
    <t>Mv. Sport Klub</t>
  </si>
  <si>
    <t>Civil szervezetek támogatása</t>
  </si>
  <si>
    <t>Mv. Kertbarát Egyesület</t>
  </si>
  <si>
    <t>Együtt-Értünk Alapítvány</t>
  </si>
  <si>
    <t>Mv. Kulturális Egyesület</t>
  </si>
  <si>
    <t>Mv.Gyermekekért Alapítvány</t>
  </si>
  <si>
    <t xml:space="preserve">Százszorszép Alapítvány </t>
  </si>
  <si>
    <t>Mv. Fúvószenei Alapítvány</t>
  </si>
  <si>
    <t>Mv. Tehetséggondozó alapítvány</t>
  </si>
  <si>
    <t>Martonvásárért Alapítvány</t>
  </si>
  <si>
    <t>Embertársainkért Alapítvány</t>
  </si>
  <si>
    <t>Rákóczi Szövetség támogatása</t>
  </si>
  <si>
    <t>Martonvásár Város Önkormányzatának kiadásai 2015. Működési és felhalmozási támogatások</t>
  </si>
  <si>
    <t>Martonvásár Város Önkormányzatának kiadásai 2015. Működési és felhalmozási támogatások részletezése</t>
  </si>
  <si>
    <t>Martonvásár Város Önkormányzata  2015. évi pénzmaradványa</t>
  </si>
  <si>
    <t>Martonvásár Város Önkormányzata  2015. évi pénzmaradvány felosztása</t>
  </si>
  <si>
    <t>Martonvásár Város Önkormányzata által adott 2015. évi közvetett támogatások</t>
  </si>
  <si>
    <t>Martonvásár Város 2015. évi költségvetése teljesítésének elfogadásáról és a pénzmaradvány jóváhagyásáról  szóló ..../2016. (.....) önkormányzati rendelet mellékletei</t>
  </si>
  <si>
    <t>A Martonvásár Város Önkormányzat tulajdonában álló gazdálkodó szervezetek működéséből származó kötelezettségek és részesedések alakulása 2015. évben</t>
  </si>
  <si>
    <t>Martongazda Nonprofit Kft 2015. évi elszámolása az átvett pénzeszközökről</t>
  </si>
  <si>
    <t>Formum Martini Polgárőr Egyesület</t>
  </si>
  <si>
    <t>Martonvásári Sakk Club</t>
  </si>
  <si>
    <t>Szent László Lovas Egyesület előző évi visszafizetés</t>
  </si>
  <si>
    <t>39M lövész Egyesület</t>
  </si>
  <si>
    <t>Borzsa Alapítvány</t>
  </si>
  <si>
    <t>Mezőkölpényi Református Egyház</t>
  </si>
  <si>
    <t>TKT támogatás</t>
  </si>
  <si>
    <t>Tordas támogatás (Etyek-Ercsi bicikli útvonal)</t>
  </si>
  <si>
    <t>Martongazda Kft támogatás</t>
  </si>
  <si>
    <t>Martongazda NKft. 2015 kiadások</t>
  </si>
  <si>
    <t>Szakfeladatok megnevezése</t>
  </si>
  <si>
    <t>üzemeltetésre átadott</t>
  </si>
  <si>
    <t>MVÖ üzemeltetésre átadott</t>
  </si>
  <si>
    <t>eltérés</t>
  </si>
  <si>
    <t>saját bevétel</t>
  </si>
  <si>
    <t>MVÖ szerződéssel átadott</t>
  </si>
  <si>
    <t>módosítás</t>
  </si>
  <si>
    <t>VÁROSFEJLESZTÉS (VÁF)</t>
  </si>
  <si>
    <t>Vagyonkezelés ( VAK )</t>
  </si>
  <si>
    <t>Polgármesteri Hivatal és épületei üzemeltetése</t>
  </si>
  <si>
    <t>Illeték bevételi száma egyenlege</t>
  </si>
  <si>
    <t>K916</t>
  </si>
  <si>
    <t>Pénzeszközök lekötött bankbetétként elhelyezése</t>
  </si>
  <si>
    <t>B817</t>
  </si>
  <si>
    <t>Lekötött bankbetét megszüntetése</t>
  </si>
  <si>
    <t>B814</t>
  </si>
  <si>
    <t>ÁH-n belüli megelőlegezések</t>
  </si>
  <si>
    <t>Lekötött bankbetét</t>
  </si>
  <si>
    <t>Martonvásár Város Önkormányzat támogatásainak részletezése</t>
  </si>
  <si>
    <t>Martonvásár Város Önkormányzat működési és felhalmozási bevételeinek részletezése</t>
  </si>
  <si>
    <t>Felhalmozásra átvett pe. ÁH-n kívülről</t>
  </si>
  <si>
    <t>IV.</t>
  </si>
  <si>
    <t>Előlegek és banki műveletek forgalma</t>
  </si>
  <si>
    <t>BEVÉTELEK MINDÖSSZESEN</t>
  </si>
  <si>
    <t>KIADÁSOK MINDÖSSZESEN</t>
  </si>
  <si>
    <t>Teljesítés 2015.12.31.</t>
  </si>
  <si>
    <t>Teljesítés 2015.12.31</t>
  </si>
  <si>
    <t>Laptop vásárlás KT.</t>
  </si>
  <si>
    <t>Számítógép vásárlás KT.</t>
  </si>
  <si>
    <t xml:space="preserve">Szobor </t>
  </si>
  <si>
    <t>Védőnők szg. beszerzés</t>
  </si>
  <si>
    <t>Malom, Járási Hivatal ép. beruházás</t>
  </si>
  <si>
    <t>Klíma berendezés vásárlás BBK</t>
  </si>
  <si>
    <t>Kötelezettséggel nem terhelt maradvány ált tart-ba</t>
  </si>
  <si>
    <t>TKT Segítő Szolgálat céltámogatása</t>
  </si>
  <si>
    <r>
      <t>Lekötött bankbetét megszüntetése</t>
    </r>
    <r>
      <rPr>
        <i/>
        <sz val="10"/>
        <rFont val="Times New Roman"/>
        <family val="1"/>
        <charset val="238"/>
      </rPr>
      <t xml:space="preserve"> (halmozott pénzforgalom)</t>
    </r>
  </si>
  <si>
    <r>
      <t xml:space="preserve">Lekötött bankbetét megszüntetése </t>
    </r>
    <r>
      <rPr>
        <i/>
        <sz val="10"/>
        <rFont val="Times New Roman"/>
        <family val="1"/>
        <charset val="238"/>
      </rPr>
      <t>(halmozott pénzforgalom)</t>
    </r>
  </si>
</sst>
</file>

<file path=xl/styles.xml><?xml version="1.0" encoding="utf-8"?>
<styleSheet xmlns="http://schemas.openxmlformats.org/spreadsheetml/2006/main">
  <numFmts count="10">
    <numFmt numFmtId="43" formatCode="_-* #,##0.00\ _F_t_-;\-* #,##0.00\ _F_t_-;_-* &quot;-&quot;??\ _F_t_-;_-@_-"/>
    <numFmt numFmtId="164" formatCode="0__"/>
    <numFmt numFmtId="165" formatCode="#,###"/>
    <numFmt numFmtId="166" formatCode="#,##0\ ;\-#,##0"/>
    <numFmt numFmtId="167" formatCode="_-* #,##0\ _F_t_-;\-* #,##0\ _F_t_-;_-* &quot;-&quot;??\ _F_t_-;_-@_-"/>
    <numFmt numFmtId="168" formatCode="#,##0_ ;\-#,##0\ "/>
    <numFmt numFmtId="169" formatCode="00"/>
    <numFmt numFmtId="170" formatCode="#,###__;\-#,###__"/>
    <numFmt numFmtId="171" formatCode="#,###\ _F_t;\-#,###\ _F_t"/>
    <numFmt numFmtId="172" formatCode="0.000%"/>
  </numFmts>
  <fonts count="9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 CE"/>
      <charset val="238"/>
    </font>
    <font>
      <b/>
      <sz val="11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i/>
      <sz val="9"/>
      <name val="Times New Roman CE"/>
      <charset val="238"/>
    </font>
    <font>
      <i/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charset val="238"/>
    </font>
    <font>
      <sz val="10"/>
      <color indexed="1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2"/>
      <color rgb="FF000000"/>
      <name val="Times new roman ce"/>
    </font>
    <font>
      <b/>
      <i/>
      <sz val="10"/>
      <color rgb="FF000000"/>
      <name val="Times new roman ce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MS Sans Serif"/>
      <family val="2"/>
      <charset val="238"/>
    </font>
    <font>
      <b/>
      <sz val="9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"/>
      <family val="1"/>
    </font>
    <font>
      <i/>
      <sz val="9"/>
      <name val="Times New Roman"/>
      <family val="1"/>
      <charset val="238"/>
    </font>
    <font>
      <b/>
      <i/>
      <sz val="4"/>
      <color indexed="8"/>
      <name val="Times New Roman"/>
      <family val="1"/>
      <charset val="238"/>
    </font>
    <font>
      <i/>
      <sz val="10"/>
      <name val="Calibri"/>
      <family val="2"/>
      <charset val="238"/>
    </font>
    <font>
      <sz val="11"/>
      <color theme="1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rgb="FFFFFFFF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gray125">
        <bgColor indexed="47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10">
    <xf numFmtId="0" fontId="0" fillId="0" borderId="0"/>
    <xf numFmtId="0" fontId="1" fillId="0" borderId="0"/>
    <xf numFmtId="0" fontId="11" fillId="0" borderId="0"/>
    <xf numFmtId="0" fontId="11" fillId="0" borderId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5" borderId="0" applyNumberFormat="0" applyBorder="0" applyAlignment="0" applyProtection="0"/>
    <xf numFmtId="0" fontId="47" fillId="8" borderId="0" applyNumberFormat="0" applyBorder="0" applyAlignment="0" applyProtection="0"/>
    <xf numFmtId="0" fontId="47" fillId="7" borderId="0" applyNumberFormat="0" applyBorder="0" applyAlignment="0" applyProtection="0"/>
    <xf numFmtId="0" fontId="47" fillId="9" borderId="0" applyNumberFormat="0" applyBorder="0" applyAlignment="0" applyProtection="0"/>
    <xf numFmtId="0" fontId="47" fillId="6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8" fillId="12" borderId="0" applyNumberFormat="0" applyBorder="0" applyAlignment="0" applyProtection="0"/>
    <xf numFmtId="0" fontId="48" fillId="6" borderId="0" applyNumberFormat="0" applyBorder="0" applyAlignment="0" applyProtection="0"/>
    <xf numFmtId="0" fontId="48" fillId="10" borderId="0" applyNumberFormat="0" applyBorder="0" applyAlignment="0" applyProtection="0"/>
    <xf numFmtId="0" fontId="48" fillId="9" borderId="0" applyNumberFormat="0" applyBorder="0" applyAlignment="0" applyProtection="0"/>
    <xf numFmtId="0" fontId="48" fillId="12" borderId="0" applyNumberFormat="0" applyBorder="0" applyAlignment="0" applyProtection="0"/>
    <xf numFmtId="0" fontId="48" fillId="6" borderId="0" applyNumberFormat="0" applyBorder="0" applyAlignment="0" applyProtection="0"/>
    <xf numFmtId="0" fontId="49" fillId="10" borderId="62" applyNumberFormat="0" applyAlignment="0" applyProtection="0"/>
    <xf numFmtId="0" fontId="50" fillId="0" borderId="0" applyNumberFormat="0" applyFill="0" applyBorder="0" applyAlignment="0" applyProtection="0"/>
    <xf numFmtId="0" fontId="51" fillId="0" borderId="63" applyNumberFormat="0" applyFill="0" applyAlignment="0" applyProtection="0"/>
    <xf numFmtId="0" fontId="52" fillId="0" borderId="64" applyNumberFormat="0" applyFill="0" applyAlignment="0" applyProtection="0"/>
    <xf numFmtId="0" fontId="53" fillId="0" borderId="65" applyNumberFormat="0" applyFill="0" applyAlignment="0" applyProtection="0"/>
    <xf numFmtId="0" fontId="53" fillId="0" borderId="0" applyNumberFormat="0" applyFill="0" applyBorder="0" applyAlignment="0" applyProtection="0"/>
    <xf numFmtId="0" fontId="54" fillId="13" borderId="66" applyNumberFormat="0" applyAlignment="0" applyProtection="0"/>
    <xf numFmtId="0" fontId="55" fillId="0" borderId="0" applyNumberFormat="0" applyFill="0" applyBorder="0" applyAlignment="0" applyProtection="0"/>
    <xf numFmtId="0" fontId="56" fillId="0" borderId="67" applyNumberFormat="0" applyFill="0" applyAlignment="0" applyProtection="0"/>
    <xf numFmtId="0" fontId="19" fillId="7" borderId="68" applyNumberFormat="0" applyFont="0" applyAlignment="0" applyProtection="0"/>
    <xf numFmtId="0" fontId="48" fillId="12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2" borderId="0" applyNumberFormat="0" applyBorder="0" applyAlignment="0" applyProtection="0"/>
    <xf numFmtId="0" fontId="48" fillId="17" borderId="0" applyNumberFormat="0" applyBorder="0" applyAlignment="0" applyProtection="0"/>
    <xf numFmtId="0" fontId="57" fillId="18" borderId="0" applyNumberFormat="0" applyBorder="0" applyAlignment="0" applyProtection="0"/>
    <xf numFmtId="0" fontId="58" fillId="19" borderId="69" applyNumberFormat="0" applyAlignment="0" applyProtection="0"/>
    <xf numFmtId="0" fontId="59" fillId="0" borderId="0" applyNumberFormat="0" applyFill="0" applyBorder="0" applyAlignment="0" applyProtection="0"/>
    <xf numFmtId="0" fontId="60" fillId="0" borderId="0"/>
    <xf numFmtId="0" fontId="47" fillId="0" borderId="0"/>
    <xf numFmtId="0" fontId="61" fillId="0" borderId="0"/>
    <xf numFmtId="0" fontId="19" fillId="0" borderId="0"/>
    <xf numFmtId="0" fontId="6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61" fillId="0" borderId="0"/>
    <xf numFmtId="0" fontId="62" fillId="0" borderId="70" applyNumberFormat="0" applyFill="0" applyAlignment="0" applyProtection="0"/>
    <xf numFmtId="0" fontId="63" fillId="20" borderId="0" applyNumberFormat="0" applyBorder="0" applyAlignment="0" applyProtection="0"/>
    <xf numFmtId="0" fontId="64" fillId="10" borderId="0" applyNumberFormat="0" applyBorder="0" applyAlignment="0" applyProtection="0"/>
    <xf numFmtId="0" fontId="65" fillId="19" borderId="62" applyNumberFormat="0" applyAlignment="0" applyProtection="0"/>
    <xf numFmtId="9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47" fillId="21" borderId="0" applyNumberFormat="0" applyBorder="0" applyAlignment="0" applyProtection="0"/>
    <xf numFmtId="0" fontId="47" fillId="20" borderId="0" applyNumberFormat="0" applyBorder="0" applyAlignment="0" applyProtection="0"/>
    <xf numFmtId="0" fontId="47" fillId="18" borderId="0" applyNumberFormat="0" applyBorder="0" applyAlignment="0" applyProtection="0"/>
    <xf numFmtId="0" fontId="47" fillId="22" borderId="0" applyNumberFormat="0" applyBorder="0" applyAlignment="0" applyProtection="0"/>
    <xf numFmtId="0" fontId="47" fillId="8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23" borderId="0" applyNumberFormat="0" applyBorder="0" applyAlignment="0" applyProtection="0"/>
    <xf numFmtId="0" fontId="47" fillId="22" borderId="0" applyNumberFormat="0" applyBorder="0" applyAlignment="0" applyProtection="0"/>
    <xf numFmtId="0" fontId="47" fillId="11" borderId="0" applyNumberFormat="0" applyBorder="0" applyAlignment="0" applyProtection="0"/>
    <xf numFmtId="0" fontId="47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6" borderId="0" applyNumberFormat="0" applyBorder="0" applyAlignment="0" applyProtection="0"/>
    <xf numFmtId="0" fontId="48" fillId="23" borderId="0" applyNumberFormat="0" applyBorder="0" applyAlignment="0" applyProtection="0"/>
    <xf numFmtId="0" fontId="48" fillId="26" borderId="0" applyNumberFormat="0" applyBorder="0" applyAlignment="0" applyProtection="0"/>
    <xf numFmtId="0" fontId="48" fillId="12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26" borderId="0" applyNumberFormat="0" applyBorder="0" applyAlignment="0" applyProtection="0"/>
    <xf numFmtId="0" fontId="48" fillId="12" borderId="0" applyNumberFormat="0" applyBorder="0" applyAlignment="0" applyProtection="0"/>
    <xf numFmtId="0" fontId="48" fillId="17" borderId="0" applyNumberFormat="0" applyBorder="0" applyAlignment="0" applyProtection="0"/>
    <xf numFmtId="0" fontId="63" fillId="20" borderId="0" applyNumberFormat="0" applyBorder="0" applyAlignment="0" applyProtection="0"/>
    <xf numFmtId="0" fontId="65" fillId="9" borderId="62" applyNumberFormat="0" applyAlignment="0" applyProtection="0"/>
    <xf numFmtId="0" fontId="54" fillId="13" borderId="66" applyNumberFormat="0" applyAlignment="0" applyProtection="0"/>
    <xf numFmtId="0" fontId="59" fillId="0" borderId="0" applyNumberFormat="0" applyFill="0" applyBorder="0" applyAlignment="0" applyProtection="0"/>
    <xf numFmtId="0" fontId="57" fillId="18" borderId="0" applyNumberFormat="0" applyBorder="0" applyAlignment="0" applyProtection="0"/>
    <xf numFmtId="0" fontId="66" fillId="0" borderId="71" applyNumberFormat="0" applyFill="0" applyAlignment="0" applyProtection="0"/>
    <xf numFmtId="0" fontId="67" fillId="0" borderId="64" applyNumberFormat="0" applyFill="0" applyAlignment="0" applyProtection="0"/>
    <xf numFmtId="0" fontId="68" fillId="0" borderId="72" applyNumberFormat="0" applyFill="0" applyAlignment="0" applyProtection="0"/>
    <xf numFmtId="0" fontId="68" fillId="0" borderId="0" applyNumberFormat="0" applyFill="0" applyBorder="0" applyAlignment="0" applyProtection="0"/>
    <xf numFmtId="0" fontId="49" fillId="5" borderId="62" applyNumberFormat="0" applyAlignment="0" applyProtection="0"/>
    <xf numFmtId="0" fontId="56" fillId="0" borderId="67" applyNumberFormat="0" applyFill="0" applyAlignment="0" applyProtection="0"/>
    <xf numFmtId="0" fontId="64" fillId="10" borderId="0" applyNumberFormat="0" applyBorder="0" applyAlignment="0" applyProtection="0"/>
    <xf numFmtId="0" fontId="61" fillId="7" borderId="68" applyNumberFormat="0" applyFont="0" applyAlignment="0" applyProtection="0"/>
    <xf numFmtId="0" fontId="58" fillId="9" borderId="69" applyNumberFormat="0" applyAlignment="0" applyProtection="0"/>
    <xf numFmtId="0" fontId="69" fillId="0" borderId="0" applyNumberFormat="0" applyFill="0" applyBorder="0" applyAlignment="0" applyProtection="0"/>
    <xf numFmtId="0" fontId="62" fillId="0" borderId="73" applyNumberFormat="0" applyFill="0" applyAlignment="0" applyProtection="0"/>
    <xf numFmtId="0" fontId="55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79" fillId="0" borderId="0"/>
    <xf numFmtId="0" fontId="19" fillId="0" borderId="0"/>
    <xf numFmtId="0" fontId="73" fillId="0" borderId="0"/>
    <xf numFmtId="9" fontId="6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453">
    <xf numFmtId="0" fontId="0" fillId="0" borderId="0" xfId="0"/>
    <xf numFmtId="0" fontId="0" fillId="0" borderId="0" xfId="0" applyBorder="1"/>
    <xf numFmtId="0" fontId="33" fillId="0" borderId="0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right" vertical="center"/>
    </xf>
    <xf numFmtId="0" fontId="7" fillId="0" borderId="1" xfId="1" applyFont="1" applyBorder="1"/>
    <xf numFmtId="0" fontId="4" fillId="0" borderId="1" xfId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right" vertical="center"/>
    </xf>
    <xf numFmtId="0" fontId="6" fillId="0" borderId="3" xfId="1" applyFont="1" applyFill="1" applyBorder="1" applyAlignment="1">
      <alignment horizontal="right" vertical="center"/>
    </xf>
    <xf numFmtId="164" fontId="6" fillId="0" borderId="6" xfId="1" applyNumberFormat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right" vertical="center"/>
    </xf>
    <xf numFmtId="0" fontId="4" fillId="0" borderId="7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right" vertical="center" wrapText="1"/>
    </xf>
    <xf numFmtId="0" fontId="34" fillId="0" borderId="0" xfId="0" applyFont="1" applyBorder="1" applyAlignment="1">
      <alignment horizontal="center" vertical="center" wrapText="1"/>
    </xf>
    <xf numFmtId="0" fontId="35" fillId="0" borderId="0" xfId="0" applyFont="1" applyBorder="1"/>
    <xf numFmtId="0" fontId="35" fillId="0" borderId="1" xfId="0" applyFont="1" applyBorder="1"/>
    <xf numFmtId="0" fontId="35" fillId="0" borderId="2" xfId="0" applyFont="1" applyBorder="1"/>
    <xf numFmtId="0" fontId="35" fillId="0" borderId="4" xfId="0" applyFont="1" applyBorder="1"/>
    <xf numFmtId="0" fontId="35" fillId="0" borderId="8" xfId="0" applyFont="1" applyBorder="1"/>
    <xf numFmtId="0" fontId="35" fillId="0" borderId="5" xfId="0" applyFont="1" applyBorder="1"/>
    <xf numFmtId="0" fontId="35" fillId="0" borderId="9" xfId="0" applyFont="1" applyBorder="1"/>
    <xf numFmtId="0" fontId="35" fillId="0" borderId="6" xfId="0" applyFont="1" applyBorder="1" applyAlignment="1">
      <alignment horizontal="left"/>
    </xf>
    <xf numFmtId="0" fontId="35" fillId="0" borderId="0" xfId="0" applyFont="1" applyBorder="1" applyAlignment="1">
      <alignment horizontal="right"/>
    </xf>
    <xf numFmtId="0" fontId="35" fillId="0" borderId="0" xfId="0" applyFont="1" applyBorder="1" applyAlignment="1">
      <alignment horizontal="left"/>
    </xf>
    <xf numFmtId="3" fontId="7" fillId="0" borderId="1" xfId="1" applyNumberFormat="1" applyFont="1" applyBorder="1"/>
    <xf numFmtId="3" fontId="35" fillId="0" borderId="1" xfId="0" applyNumberFormat="1" applyFont="1" applyBorder="1"/>
    <xf numFmtId="3" fontId="35" fillId="0" borderId="4" xfId="0" applyNumberFormat="1" applyFont="1" applyBorder="1"/>
    <xf numFmtId="3" fontId="35" fillId="0" borderId="8" xfId="0" applyNumberFormat="1" applyFont="1" applyBorder="1"/>
    <xf numFmtId="3" fontId="35" fillId="0" borderId="5" xfId="0" applyNumberFormat="1" applyFont="1" applyBorder="1"/>
    <xf numFmtId="49" fontId="35" fillId="0" borderId="0" xfId="0" applyNumberFormat="1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right" vertical="center"/>
    </xf>
    <xf numFmtId="164" fontId="8" fillId="0" borderId="8" xfId="1" applyNumberFormat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right" vertical="center"/>
    </xf>
    <xf numFmtId="0" fontId="9" fillId="0" borderId="8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 wrapText="1"/>
    </xf>
    <xf numFmtId="0" fontId="35" fillId="0" borderId="0" xfId="0" applyFont="1" applyBorder="1" applyAlignment="1">
      <alignment vertical="center"/>
    </xf>
    <xf numFmtId="0" fontId="36" fillId="0" borderId="3" xfId="0" applyFont="1" applyBorder="1" applyAlignment="1">
      <alignment horizontal="left"/>
    </xf>
    <xf numFmtId="0" fontId="36" fillId="0" borderId="0" xfId="0" applyFont="1" applyBorder="1"/>
    <xf numFmtId="0" fontId="8" fillId="0" borderId="3" xfId="1" applyFont="1" applyFill="1" applyBorder="1" applyAlignment="1">
      <alignment horizontal="right" vertical="center" wrapText="1"/>
    </xf>
    <xf numFmtId="0" fontId="8" fillId="0" borderId="8" xfId="1" applyFont="1" applyFill="1" applyBorder="1" applyAlignment="1">
      <alignment horizontal="left" vertical="center" wrapText="1"/>
    </xf>
    <xf numFmtId="0" fontId="34" fillId="0" borderId="2" xfId="0" applyFont="1" applyBorder="1"/>
    <xf numFmtId="0" fontId="34" fillId="0" borderId="0" xfId="0" applyFont="1" applyBorder="1"/>
    <xf numFmtId="0" fontId="34" fillId="0" borderId="1" xfId="0" applyFont="1" applyBorder="1"/>
    <xf numFmtId="0" fontId="34" fillId="0" borderId="5" xfId="0" applyFont="1" applyBorder="1"/>
    <xf numFmtId="0" fontId="33" fillId="0" borderId="0" xfId="0" applyFont="1" applyBorder="1"/>
    <xf numFmtId="0" fontId="4" fillId="0" borderId="10" xfId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left" vertical="center" wrapText="1"/>
    </xf>
    <xf numFmtId="0" fontId="35" fillId="0" borderId="11" xfId="0" applyFont="1" applyBorder="1"/>
    <xf numFmtId="0" fontId="4" fillId="0" borderId="12" xfId="1" applyFont="1" applyFill="1" applyBorder="1" applyAlignment="1">
      <alignment horizontal="right" vertical="center" wrapText="1"/>
    </xf>
    <xf numFmtId="0" fontId="34" fillId="0" borderId="13" xfId="0" applyFont="1" applyBorder="1"/>
    <xf numFmtId="3" fontId="36" fillId="0" borderId="1" xfId="0" applyNumberFormat="1" applyFont="1" applyBorder="1"/>
    <xf numFmtId="3" fontId="34" fillId="0" borderId="7" xfId="0" applyNumberFormat="1" applyFont="1" applyBorder="1"/>
    <xf numFmtId="3" fontId="34" fillId="0" borderId="5" xfId="0" applyNumberFormat="1" applyFont="1" applyBorder="1"/>
    <xf numFmtId="3" fontId="34" fillId="0" borderId="2" xfId="0" applyNumberFormat="1" applyFont="1" applyBorder="1"/>
    <xf numFmtId="3" fontId="9" fillId="0" borderId="1" xfId="0" applyNumberFormat="1" applyFont="1" applyFill="1" applyBorder="1" applyAlignment="1">
      <alignment vertical="center" wrapText="1"/>
    </xf>
    <xf numFmtId="3" fontId="36" fillId="0" borderId="8" xfId="0" applyNumberFormat="1" applyFont="1" applyBorder="1"/>
    <xf numFmtId="3" fontId="34" fillId="0" borderId="1" xfId="0" applyNumberFormat="1" applyFont="1" applyBorder="1"/>
    <xf numFmtId="3" fontId="36" fillId="0" borderId="2" xfId="0" applyNumberFormat="1" applyFont="1" applyBorder="1"/>
    <xf numFmtId="3" fontId="6" fillId="0" borderId="1" xfId="0" applyNumberFormat="1" applyFont="1" applyFill="1" applyBorder="1" applyAlignment="1">
      <alignment vertical="center"/>
    </xf>
    <xf numFmtId="0" fontId="6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3" fontId="35" fillId="0" borderId="0" xfId="0" applyNumberFormat="1" applyFont="1" applyBorder="1"/>
    <xf numFmtId="3" fontId="34" fillId="0" borderId="13" xfId="0" applyNumberFormat="1" applyFont="1" applyBorder="1"/>
    <xf numFmtId="0" fontId="4" fillId="0" borderId="3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1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 wrapText="1"/>
    </xf>
    <xf numFmtId="0" fontId="35" fillId="0" borderId="0" xfId="0" applyFont="1" applyBorder="1" applyAlignment="1"/>
    <xf numFmtId="0" fontId="6" fillId="0" borderId="0" xfId="0" applyFont="1" applyFill="1" applyAlignment="1"/>
    <xf numFmtId="0" fontId="7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left" vertical="center"/>
    </xf>
    <xf numFmtId="0" fontId="34" fillId="0" borderId="1" xfId="0" applyFont="1" applyBorder="1" applyAlignment="1">
      <alignment horizontal="right"/>
    </xf>
    <xf numFmtId="0" fontId="34" fillId="0" borderId="1" xfId="0" applyFont="1" applyBorder="1" applyAlignment="1"/>
    <xf numFmtId="0" fontId="0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vertical="center"/>
    </xf>
    <xf numFmtId="0" fontId="5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3" fontId="5" fillId="0" borderId="1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/>
    </xf>
    <xf numFmtId="0" fontId="34" fillId="0" borderId="1" xfId="0" applyFont="1" applyBorder="1" applyAlignment="1">
      <alignment horizontal="left"/>
    </xf>
    <xf numFmtId="49" fontId="14" fillId="0" borderId="0" xfId="2" applyNumberFormat="1" applyFont="1" applyFill="1" applyBorder="1" applyAlignment="1" applyProtection="1">
      <alignment horizontal="centerContinuous" vertical="center"/>
    </xf>
    <xf numFmtId="3" fontId="14" fillId="0" borderId="0" xfId="2" applyNumberFormat="1" applyFont="1" applyFill="1" applyBorder="1" applyAlignment="1" applyProtection="1">
      <alignment horizontal="centerContinuous" vertical="center"/>
    </xf>
    <xf numFmtId="3" fontId="13" fillId="0" borderId="1" xfId="2" applyNumberFormat="1" applyFont="1" applyFill="1" applyBorder="1" applyAlignment="1" applyProtection="1">
      <alignment horizontal="left" vertical="center" wrapText="1" indent="1"/>
    </xf>
    <xf numFmtId="3" fontId="13" fillId="0" borderId="1" xfId="2" applyNumberFormat="1" applyFont="1" applyFill="1" applyBorder="1" applyAlignment="1" applyProtection="1">
      <alignment horizontal="right" vertical="center" wrapText="1"/>
    </xf>
    <xf numFmtId="3" fontId="13" fillId="0" borderId="0" xfId="2" applyNumberFormat="1" applyFont="1" applyFill="1" applyBorder="1"/>
    <xf numFmtId="3" fontId="5" fillId="0" borderId="1" xfId="1" applyNumberFormat="1" applyFont="1" applyBorder="1"/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 indent="5"/>
    </xf>
    <xf numFmtId="3" fontId="9" fillId="0" borderId="1" xfId="0" applyNumberFormat="1" applyFont="1" applyFill="1" applyBorder="1" applyAlignment="1">
      <alignment vertical="center"/>
    </xf>
    <xf numFmtId="0" fontId="9" fillId="0" borderId="0" xfId="0" applyFont="1" applyFill="1"/>
    <xf numFmtId="0" fontId="9" fillId="0" borderId="1" xfId="0" applyFont="1" applyFill="1" applyBorder="1" applyAlignment="1">
      <alignment horizontal="right" vertical="center"/>
    </xf>
    <xf numFmtId="0" fontId="7" fillId="0" borderId="1" xfId="1" applyFont="1" applyBorder="1" applyAlignment="1">
      <alignment horizontal="right" vertical="center" wrapText="1"/>
    </xf>
    <xf numFmtId="0" fontId="9" fillId="0" borderId="1" xfId="1" applyFont="1" applyBorder="1" applyAlignment="1">
      <alignment horizontal="right" vertical="center" wrapText="1"/>
    </xf>
    <xf numFmtId="0" fontId="5" fillId="0" borderId="1" xfId="1" applyFont="1" applyBorder="1" applyAlignment="1">
      <alignment horizontal="right" vertical="center" wrapText="1"/>
    </xf>
    <xf numFmtId="165" fontId="0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horizontal="center" vertical="center" wrapText="1"/>
    </xf>
    <xf numFmtId="165" fontId="17" fillId="0" borderId="13" xfId="0" applyNumberFormat="1" applyFont="1" applyFill="1" applyBorder="1" applyAlignment="1">
      <alignment horizontal="center" vertical="center" wrapText="1"/>
    </xf>
    <xf numFmtId="165" fontId="16" fillId="0" borderId="13" xfId="0" applyNumberFormat="1" applyFont="1" applyFill="1" applyBorder="1" applyAlignment="1" applyProtection="1">
      <alignment vertical="center" wrapText="1"/>
      <protection locked="0"/>
    </xf>
    <xf numFmtId="3" fontId="0" fillId="0" borderId="1" xfId="0" applyNumberFormat="1" applyFont="1" applyFill="1" applyBorder="1" applyAlignment="1" applyProtection="1">
      <alignment vertical="center" wrapText="1"/>
      <protection locked="0"/>
    </xf>
    <xf numFmtId="3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2" xfId="0" applyNumberFormat="1" applyFill="1" applyBorder="1" applyAlignment="1" applyProtection="1">
      <alignment horizontal="left" vertical="center" wrapText="1" indent="1"/>
      <protection locked="0"/>
    </xf>
    <xf numFmtId="3" fontId="0" fillId="0" borderId="2" xfId="0" applyNumberFormat="1" applyFont="1" applyFill="1" applyBorder="1" applyAlignment="1" applyProtection="1">
      <alignment vertical="center" wrapText="1"/>
      <protection locked="0"/>
    </xf>
    <xf numFmtId="3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17" fillId="0" borderId="13" xfId="0" applyNumberFormat="1" applyFont="1" applyFill="1" applyBorder="1" applyAlignment="1" applyProtection="1">
      <alignment vertical="center" wrapText="1"/>
      <protection locked="0"/>
    </xf>
    <xf numFmtId="3" fontId="17" fillId="0" borderId="5" xfId="0" applyNumberFormat="1" applyFont="1" applyFill="1" applyBorder="1" applyAlignment="1" applyProtection="1">
      <alignment vertical="center" wrapText="1"/>
      <protection locked="0"/>
    </xf>
    <xf numFmtId="165" fontId="17" fillId="0" borderId="1" xfId="0" applyNumberFormat="1" applyFont="1" applyFill="1" applyBorder="1" applyAlignment="1" applyProtection="1">
      <alignment horizontal="left" vertical="center" wrapText="1"/>
      <protection locked="0"/>
    </xf>
    <xf numFmtId="3" fontId="17" fillId="0" borderId="1" xfId="0" applyNumberFormat="1" applyFont="1" applyFill="1" applyBorder="1" applyAlignment="1" applyProtection="1">
      <alignment vertical="center" wrapText="1"/>
      <protection locked="0"/>
    </xf>
    <xf numFmtId="165" fontId="17" fillId="0" borderId="13" xfId="0" applyNumberFormat="1" applyFont="1" applyFill="1" applyBorder="1" applyAlignment="1" applyProtection="1">
      <alignment horizontal="left" vertical="center" wrapText="1"/>
      <protection locked="0"/>
    </xf>
    <xf numFmtId="165" fontId="21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5" fontId="21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5" fontId="20" fillId="0" borderId="13" xfId="0" applyNumberFormat="1" applyFont="1" applyFill="1" applyBorder="1" applyAlignment="1" applyProtection="1">
      <alignment vertical="center" wrapText="1"/>
      <protection locked="0"/>
    </xf>
    <xf numFmtId="3" fontId="20" fillId="0" borderId="13" xfId="0" applyNumberFormat="1" applyFont="1" applyFill="1" applyBorder="1" applyAlignment="1" applyProtection="1">
      <alignment vertical="center" wrapText="1"/>
      <protection locked="0"/>
    </xf>
    <xf numFmtId="165" fontId="20" fillId="0" borderId="5" xfId="0" applyNumberFormat="1" applyFont="1" applyFill="1" applyBorder="1" applyAlignment="1" applyProtection="1">
      <alignment vertical="center" wrapText="1"/>
      <protection locked="0"/>
    </xf>
    <xf numFmtId="3" fontId="20" fillId="0" borderId="5" xfId="0" applyNumberFormat="1" applyFont="1" applyFill="1" applyBorder="1" applyAlignment="1" applyProtection="1">
      <alignment vertical="center" wrapText="1"/>
      <protection locked="0"/>
    </xf>
    <xf numFmtId="3" fontId="20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20" fillId="0" borderId="13" xfId="0" applyNumberFormat="1" applyFont="1" applyFill="1" applyBorder="1" applyAlignment="1" applyProtection="1">
      <alignment horizontal="right" vertical="center" wrapText="1"/>
      <protection locked="0"/>
    </xf>
    <xf numFmtId="165" fontId="20" fillId="0" borderId="12" xfId="0" applyNumberFormat="1" applyFont="1" applyFill="1" applyBorder="1" applyAlignment="1">
      <alignment horizontal="center" vertical="center" wrapText="1"/>
    </xf>
    <xf numFmtId="165" fontId="20" fillId="0" borderId="0" xfId="0" applyNumberFormat="1" applyFont="1" applyFill="1" applyAlignment="1">
      <alignment horizontal="center" vertical="center" wrapText="1"/>
    </xf>
    <xf numFmtId="165" fontId="0" fillId="0" borderId="31" xfId="0" applyNumberFormat="1" applyFont="1" applyFill="1" applyBorder="1" applyAlignment="1" applyProtection="1">
      <alignment horizontal="center" vertical="center" wrapText="1"/>
    </xf>
    <xf numFmtId="165" fontId="18" fillId="0" borderId="5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Font="1" applyFill="1" applyAlignment="1" applyProtection="1">
      <alignment vertical="center" wrapText="1"/>
    </xf>
    <xf numFmtId="165" fontId="0" fillId="0" borderId="18" xfId="0" applyNumberFormat="1" applyFont="1" applyFill="1" applyBorder="1" applyAlignment="1" applyProtection="1">
      <alignment horizontal="center" vertical="center" wrapText="1"/>
    </xf>
    <xf numFmtId="165" fontId="16" fillId="0" borderId="1" xfId="0" applyNumberFormat="1" applyFont="1" applyFill="1" applyBorder="1" applyAlignment="1" applyProtection="1">
      <alignment vertical="center" wrapText="1"/>
      <protection locked="0"/>
    </xf>
    <xf numFmtId="165" fontId="18" fillId="0" borderId="1" xfId="0" applyNumberFormat="1" applyFont="1" applyFill="1" applyBorder="1" applyAlignment="1" applyProtection="1">
      <alignment horizontal="center" vertical="center" wrapText="1"/>
    </xf>
    <xf numFmtId="165" fontId="21" fillId="0" borderId="1" xfId="0" applyNumberFormat="1" applyFont="1" applyFill="1" applyBorder="1" applyAlignment="1" applyProtection="1">
      <alignment vertical="center" wrapText="1"/>
      <protection locked="0"/>
    </xf>
    <xf numFmtId="14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1" xfId="0" applyNumberFormat="1" applyFont="1" applyFill="1" applyBorder="1" applyAlignment="1" applyProtection="1">
      <alignment vertical="center" wrapText="1"/>
      <protection locked="0"/>
    </xf>
    <xf numFmtId="165" fontId="22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5" fontId="0" fillId="0" borderId="23" xfId="0" applyNumberFormat="1" applyFont="1" applyFill="1" applyBorder="1" applyAlignment="1" applyProtection="1">
      <alignment horizontal="center" vertical="center" wrapText="1"/>
    </xf>
    <xf numFmtId="165" fontId="21" fillId="0" borderId="2" xfId="0" applyNumberFormat="1" applyFont="1" applyFill="1" applyBorder="1" applyAlignment="1" applyProtection="1">
      <alignment vertical="center" wrapText="1"/>
      <protection locked="0"/>
    </xf>
    <xf numFmtId="14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2" xfId="0" applyNumberFormat="1" applyFont="1" applyFill="1" applyBorder="1" applyAlignment="1" applyProtection="1">
      <alignment vertical="center" wrapText="1"/>
      <protection locked="0"/>
    </xf>
    <xf numFmtId="165" fontId="0" fillId="0" borderId="12" xfId="0" applyNumberFormat="1" applyFont="1" applyFill="1" applyBorder="1" applyAlignment="1" applyProtection="1">
      <alignment horizontal="center" vertical="center" wrapText="1"/>
    </xf>
    <xf numFmtId="165" fontId="17" fillId="0" borderId="13" xfId="0" applyNumberFormat="1" applyFont="1" applyFill="1" applyBorder="1" applyAlignment="1" applyProtection="1">
      <alignment vertical="center" wrapText="1"/>
      <protection locked="0"/>
    </xf>
    <xf numFmtId="14" fontId="17" fillId="0" borderId="13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165" fontId="17" fillId="0" borderId="5" xfId="0" applyNumberFormat="1" applyFont="1" applyFill="1" applyBorder="1" applyAlignment="1" applyProtection="1">
      <alignment vertical="center" wrapText="1"/>
      <protection locked="0"/>
    </xf>
    <xf numFmtId="14" fontId="17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4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Fill="1" applyBorder="1" applyAlignment="1" applyProtection="1">
      <alignment vertical="center" wrapText="1"/>
      <protection locked="0"/>
    </xf>
    <xf numFmtId="14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20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2" xfId="0" applyNumberFormat="1" applyFont="1" applyFill="1" applyBorder="1" applyAlignment="1" applyProtection="1">
      <alignment horizontal="left" vertical="center" wrapText="1" indent="1"/>
      <protection locked="0"/>
    </xf>
    <xf numFmtId="3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0" xfId="0" applyNumberFormat="1" applyFont="1" applyFill="1" applyAlignment="1">
      <alignment vertical="center" wrapText="1"/>
    </xf>
    <xf numFmtId="165" fontId="23" fillId="0" borderId="5" xfId="0" applyNumberFormat="1" applyFont="1" applyFill="1" applyBorder="1" applyAlignment="1" applyProtection="1">
      <alignment horizontal="left" vertical="center" wrapText="1" indent="1"/>
      <protection locked="0"/>
    </xf>
    <xf numFmtId="3" fontId="23" fillId="0" borderId="5" xfId="0" applyNumberFormat="1" applyFont="1" applyFill="1" applyBorder="1" applyAlignment="1" applyProtection="1">
      <alignment vertical="center" wrapText="1"/>
      <protection locked="0"/>
    </xf>
    <xf numFmtId="3" fontId="23" fillId="0" borderId="5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2" xfId="0" applyNumberFormat="1" applyFont="1" applyFill="1" applyBorder="1" applyAlignment="1" applyProtection="1">
      <alignment vertical="center" wrapText="1"/>
      <protection locked="0"/>
    </xf>
    <xf numFmtId="3" fontId="16" fillId="0" borderId="2" xfId="0" applyNumberFormat="1" applyFont="1" applyFill="1" applyBorder="1" applyAlignment="1" applyProtection="1">
      <alignment vertical="center" wrapText="1"/>
      <protection locked="0"/>
    </xf>
    <xf numFmtId="3" fontId="16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20" fillId="0" borderId="13" xfId="0" applyNumberFormat="1" applyFont="1" applyFill="1" applyBorder="1" applyAlignment="1">
      <alignment horizontal="left" vertical="center" wrapText="1"/>
    </xf>
    <xf numFmtId="3" fontId="20" fillId="0" borderId="13" xfId="0" applyNumberFormat="1" applyFont="1" applyFill="1" applyBorder="1" applyAlignment="1" applyProtection="1">
      <alignment vertical="center" wrapText="1"/>
    </xf>
    <xf numFmtId="49" fontId="0" fillId="0" borderId="0" xfId="0" applyNumberFormat="1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49" fontId="20" fillId="0" borderId="18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8" xfId="0" applyNumberFormat="1" applyFont="1" applyFill="1" applyBorder="1" applyAlignment="1">
      <alignment horizontal="center"/>
    </xf>
    <xf numFmtId="0" fontId="20" fillId="0" borderId="1" xfId="0" applyFont="1" applyFill="1" applyBorder="1"/>
    <xf numFmtId="0" fontId="20" fillId="0" borderId="19" xfId="0" applyFont="1" applyFill="1" applyBorder="1"/>
    <xf numFmtId="0" fontId="0" fillId="0" borderId="1" xfId="0" applyFont="1" applyFill="1" applyBorder="1"/>
    <xf numFmtId="0" fontId="0" fillId="0" borderId="19" xfId="0" applyFont="1" applyFill="1" applyBorder="1"/>
    <xf numFmtId="0" fontId="20" fillId="0" borderId="1" xfId="0" applyFont="1" applyFill="1" applyBorder="1" applyAlignment="1">
      <alignment horizontal="right"/>
    </xf>
    <xf numFmtId="0" fontId="20" fillId="0" borderId="2" xfId="0" applyFont="1" applyFill="1" applyBorder="1"/>
    <xf numFmtId="0" fontId="20" fillId="0" borderId="20" xfId="0" applyNumberFormat="1" applyFont="1" applyFill="1" applyBorder="1" applyAlignment="1">
      <alignment horizontal="center"/>
    </xf>
    <xf numFmtId="0" fontId="20" fillId="0" borderId="32" xfId="0" applyFont="1" applyFill="1" applyBorder="1"/>
    <xf numFmtId="0" fontId="20" fillId="0" borderId="21" xfId="0" applyFont="1" applyFill="1" applyBorder="1" applyAlignment="1">
      <alignment horizontal="right"/>
    </xf>
    <xf numFmtId="0" fontId="6" fillId="0" borderId="25" xfId="1" applyFont="1" applyFill="1" applyBorder="1" applyAlignment="1">
      <alignment horizontal="right" vertical="center"/>
    </xf>
    <xf numFmtId="0" fontId="35" fillId="0" borderId="25" xfId="0" applyFont="1" applyBorder="1" applyAlignment="1">
      <alignment horizontal="right"/>
    </xf>
    <xf numFmtId="0" fontId="6" fillId="0" borderId="35" xfId="1" applyFont="1" applyFill="1" applyBorder="1" applyAlignment="1">
      <alignment horizontal="right" vertical="center"/>
    </xf>
    <xf numFmtId="3" fontId="35" fillId="0" borderId="6" xfId="0" applyNumberFormat="1" applyFont="1" applyBorder="1"/>
    <xf numFmtId="3" fontId="35" fillId="0" borderId="36" xfId="0" applyNumberFormat="1" applyFont="1" applyBorder="1"/>
    <xf numFmtId="3" fontId="7" fillId="0" borderId="1" xfId="0" applyNumberFormat="1" applyFont="1" applyFill="1" applyBorder="1" applyAlignment="1" applyProtection="1">
      <alignment vertical="center" wrapText="1"/>
      <protection locked="0"/>
    </xf>
    <xf numFmtId="165" fontId="35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5" fillId="0" borderId="1" xfId="0" applyNumberFormat="1" applyFont="1" applyFill="1" applyBorder="1" applyAlignment="1" applyProtection="1">
      <alignment vertical="center" wrapText="1"/>
      <protection locked="0"/>
    </xf>
    <xf numFmtId="3" fontId="35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0" xfId="0" applyNumberFormat="1" applyFont="1" applyFill="1" applyBorder="1" applyAlignment="1" applyProtection="1">
      <alignment vertical="center" wrapText="1"/>
      <protection locked="0"/>
    </xf>
    <xf numFmtId="0" fontId="7" fillId="0" borderId="1" xfId="1" applyFont="1" applyFill="1" applyBorder="1" applyAlignment="1">
      <alignment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0" fontId="35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3" fontId="11" fillId="0" borderId="0" xfId="2" applyNumberFormat="1" applyFont="1" applyFill="1" applyBorder="1"/>
    <xf numFmtId="3" fontId="19" fillId="0" borderId="0" xfId="2" applyNumberFormat="1" applyFont="1" applyFill="1" applyBorder="1"/>
    <xf numFmtId="3" fontId="16" fillId="0" borderId="0" xfId="0" applyNumberFormat="1" applyFont="1" applyFill="1" applyBorder="1" applyAlignment="1" applyProtection="1">
      <alignment horizontal="right"/>
    </xf>
    <xf numFmtId="49" fontId="13" fillId="0" borderId="0" xfId="2" applyNumberFormat="1" applyFont="1" applyFill="1" applyBorder="1"/>
    <xf numFmtId="49" fontId="15" fillId="0" borderId="0" xfId="2" applyNumberFormat="1" applyFont="1" applyFill="1" applyBorder="1" applyAlignment="1" applyProtection="1">
      <alignment horizontal="left" vertical="center"/>
    </xf>
    <xf numFmtId="3" fontId="15" fillId="0" borderId="0" xfId="2" applyNumberFormat="1" applyFont="1" applyFill="1" applyBorder="1" applyAlignment="1" applyProtection="1">
      <alignment horizontal="left" vertical="center"/>
    </xf>
    <xf numFmtId="49" fontId="11" fillId="0" borderId="0" xfId="2" applyNumberFormat="1" applyFont="1" applyFill="1" applyBorder="1"/>
    <xf numFmtId="0" fontId="5" fillId="0" borderId="1" xfId="1" applyFont="1" applyFill="1" applyBorder="1" applyAlignment="1">
      <alignment horizontal="left" vertical="center" wrapText="1"/>
    </xf>
    <xf numFmtId="3" fontId="7" fillId="0" borderId="1" xfId="0" applyNumberFormat="1" applyFont="1" applyFill="1" applyBorder="1"/>
    <xf numFmtId="3" fontId="7" fillId="0" borderId="0" xfId="0" applyNumberFormat="1" applyFont="1" applyFill="1" applyBorder="1"/>
    <xf numFmtId="0" fontId="37" fillId="0" borderId="0" xfId="0" applyFont="1" applyBorder="1" applyAlignment="1"/>
    <xf numFmtId="0" fontId="35" fillId="0" borderId="6" xfId="0" applyFont="1" applyBorder="1" applyAlignment="1"/>
    <xf numFmtId="0" fontId="5" fillId="0" borderId="3" xfId="0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vertical="center"/>
    </xf>
    <xf numFmtId="3" fontId="18" fillId="0" borderId="0" xfId="2" applyNumberFormat="1" applyFont="1" applyFill="1" applyBorder="1"/>
    <xf numFmtId="3" fontId="14" fillId="0" borderId="0" xfId="2" applyNumberFormat="1" applyFont="1" applyFill="1" applyBorder="1"/>
    <xf numFmtId="3" fontId="20" fillId="0" borderId="0" xfId="2" applyNumberFormat="1" applyFont="1" applyFill="1" applyBorder="1"/>
    <xf numFmtId="0" fontId="9" fillId="0" borderId="1" xfId="0" applyFont="1" applyFill="1" applyBorder="1" applyAlignment="1">
      <alignment horizontal="left" vertical="center" wrapText="1" indent="3"/>
    </xf>
    <xf numFmtId="3" fontId="5" fillId="0" borderId="1" xfId="1" applyNumberFormat="1" applyFont="1" applyBorder="1" applyAlignment="1">
      <alignment horizontal="right" vertical="center" wrapText="1"/>
    </xf>
    <xf numFmtId="3" fontId="5" fillId="0" borderId="1" xfId="0" applyNumberFormat="1" applyFont="1" applyFill="1" applyBorder="1"/>
    <xf numFmtId="3" fontId="7" fillId="0" borderId="1" xfId="1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right" vertical="center" wrapText="1"/>
    </xf>
    <xf numFmtId="3" fontId="5" fillId="0" borderId="1" xfId="0" applyNumberFormat="1" applyFont="1" applyFill="1" applyBorder="1" applyAlignment="1" applyProtection="1">
      <alignment vertical="center" wrapText="1"/>
      <protection locked="0"/>
    </xf>
    <xf numFmtId="3" fontId="0" fillId="0" borderId="0" xfId="0" applyNumberFormat="1"/>
    <xf numFmtId="165" fontId="35" fillId="0" borderId="0" xfId="0" applyNumberFormat="1" applyFont="1" applyFill="1" applyAlignment="1">
      <alignment vertical="center" wrapText="1"/>
    </xf>
    <xf numFmtId="165" fontId="35" fillId="0" borderId="0" xfId="0" applyNumberFormat="1" applyFont="1" applyFill="1" applyAlignment="1">
      <alignment horizontal="center" vertical="center" wrapText="1"/>
    </xf>
    <xf numFmtId="165" fontId="35" fillId="0" borderId="0" xfId="0" applyNumberFormat="1" applyFont="1" applyFill="1" applyAlignment="1">
      <alignment horizontal="right" vertical="center" wrapText="1"/>
    </xf>
    <xf numFmtId="165" fontId="5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right"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165" fontId="34" fillId="0" borderId="0" xfId="0" applyNumberFormat="1" applyFont="1" applyFill="1" applyAlignment="1">
      <alignment vertical="center" wrapText="1"/>
    </xf>
    <xf numFmtId="3" fontId="35" fillId="0" borderId="0" xfId="0" applyNumberFormat="1" applyFont="1" applyFill="1" applyAlignment="1">
      <alignment vertical="center" wrapText="1"/>
    </xf>
    <xf numFmtId="3" fontId="35" fillId="0" borderId="0" xfId="0" applyNumberFormat="1" applyFont="1" applyFill="1" applyAlignment="1">
      <alignment horizontal="right" vertical="center" wrapText="1"/>
    </xf>
    <xf numFmtId="0" fontId="38" fillId="0" borderId="0" xfId="0" applyFont="1"/>
    <xf numFmtId="0" fontId="0" fillId="0" borderId="0" xfId="0" applyAlignment="1">
      <alignment wrapText="1"/>
    </xf>
    <xf numFmtId="0" fontId="38" fillId="0" borderId="6" xfId="0" applyFont="1" applyBorder="1" applyAlignment="1">
      <alignment horizontal="right"/>
    </xf>
    <xf numFmtId="0" fontId="38" fillId="0" borderId="6" xfId="0" applyFont="1" applyBorder="1" applyAlignment="1">
      <alignment horizontal="left"/>
    </xf>
    <xf numFmtId="0" fontId="38" fillId="0" borderId="6" xfId="0" applyFont="1" applyBorder="1"/>
    <xf numFmtId="0" fontId="40" fillId="0" borderId="0" xfId="0" applyFont="1" applyAlignment="1">
      <alignment horizontal="center" vertical="center" wrapText="1"/>
    </xf>
    <xf numFmtId="0" fontId="41" fillId="0" borderId="1" xfId="0" applyFont="1" applyBorder="1" applyAlignment="1">
      <alignment horizontal="right" vertical="center"/>
    </xf>
    <xf numFmtId="0" fontId="41" fillId="0" borderId="1" xfId="0" applyFont="1" applyBorder="1"/>
    <xf numFmtId="0" fontId="42" fillId="0" borderId="1" xfId="0" applyFont="1" applyBorder="1"/>
    <xf numFmtId="0" fontId="39" fillId="0" borderId="1" xfId="0" applyFont="1" applyBorder="1" applyAlignment="1">
      <alignment horizontal="right" vertical="center"/>
    </xf>
    <xf numFmtId="0" fontId="39" fillId="0" borderId="1" xfId="0" applyFont="1" applyBorder="1"/>
    <xf numFmtId="0" fontId="40" fillId="0" borderId="0" xfId="0" applyFont="1"/>
    <xf numFmtId="0" fontId="39" fillId="0" borderId="3" xfId="0" applyFont="1" applyBorder="1" applyAlignment="1">
      <alignment horizontal="right" vertical="center"/>
    </xf>
    <xf numFmtId="0" fontId="41" fillId="0" borderId="4" xfId="0" applyFont="1" applyBorder="1" applyAlignment="1">
      <alignment horizontal="left" vertical="center" wrapText="1"/>
    </xf>
    <xf numFmtId="0" fontId="41" fillId="0" borderId="4" xfId="0" applyFont="1" applyBorder="1"/>
    <xf numFmtId="0" fontId="41" fillId="0" borderId="8" xfId="0" applyFont="1" applyBorder="1"/>
    <xf numFmtId="0" fontId="41" fillId="0" borderId="3" xfId="0" applyFont="1" applyBorder="1"/>
    <xf numFmtId="0" fontId="43" fillId="0" borderId="1" xfId="0" applyFont="1" applyBorder="1" applyAlignment="1">
      <alignment horizontal="right" vertical="center"/>
    </xf>
    <xf numFmtId="0" fontId="43" fillId="0" borderId="3" xfId="0" applyFont="1" applyBorder="1" applyAlignment="1">
      <alignment horizontal="left"/>
    </xf>
    <xf numFmtId="1" fontId="43" fillId="0" borderId="8" xfId="0" applyNumberFormat="1" applyFont="1" applyBorder="1" applyAlignment="1">
      <alignment horizontal="left" vertical="center" wrapText="1"/>
    </xf>
    <xf numFmtId="0" fontId="43" fillId="0" borderId="11" xfId="0" applyFont="1" applyBorder="1" applyAlignment="1">
      <alignment horizontal="right" vertical="center"/>
    </xf>
    <xf numFmtId="0" fontId="43" fillId="0" borderId="11" xfId="0" applyFont="1" applyBorder="1" applyAlignment="1">
      <alignment horizontal="left"/>
    </xf>
    <xf numFmtId="1" fontId="43" fillId="0" borderId="11" xfId="0" applyNumberFormat="1" applyFont="1" applyBorder="1" applyAlignment="1">
      <alignment horizontal="left" vertical="center" wrapText="1"/>
    </xf>
    <xf numFmtId="0" fontId="41" fillId="0" borderId="11" xfId="0" applyFont="1" applyBorder="1"/>
    <xf numFmtId="0" fontId="41" fillId="0" borderId="6" xfId="0" applyFont="1" applyBorder="1" applyAlignment="1">
      <alignment horizontal="right" vertical="center"/>
    </xf>
    <xf numFmtId="0" fontId="41" fillId="0" borderId="6" xfId="0" applyFont="1" applyBorder="1" applyAlignment="1">
      <alignment horizontal="left"/>
    </xf>
    <xf numFmtId="1" fontId="41" fillId="0" borderId="6" xfId="0" applyNumberFormat="1" applyFont="1" applyBorder="1" applyAlignment="1">
      <alignment horizontal="left" vertical="center" wrapText="1"/>
    </xf>
    <xf numFmtId="0" fontId="41" fillId="0" borderId="6" xfId="0" applyFont="1" applyBorder="1"/>
    <xf numFmtId="0" fontId="43" fillId="0" borderId="1" xfId="0" applyFont="1" applyBorder="1" applyAlignment="1">
      <alignment horizontal="right" vertical="center" wrapText="1"/>
    </xf>
    <xf numFmtId="0" fontId="43" fillId="0" borderId="8" xfId="0" applyFont="1" applyBorder="1" applyAlignment="1">
      <alignment horizontal="left" vertical="center" wrapText="1"/>
    </xf>
    <xf numFmtId="0" fontId="39" fillId="0" borderId="11" xfId="0" applyFont="1" applyBorder="1" applyAlignment="1">
      <alignment horizontal="right" vertical="center"/>
    </xf>
    <xf numFmtId="0" fontId="39" fillId="0" borderId="11" xfId="0" applyFont="1" applyBorder="1" applyAlignment="1">
      <alignment horizontal="left" vertical="center" wrapText="1"/>
    </xf>
    <xf numFmtId="0" fontId="39" fillId="0" borderId="11" xfId="0" applyFont="1" applyBorder="1"/>
    <xf numFmtId="0" fontId="39" fillId="0" borderId="6" xfId="0" applyFont="1" applyBorder="1" applyAlignment="1">
      <alignment horizontal="right" vertical="center"/>
    </xf>
    <xf numFmtId="0" fontId="41" fillId="0" borderId="6" xfId="0" applyFont="1" applyBorder="1" applyAlignment="1">
      <alignment horizontal="left" vertical="center" wrapText="1"/>
    </xf>
    <xf numFmtId="0" fontId="39" fillId="0" borderId="4" xfId="0" applyFont="1" applyBorder="1" applyAlignment="1">
      <alignment horizontal="left" vertical="center" wrapText="1"/>
    </xf>
    <xf numFmtId="0" fontId="39" fillId="0" borderId="32" xfId="0" applyFont="1" applyBorder="1" applyAlignment="1">
      <alignment horizontal="right" vertical="center"/>
    </xf>
    <xf numFmtId="0" fontId="39" fillId="0" borderId="38" xfId="0" applyFont="1" applyBorder="1" applyAlignment="1">
      <alignment horizontal="left" vertical="center" wrapText="1"/>
    </xf>
    <xf numFmtId="0" fontId="41" fillId="0" borderId="38" xfId="0" applyFont="1" applyBorder="1"/>
    <xf numFmtId="0" fontId="41" fillId="0" borderId="39" xfId="0" applyFont="1" applyBorder="1"/>
    <xf numFmtId="0" fontId="41" fillId="0" borderId="32" xfId="0" applyFont="1" applyBorder="1"/>
    <xf numFmtId="0" fontId="39" fillId="0" borderId="12" xfId="0" applyFont="1" applyBorder="1" applyAlignment="1">
      <alignment horizontal="right" vertical="center" wrapText="1"/>
    </xf>
    <xf numFmtId="0" fontId="39" fillId="0" borderId="13" xfId="0" applyFont="1" applyBorder="1"/>
    <xf numFmtId="0" fontId="41" fillId="0" borderId="0" xfId="0" applyFont="1" applyAlignment="1">
      <alignment horizontal="right"/>
    </xf>
    <xf numFmtId="0" fontId="41" fillId="0" borderId="0" xfId="0" applyFont="1" applyAlignment="1">
      <alignment horizontal="left"/>
    </xf>
    <xf numFmtId="0" fontId="41" fillId="0" borderId="0" xfId="0" applyFont="1"/>
    <xf numFmtId="3" fontId="44" fillId="0" borderId="37" xfId="0" applyNumberFormat="1" applyFont="1" applyBorder="1" applyAlignment="1">
      <alignment horizontal="center"/>
    </xf>
    <xf numFmtId="3" fontId="45" fillId="0" borderId="37" xfId="0" applyNumberFormat="1" applyFont="1" applyBorder="1" applyAlignment="1">
      <alignment horizontal="right"/>
    </xf>
    <xf numFmtId="0" fontId="39" fillId="0" borderId="34" xfId="0" applyFont="1" applyBorder="1" applyAlignment="1">
      <alignment horizontal="center" vertical="center"/>
    </xf>
    <xf numFmtId="0" fontId="38" fillId="0" borderId="25" xfId="0" applyFont="1" applyBorder="1"/>
    <xf numFmtId="0" fontId="39" fillId="0" borderId="40" xfId="0" applyFont="1" applyBorder="1" applyAlignment="1">
      <alignment horizontal="left" vertical="center"/>
    </xf>
    <xf numFmtId="3" fontId="39" fillId="4" borderId="40" xfId="0" applyNumberFormat="1" applyFont="1" applyFill="1" applyBorder="1" applyAlignment="1">
      <alignment horizontal="center" vertical="center" wrapText="1"/>
    </xf>
    <xf numFmtId="0" fontId="39" fillId="0" borderId="34" xfId="0" applyFont="1" applyBorder="1" applyAlignment="1">
      <alignment horizontal="left" vertical="center"/>
    </xf>
    <xf numFmtId="0" fontId="41" fillId="0" borderId="41" xfId="0" applyFont="1" applyBorder="1"/>
    <xf numFmtId="3" fontId="41" fillId="0" borderId="41" xfId="0" applyNumberFormat="1" applyFont="1" applyBorder="1"/>
    <xf numFmtId="9" fontId="41" fillId="0" borderId="41" xfId="0" applyNumberFormat="1" applyFont="1" applyBorder="1"/>
    <xf numFmtId="0" fontId="41" fillId="0" borderId="40" xfId="0" applyFont="1" applyBorder="1"/>
    <xf numFmtId="0" fontId="39" fillId="0" borderId="41" xfId="0" applyFont="1" applyBorder="1" applyAlignment="1">
      <alignment horizontal="left" vertical="center"/>
    </xf>
    <xf numFmtId="3" fontId="39" fillId="4" borderId="41" xfId="0" applyNumberFormat="1" applyFont="1" applyFill="1" applyBorder="1" applyAlignment="1">
      <alignment horizontal="center" vertical="center" wrapText="1"/>
    </xf>
    <xf numFmtId="0" fontId="39" fillId="0" borderId="41" xfId="0" applyFont="1" applyBorder="1"/>
    <xf numFmtId="0" fontId="41" fillId="4" borderId="33" xfId="0" applyFont="1" applyFill="1" applyBorder="1"/>
    <xf numFmtId="3" fontId="41" fillId="4" borderId="33" xfId="0" applyNumberFormat="1" applyFont="1" applyFill="1" applyBorder="1"/>
    <xf numFmtId="3" fontId="41" fillId="0" borderId="33" xfId="0" applyNumberFormat="1" applyFont="1" applyBorder="1"/>
    <xf numFmtId="0" fontId="41" fillId="4" borderId="0" xfId="0" applyFont="1" applyFill="1"/>
    <xf numFmtId="0" fontId="39" fillId="0" borderId="34" xfId="0" applyFont="1" applyBorder="1" applyAlignment="1">
      <alignment vertical="center"/>
    </xf>
    <xf numFmtId="3" fontId="39" fillId="0" borderId="34" xfId="0" applyNumberFormat="1" applyFont="1" applyBorder="1" applyAlignment="1">
      <alignment vertical="center"/>
    </xf>
    <xf numFmtId="0" fontId="41" fillId="0" borderId="0" xfId="0" applyFont="1" applyAlignment="1">
      <alignment vertical="center"/>
    </xf>
    <xf numFmtId="3" fontId="39" fillId="0" borderId="42" xfId="0" applyNumberFormat="1" applyFont="1" applyBorder="1"/>
    <xf numFmtId="9" fontId="41" fillId="0" borderId="42" xfId="0" applyNumberFormat="1" applyFont="1" applyBorder="1"/>
    <xf numFmtId="0" fontId="41" fillId="0" borderId="42" xfId="0" applyFont="1" applyBorder="1"/>
    <xf numFmtId="0" fontId="38" fillId="0" borderId="37" xfId="0" applyFont="1" applyBorder="1"/>
    <xf numFmtId="0" fontId="41" fillId="0" borderId="37" xfId="0" applyFont="1" applyBorder="1"/>
    <xf numFmtId="9" fontId="41" fillId="0" borderId="37" xfId="0" applyNumberFormat="1" applyFont="1" applyBorder="1"/>
    <xf numFmtId="0" fontId="39" fillId="0" borderId="40" xfId="0" applyFont="1" applyBorder="1" applyAlignment="1">
      <alignment horizontal="center" vertical="center"/>
    </xf>
    <xf numFmtId="166" fontId="39" fillId="4" borderId="41" xfId="0" applyNumberFormat="1" applyFont="1" applyFill="1" applyBorder="1" applyAlignment="1">
      <alignment horizontal="center" vertical="center" wrapText="1"/>
    </xf>
    <xf numFmtId="166" fontId="41" fillId="0" borderId="41" xfId="0" applyNumberFormat="1" applyFont="1" applyBorder="1"/>
    <xf numFmtId="166" fontId="41" fillId="0" borderId="0" xfId="0" applyNumberFormat="1" applyFont="1"/>
    <xf numFmtId="3" fontId="39" fillId="0" borderId="41" xfId="0" applyNumberFormat="1" applyFont="1" applyBorder="1" applyAlignment="1">
      <alignment horizontal="center"/>
    </xf>
    <xf numFmtId="166" fontId="41" fillId="0" borderId="41" xfId="0" applyNumberFormat="1" applyFont="1" applyBorder="1" applyAlignment="1">
      <alignment horizontal="right"/>
    </xf>
    <xf numFmtId="166" fontId="39" fillId="0" borderId="41" xfId="0" applyNumberFormat="1" applyFont="1" applyBorder="1" applyAlignment="1">
      <alignment horizontal="center"/>
    </xf>
    <xf numFmtId="0" fontId="39" fillId="0" borderId="41" xfId="0" applyFont="1" applyBorder="1" applyAlignment="1">
      <alignment vertical="center"/>
    </xf>
    <xf numFmtId="3" fontId="39" fillId="0" borderId="41" xfId="0" applyNumberFormat="1" applyFont="1" applyBorder="1" applyAlignment="1">
      <alignment vertical="center"/>
    </xf>
    <xf numFmtId="166" fontId="39" fillId="0" borderId="41" xfId="0" applyNumberFormat="1" applyFont="1" applyBorder="1" applyAlignment="1">
      <alignment vertical="center"/>
    </xf>
    <xf numFmtId="3" fontId="39" fillId="4" borderId="33" xfId="0" applyNumberFormat="1" applyFont="1" applyFill="1" applyBorder="1" applyAlignment="1">
      <alignment horizontal="center" vertical="center"/>
    </xf>
    <xf numFmtId="3" fontId="39" fillId="4" borderId="33" xfId="0" applyNumberFormat="1" applyFont="1" applyFill="1" applyBorder="1" applyAlignment="1">
      <alignment vertical="center"/>
    </xf>
    <xf numFmtId="166" fontId="39" fillId="4" borderId="33" xfId="0" applyNumberFormat="1" applyFont="1" applyFill="1" applyBorder="1" applyAlignment="1">
      <alignment vertical="center"/>
    </xf>
    <xf numFmtId="0" fontId="38" fillId="0" borderId="42" xfId="0" applyFont="1" applyBorder="1"/>
    <xf numFmtId="3" fontId="41" fillId="0" borderId="42" xfId="0" applyNumberFormat="1" applyFont="1" applyBorder="1"/>
    <xf numFmtId="3" fontId="41" fillId="0" borderId="0" xfId="0" applyNumberFormat="1" applyFont="1"/>
    <xf numFmtId="0" fontId="41" fillId="0" borderId="1" xfId="0" applyFont="1" applyBorder="1"/>
    <xf numFmtId="0" fontId="39" fillId="0" borderId="1" xfId="0" applyFont="1" applyBorder="1" applyAlignment="1">
      <alignment horizontal="right" vertical="center"/>
    </xf>
    <xf numFmtId="0" fontId="39" fillId="0" borderId="1" xfId="0" applyFont="1" applyBorder="1"/>
    <xf numFmtId="0" fontId="33" fillId="0" borderId="0" xfId="0" applyFont="1" applyAlignment="1">
      <alignment wrapText="1"/>
    </xf>
    <xf numFmtId="0" fontId="40" fillId="0" borderId="0" xfId="0" applyFont="1"/>
    <xf numFmtId="0" fontId="41" fillId="0" borderId="41" xfId="0" applyFont="1" applyBorder="1"/>
    <xf numFmtId="0" fontId="43" fillId="0" borderId="41" xfId="0" applyFont="1" applyBorder="1"/>
    <xf numFmtId="3" fontId="43" fillId="0" borderId="41" xfId="0" applyNumberFormat="1" applyFont="1" applyBorder="1"/>
    <xf numFmtId="3" fontId="41" fillId="0" borderId="41" xfId="0" applyNumberFormat="1" applyFont="1" applyBorder="1"/>
    <xf numFmtId="3" fontId="41" fillId="0" borderId="28" xfId="0" applyNumberFormat="1" applyFont="1" applyBorder="1"/>
    <xf numFmtId="0" fontId="39" fillId="0" borderId="41" xfId="0" applyFont="1" applyBorder="1" applyAlignment="1">
      <alignment horizontal="left" vertical="center"/>
    </xf>
    <xf numFmtId="3" fontId="39" fillId="0" borderId="28" xfId="0" applyNumberFormat="1" applyFont="1" applyBorder="1" applyAlignment="1">
      <alignment horizontal="center"/>
    </xf>
    <xf numFmtId="3" fontId="34" fillId="0" borderId="0" xfId="0" applyNumberFormat="1" applyFont="1" applyBorder="1"/>
    <xf numFmtId="3" fontId="7" fillId="0" borderId="5" xfId="1" applyNumberFormat="1" applyFont="1" applyBorder="1"/>
    <xf numFmtId="0" fontId="4" fillId="0" borderId="11" xfId="1" applyFont="1" applyFill="1" applyBorder="1" applyAlignment="1">
      <alignment horizontal="right" vertical="center"/>
    </xf>
    <xf numFmtId="0" fontId="6" fillId="0" borderId="11" xfId="1" applyFont="1" applyFill="1" applyBorder="1" applyAlignment="1">
      <alignment horizontal="left" vertical="center" wrapText="1"/>
    </xf>
    <xf numFmtId="3" fontId="7" fillId="0" borderId="11" xfId="1" applyNumberFormat="1" applyFont="1" applyBorder="1"/>
    <xf numFmtId="3" fontId="35" fillId="0" borderId="11" xfId="0" applyNumberFormat="1" applyFont="1" applyBorder="1"/>
    <xf numFmtId="3" fontId="36" fillId="0" borderId="11" xfId="0" applyNumberFormat="1" applyFont="1" applyBorder="1"/>
    <xf numFmtId="0" fontId="8" fillId="0" borderId="11" xfId="1" applyFont="1" applyFill="1" applyBorder="1" applyAlignment="1">
      <alignment horizontal="right" vertical="center"/>
    </xf>
    <xf numFmtId="0" fontId="36" fillId="0" borderId="11" xfId="0" applyFont="1" applyBorder="1" applyAlignment="1">
      <alignment horizontal="left"/>
    </xf>
    <xf numFmtId="164" fontId="8" fillId="0" borderId="11" xfId="1" applyNumberFormat="1" applyFont="1" applyFill="1" applyBorder="1" applyAlignment="1">
      <alignment horizontal="left" vertical="center" wrapText="1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vertical="center" wrapText="1"/>
    </xf>
    <xf numFmtId="3" fontId="13" fillId="0" borderId="1" xfId="0" applyNumberFormat="1" applyFont="1" applyFill="1" applyBorder="1" applyAlignment="1" applyProtection="1">
      <alignment vertical="center" wrapText="1"/>
      <protection locked="0"/>
    </xf>
    <xf numFmtId="3" fontId="11" fillId="0" borderId="0" xfId="0" applyNumberFormat="1" applyFont="1" applyFill="1" applyAlignment="1">
      <alignment horizontal="center" vertical="center" wrapText="1"/>
    </xf>
    <xf numFmtId="3" fontId="11" fillId="0" borderId="0" xfId="0" applyNumberFormat="1" applyFont="1" applyFill="1" applyAlignment="1">
      <alignment vertical="center" wrapText="1"/>
    </xf>
    <xf numFmtId="3" fontId="25" fillId="0" borderId="0" xfId="0" applyNumberFormat="1" applyFont="1" applyFill="1" applyAlignment="1">
      <alignment horizontal="right"/>
    </xf>
    <xf numFmtId="3" fontId="28" fillId="0" borderId="0" xfId="0" applyNumberFormat="1" applyFont="1" applyFill="1" applyAlignment="1">
      <alignment vertical="center"/>
    </xf>
    <xf numFmtId="3" fontId="28" fillId="0" borderId="0" xfId="0" applyNumberFormat="1" applyFont="1" applyFill="1" applyAlignment="1">
      <alignment horizontal="center" vertical="center"/>
    </xf>
    <xf numFmtId="3" fontId="26" fillId="0" borderId="55" xfId="0" applyNumberFormat="1" applyFont="1" applyFill="1" applyBorder="1" applyAlignment="1">
      <alignment horizontal="center" vertical="center"/>
    </xf>
    <xf numFmtId="3" fontId="26" fillId="0" borderId="54" xfId="0" applyNumberFormat="1" applyFont="1" applyFill="1" applyBorder="1" applyAlignment="1">
      <alignment horizontal="center" vertical="center" wrapText="1"/>
    </xf>
    <xf numFmtId="3" fontId="26" fillId="0" borderId="45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Alignment="1">
      <alignment horizontal="center" vertical="center" wrapText="1"/>
    </xf>
    <xf numFmtId="3" fontId="27" fillId="0" borderId="48" xfId="0" applyNumberFormat="1" applyFont="1" applyFill="1" applyBorder="1" applyAlignment="1">
      <alignment horizontal="center" vertical="center" wrapText="1"/>
    </xf>
    <xf numFmtId="3" fontId="27" fillId="0" borderId="52" xfId="0" applyNumberFormat="1" applyFont="1" applyFill="1" applyBorder="1" applyAlignment="1">
      <alignment horizontal="center" vertical="center" wrapText="1"/>
    </xf>
    <xf numFmtId="3" fontId="27" fillId="0" borderId="36" xfId="0" applyNumberFormat="1" applyFont="1" applyFill="1" applyBorder="1" applyAlignment="1">
      <alignment horizontal="center" vertical="center" wrapText="1"/>
    </xf>
    <xf numFmtId="3" fontId="27" fillId="0" borderId="5" xfId="0" applyNumberFormat="1" applyFont="1" applyFill="1" applyBorder="1" applyAlignment="1">
      <alignment horizontal="center" vertical="center" wrapText="1"/>
    </xf>
    <xf numFmtId="3" fontId="27" fillId="0" borderId="35" xfId="0" applyNumberFormat="1" applyFont="1" applyFill="1" applyBorder="1" applyAlignment="1">
      <alignment horizontal="center" vertical="center" wrapText="1"/>
    </xf>
    <xf numFmtId="3" fontId="18" fillId="0" borderId="4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Fill="1" applyBorder="1" applyAlignment="1">
      <alignment horizontal="left" vertical="center" wrapText="1" indent="1"/>
    </xf>
    <xf numFmtId="3" fontId="18" fillId="0" borderId="41" xfId="0" applyNumberFormat="1" applyFont="1" applyFill="1" applyBorder="1" applyAlignment="1" applyProtection="1">
      <alignment horizontal="left" vertical="center" wrapText="1" indent="2"/>
    </xf>
    <xf numFmtId="3" fontId="18" fillId="0" borderId="41" xfId="0" applyNumberFormat="1" applyFont="1" applyFill="1" applyBorder="1" applyAlignment="1" applyProtection="1">
      <alignment vertical="center" wrapText="1"/>
    </xf>
    <xf numFmtId="3" fontId="18" fillId="0" borderId="8" xfId="0" applyNumberFormat="1" applyFont="1" applyFill="1" applyBorder="1" applyAlignment="1" applyProtection="1">
      <alignment vertical="center" wrapText="1"/>
    </xf>
    <xf numFmtId="3" fontId="18" fillId="0" borderId="1" xfId="0" applyNumberFormat="1" applyFont="1" applyFill="1" applyBorder="1" applyAlignment="1" applyProtection="1">
      <alignment vertical="center" wrapText="1"/>
    </xf>
    <xf numFmtId="3" fontId="18" fillId="0" borderId="3" xfId="0" applyNumberFormat="1" applyFont="1" applyFill="1" applyBorder="1" applyAlignment="1" applyProtection="1">
      <alignment vertical="center" wrapText="1"/>
    </xf>
    <xf numFmtId="3" fontId="18" fillId="0" borderId="41" xfId="0" applyNumberFormat="1" applyFont="1" applyFill="1" applyBorder="1" applyAlignment="1">
      <alignment vertical="center" wrapText="1"/>
    </xf>
    <xf numFmtId="3" fontId="20" fillId="0" borderId="0" xfId="0" applyNumberFormat="1" applyFont="1" applyFill="1" applyAlignment="1">
      <alignment vertical="center" wrapText="1"/>
    </xf>
    <xf numFmtId="3" fontId="29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41" xfId="0" applyNumberFormat="1" applyFont="1" applyFill="1" applyBorder="1" applyAlignment="1" applyProtection="1">
      <alignment horizontal="left" vertical="center" wrapText="1" indent="2"/>
      <protection locked="0"/>
    </xf>
    <xf numFmtId="3" fontId="29" fillId="0" borderId="41" xfId="0" applyNumberFormat="1" applyFont="1" applyFill="1" applyBorder="1" applyAlignment="1" applyProtection="1">
      <alignment vertical="center" wrapText="1"/>
      <protection locked="0"/>
    </xf>
    <xf numFmtId="3" fontId="29" fillId="0" borderId="8" xfId="0" applyNumberFormat="1" applyFont="1" applyFill="1" applyBorder="1" applyAlignment="1" applyProtection="1">
      <alignment vertical="center" wrapText="1"/>
      <protection locked="0"/>
    </xf>
    <xf numFmtId="3" fontId="29" fillId="0" borderId="1" xfId="0" applyNumberFormat="1" applyFont="1" applyFill="1" applyBorder="1" applyAlignment="1" applyProtection="1">
      <alignment vertical="center" wrapText="1"/>
      <protection locked="0"/>
    </xf>
    <xf numFmtId="3" fontId="29" fillId="0" borderId="3" xfId="0" applyNumberFormat="1" applyFont="1" applyFill="1" applyBorder="1" applyAlignment="1" applyProtection="1">
      <alignment vertical="center" wrapText="1"/>
      <protection locked="0"/>
    </xf>
    <xf numFmtId="3" fontId="0" fillId="0" borderId="28" xfId="0" applyNumberFormat="1" applyFill="1" applyBorder="1" applyAlignment="1">
      <alignment vertical="center" wrapText="1"/>
    </xf>
    <xf numFmtId="3" fontId="30" fillId="2" borderId="41" xfId="0" applyNumberFormat="1" applyFont="1" applyFill="1" applyBorder="1" applyAlignment="1" applyProtection="1">
      <alignment horizontal="left" vertical="center" wrapText="1" indent="2"/>
      <protection locked="0"/>
    </xf>
    <xf numFmtId="3" fontId="18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20" fillId="0" borderId="41" xfId="0" applyNumberFormat="1" applyFont="1" applyFill="1" applyBorder="1" applyAlignment="1" applyProtection="1">
      <alignment horizontal="left" vertical="center" wrapText="1" indent="2"/>
    </xf>
    <xf numFmtId="3" fontId="0" fillId="0" borderId="0" xfId="0" applyNumberFormat="1" applyFill="1" applyAlignment="1" applyProtection="1">
      <alignment vertical="center" wrapText="1"/>
      <protection locked="0"/>
    </xf>
    <xf numFmtId="3" fontId="31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23" fillId="0" borderId="41" xfId="0" applyNumberFormat="1" applyFont="1" applyFill="1" applyBorder="1" applyAlignment="1" applyProtection="1">
      <alignment horizontal="left" vertical="center" wrapText="1" indent="2"/>
      <protection locked="0"/>
    </xf>
    <xf numFmtId="3" fontId="31" fillId="0" borderId="41" xfId="0" applyNumberFormat="1" applyFont="1" applyFill="1" applyBorder="1" applyAlignment="1" applyProtection="1">
      <alignment vertical="center" wrapText="1"/>
      <protection locked="0"/>
    </xf>
    <xf numFmtId="3" fontId="31" fillId="0" borderId="8" xfId="0" applyNumberFormat="1" applyFont="1" applyFill="1" applyBorder="1" applyAlignment="1" applyProtection="1">
      <alignment vertical="center" wrapText="1"/>
      <protection locked="0"/>
    </xf>
    <xf numFmtId="3" fontId="31" fillId="0" borderId="1" xfId="0" applyNumberFormat="1" applyFont="1" applyFill="1" applyBorder="1" applyAlignment="1" applyProtection="1">
      <alignment vertical="center" wrapText="1"/>
      <protection locked="0"/>
    </xf>
    <xf numFmtId="3" fontId="31" fillId="0" borderId="3" xfId="0" applyNumberFormat="1" applyFont="1" applyFill="1" applyBorder="1" applyAlignment="1" applyProtection="1">
      <alignment vertical="center" wrapText="1"/>
      <protection locked="0"/>
    </xf>
    <xf numFmtId="3" fontId="18" fillId="0" borderId="28" xfId="0" applyNumberFormat="1" applyFont="1" applyFill="1" applyBorder="1" applyAlignment="1">
      <alignment vertical="center" wrapText="1"/>
    </xf>
    <xf numFmtId="3" fontId="18" fillId="0" borderId="41" xfId="0" applyNumberFormat="1" applyFont="1" applyFill="1" applyBorder="1" applyAlignment="1" applyProtection="1">
      <alignment vertical="center" wrapText="1"/>
      <protection locked="0"/>
    </xf>
    <xf numFmtId="3" fontId="18" fillId="0" borderId="8" xfId="0" applyNumberFormat="1" applyFont="1" applyFill="1" applyBorder="1" applyAlignment="1" applyProtection="1">
      <alignment vertical="center" wrapText="1"/>
      <protection locked="0"/>
    </xf>
    <xf numFmtId="3" fontId="18" fillId="0" borderId="1" xfId="0" applyNumberFormat="1" applyFont="1" applyFill="1" applyBorder="1" applyAlignment="1" applyProtection="1">
      <alignment vertical="center" wrapText="1"/>
      <protection locked="0"/>
    </xf>
    <xf numFmtId="3" fontId="18" fillId="0" borderId="3" xfId="0" applyNumberFormat="1" applyFont="1" applyFill="1" applyBorder="1" applyAlignment="1" applyProtection="1">
      <alignment vertical="center" wrapText="1"/>
      <protection locked="0"/>
    </xf>
    <xf numFmtId="3" fontId="13" fillId="0" borderId="28" xfId="0" applyNumberFormat="1" applyFont="1" applyFill="1" applyBorder="1" applyAlignment="1">
      <alignment vertical="center" wrapText="1"/>
    </xf>
    <xf numFmtId="3" fontId="0" fillId="0" borderId="41" xfId="0" applyNumberFormat="1" applyFont="1" applyFill="1" applyBorder="1" applyAlignment="1" applyProtection="1">
      <alignment horizontal="left" vertical="center" wrapText="1" indent="2"/>
      <protection locked="0"/>
    </xf>
    <xf numFmtId="3" fontId="13" fillId="0" borderId="41" xfId="0" applyNumberFormat="1" applyFont="1" applyFill="1" applyBorder="1" applyAlignment="1" applyProtection="1">
      <alignment vertical="center" wrapText="1"/>
      <protection locked="0"/>
    </xf>
    <xf numFmtId="3" fontId="13" fillId="0" borderId="8" xfId="0" applyNumberFormat="1" applyFont="1" applyFill="1" applyBorder="1" applyAlignment="1" applyProtection="1">
      <alignment vertical="center" wrapText="1"/>
      <protection locked="0"/>
    </xf>
    <xf numFmtId="3" fontId="13" fillId="0" borderId="3" xfId="0" applyNumberFormat="1" applyFont="1" applyFill="1" applyBorder="1" applyAlignment="1" applyProtection="1">
      <alignment vertical="center" wrapText="1"/>
      <protection locked="0"/>
    </xf>
    <xf numFmtId="3" fontId="32" fillId="0" borderId="0" xfId="0" applyNumberFormat="1" applyFont="1" applyFill="1" applyAlignment="1">
      <alignment vertical="center" wrapText="1"/>
    </xf>
    <xf numFmtId="3" fontId="18" fillId="0" borderId="50" xfId="0" applyNumberFormat="1" applyFont="1" applyFill="1" applyBorder="1" applyAlignment="1">
      <alignment horizontal="center" vertical="center" wrapText="1"/>
    </xf>
    <xf numFmtId="3" fontId="0" fillId="0" borderId="56" xfId="0" applyNumberFormat="1" applyFill="1" applyBorder="1" applyAlignment="1">
      <alignment vertical="center" wrapText="1"/>
    </xf>
    <xf numFmtId="3" fontId="30" fillId="0" borderId="50" xfId="0" applyNumberFormat="1" applyFont="1" applyFill="1" applyBorder="1" applyAlignment="1" applyProtection="1">
      <alignment horizontal="left" vertical="center" wrapText="1" indent="2"/>
      <protection locked="0"/>
    </xf>
    <xf numFmtId="3" fontId="29" fillId="0" borderId="50" xfId="0" applyNumberFormat="1" applyFont="1" applyFill="1" applyBorder="1" applyAlignment="1" applyProtection="1">
      <alignment vertical="center" wrapText="1"/>
      <protection locked="0"/>
    </xf>
    <xf numFmtId="3" fontId="29" fillId="0" borderId="9" xfId="0" applyNumberFormat="1" applyFont="1" applyFill="1" applyBorder="1" applyAlignment="1" applyProtection="1">
      <alignment vertical="center" wrapText="1"/>
      <protection locked="0"/>
    </xf>
    <xf numFmtId="3" fontId="29" fillId="0" borderId="2" xfId="0" applyNumberFormat="1" applyFont="1" applyFill="1" applyBorder="1" applyAlignment="1" applyProtection="1">
      <alignment vertical="center" wrapText="1"/>
      <protection locked="0"/>
    </xf>
    <xf numFmtId="3" fontId="29" fillId="0" borderId="10" xfId="0" applyNumberFormat="1" applyFont="1" applyFill="1" applyBorder="1" applyAlignment="1" applyProtection="1">
      <alignment vertical="center" wrapText="1"/>
      <protection locked="0"/>
    </xf>
    <xf numFmtId="3" fontId="18" fillId="0" borderId="50" xfId="0" applyNumberFormat="1" applyFont="1" applyFill="1" applyBorder="1" applyAlignment="1">
      <alignment vertical="center" wrapText="1"/>
    </xf>
    <xf numFmtId="3" fontId="20" fillId="3" borderId="34" xfId="0" applyNumberFormat="1" applyFont="1" applyFill="1" applyBorder="1" applyAlignment="1" applyProtection="1">
      <alignment horizontal="left" vertical="center" wrapText="1" indent="2"/>
    </xf>
    <xf numFmtId="3" fontId="18" fillId="0" borderId="34" xfId="0" applyNumberFormat="1" applyFont="1" applyFill="1" applyBorder="1" applyAlignment="1" applyProtection="1">
      <alignment vertical="center" wrapText="1"/>
    </xf>
    <xf numFmtId="3" fontId="18" fillId="0" borderId="57" xfId="0" applyNumberFormat="1" applyFont="1" applyFill="1" applyBorder="1" applyAlignment="1" applyProtection="1">
      <alignment vertical="center" wrapText="1"/>
    </xf>
    <xf numFmtId="3" fontId="18" fillId="0" borderId="13" xfId="0" applyNumberFormat="1" applyFont="1" applyFill="1" applyBorder="1" applyAlignment="1" applyProtection="1">
      <alignment vertical="center" wrapText="1"/>
    </xf>
    <xf numFmtId="3" fontId="18" fillId="0" borderId="44" xfId="0" applyNumberFormat="1" applyFont="1" applyFill="1" applyBorder="1" applyAlignment="1" applyProtection="1">
      <alignment vertical="center" wrapText="1"/>
    </xf>
    <xf numFmtId="3" fontId="5" fillId="0" borderId="1" xfId="1" applyNumberFormat="1" applyFont="1" applyBorder="1" applyAlignment="1">
      <alignment horizontal="center" vertical="center" wrapText="1"/>
    </xf>
    <xf numFmtId="3" fontId="35" fillId="0" borderId="9" xfId="0" applyNumberFormat="1" applyFont="1" applyBorder="1"/>
    <xf numFmtId="9" fontId="41" fillId="0" borderId="49" xfId="0" applyNumberFormat="1" applyFont="1" applyBorder="1"/>
    <xf numFmtId="9" fontId="41" fillId="0" borderId="51" xfId="0" applyNumberFormat="1" applyFont="1" applyBorder="1"/>
    <xf numFmtId="3" fontId="39" fillId="4" borderId="29" xfId="0" applyNumberFormat="1" applyFont="1" applyFill="1" applyBorder="1" applyAlignment="1">
      <alignment horizontal="center" vertical="center" wrapText="1"/>
    </xf>
    <xf numFmtId="3" fontId="41" fillId="0" borderId="59" xfId="0" applyNumberFormat="1" applyFont="1" applyBorder="1"/>
    <xf numFmtId="3" fontId="41" fillId="0" borderId="28" xfId="0" applyNumberFormat="1" applyFont="1" applyBorder="1" applyAlignment="1">
      <alignment wrapText="1"/>
    </xf>
    <xf numFmtId="3" fontId="41" fillId="4" borderId="53" xfId="0" applyNumberFormat="1" applyFont="1" applyFill="1" applyBorder="1"/>
    <xf numFmtId="0" fontId="9" fillId="0" borderId="0" xfId="0" applyFont="1" applyFill="1" applyAlignment="1">
      <alignment horizontal="center"/>
    </xf>
    <xf numFmtId="3" fontId="35" fillId="0" borderId="0" xfId="0" applyNumberFormat="1" applyFont="1" applyBorder="1" applyAlignment="1">
      <alignment horizontal="center" vertical="center" wrapText="1"/>
    </xf>
    <xf numFmtId="0" fontId="35" fillId="0" borderId="0" xfId="0" applyFont="1"/>
    <xf numFmtId="49" fontId="35" fillId="0" borderId="0" xfId="0" applyNumberFormat="1" applyFont="1"/>
    <xf numFmtId="49" fontId="35" fillId="0" borderId="1" xfId="0" applyNumberFormat="1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35" fillId="0" borderId="0" xfId="0" applyFont="1" applyAlignment="1">
      <alignment vertical="center"/>
    </xf>
    <xf numFmtId="49" fontId="35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right"/>
    </xf>
    <xf numFmtId="3" fontId="34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/>
    <xf numFmtId="3" fontId="5" fillId="0" borderId="21" xfId="1" applyNumberFormat="1" applyFont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left" vertical="center" wrapText="1"/>
    </xf>
    <xf numFmtId="164" fontId="6" fillId="0" borderId="26" xfId="1" applyNumberFormat="1" applyFont="1" applyFill="1" applyBorder="1" applyAlignment="1">
      <alignment horizontal="left" vertical="center" wrapText="1"/>
    </xf>
    <xf numFmtId="0" fontId="35" fillId="0" borderId="26" xfId="0" applyFont="1" applyBorder="1" applyAlignment="1">
      <alignment horizontal="left" wrapText="1"/>
    </xf>
    <xf numFmtId="3" fontId="35" fillId="0" borderId="1" xfId="0" applyNumberFormat="1" applyFont="1" applyBorder="1" applyAlignment="1">
      <alignment vertical="center" wrapText="1"/>
    </xf>
    <xf numFmtId="43" fontId="7" fillId="0" borderId="0" xfId="56" applyFont="1" applyAlignment="1">
      <alignment horizontal="center" vertical="center" wrapText="1"/>
    </xf>
    <xf numFmtId="3" fontId="7" fillId="0" borderId="41" xfId="0" applyNumberFormat="1" applyFont="1" applyBorder="1"/>
    <xf numFmtId="3" fontId="35" fillId="0" borderId="1" xfId="0" applyNumberFormat="1" applyFont="1" applyBorder="1" applyAlignment="1">
      <alignment vertical="center"/>
    </xf>
    <xf numFmtId="3" fontId="34" fillId="0" borderId="1" xfId="0" applyNumberFormat="1" applyFont="1" applyBorder="1" applyAlignment="1">
      <alignment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right" vertical="center"/>
    </xf>
    <xf numFmtId="3" fontId="35" fillId="0" borderId="2" xfId="0" applyNumberFormat="1" applyFont="1" applyBorder="1"/>
    <xf numFmtId="167" fontId="7" fillId="0" borderId="1" xfId="98" applyNumberFormat="1" applyFont="1" applyFill="1" applyBorder="1" applyAlignment="1">
      <alignment vertical="center"/>
    </xf>
    <xf numFmtId="167" fontId="7" fillId="0" borderId="1" xfId="98" quotePrefix="1" applyNumberFormat="1" applyFont="1" applyFill="1" applyBorder="1" applyAlignment="1">
      <alignment vertical="center"/>
    </xf>
    <xf numFmtId="167" fontId="5" fillId="0" borderId="1" xfId="98" applyNumberFormat="1" applyFont="1" applyFill="1" applyBorder="1" applyAlignment="1">
      <alignment vertical="center"/>
    </xf>
    <xf numFmtId="167" fontId="9" fillId="0" borderId="1" xfId="98" applyNumberFormat="1" applyFont="1" applyFill="1" applyBorder="1" applyAlignment="1">
      <alignment vertical="center"/>
    </xf>
    <xf numFmtId="167" fontId="7" fillId="0" borderId="1" xfId="98" applyNumberFormat="1" applyFont="1" applyFill="1" applyBorder="1"/>
    <xf numFmtId="3" fontId="5" fillId="0" borderId="20" xfId="1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7" fillId="0" borderId="0" xfId="46" applyFont="1" applyAlignment="1">
      <alignment vertical="center"/>
    </xf>
    <xf numFmtId="0" fontId="5" fillId="0" borderId="0" xfId="46" applyFont="1" applyAlignment="1">
      <alignment vertical="center"/>
    </xf>
    <xf numFmtId="0" fontId="7" fillId="0" borderId="6" xfId="46" applyFont="1" applyBorder="1" applyAlignment="1">
      <alignment horizontal="center" vertical="center" wrapText="1"/>
    </xf>
    <xf numFmtId="0" fontId="7" fillId="0" borderId="0" xfId="46" applyFont="1" applyAlignment="1">
      <alignment horizontal="center" vertical="center" wrapText="1"/>
    </xf>
    <xf numFmtId="0" fontId="7" fillId="0" borderId="6" xfId="46" applyFont="1" applyBorder="1" applyAlignment="1">
      <alignment vertical="center"/>
    </xf>
    <xf numFmtId="0" fontId="7" fillId="0" borderId="11" xfId="46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3" fontId="5" fillId="0" borderId="44" xfId="0" applyNumberFormat="1" applyFont="1" applyBorder="1" applyAlignment="1">
      <alignment horizontal="righ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39" fillId="0" borderId="10" xfId="0" applyFont="1" applyBorder="1" applyAlignment="1">
      <alignment horizontal="right" vertical="center"/>
    </xf>
    <xf numFmtId="0" fontId="41" fillId="0" borderId="9" xfId="0" applyFont="1" applyBorder="1"/>
    <xf numFmtId="0" fontId="41" fillId="0" borderId="10" xfId="0" applyFont="1" applyBorder="1"/>
    <xf numFmtId="0" fontId="39" fillId="0" borderId="14" xfId="0" applyFont="1" applyBorder="1"/>
    <xf numFmtId="0" fontId="7" fillId="0" borderId="0" xfId="46" applyFont="1" applyFill="1" applyAlignment="1">
      <alignment vertical="center"/>
    </xf>
    <xf numFmtId="3" fontId="35" fillId="0" borderId="2" xfId="0" applyNumberFormat="1" applyFont="1" applyFill="1" applyBorder="1" applyAlignment="1" applyProtection="1">
      <alignment vertical="center" wrapText="1"/>
      <protection locked="0"/>
    </xf>
    <xf numFmtId="3" fontId="35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5" xfId="0" applyNumberFormat="1" applyFont="1" applyFill="1" applyBorder="1" applyAlignment="1" applyProtection="1">
      <alignment vertical="center" wrapText="1"/>
      <protection locked="0"/>
    </xf>
    <xf numFmtId="3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3" xfId="0" applyNumberFormat="1" applyFont="1" applyFill="1" applyBorder="1" applyAlignment="1" applyProtection="1">
      <alignment vertical="center" wrapText="1"/>
      <protection locked="0"/>
    </xf>
    <xf numFmtId="3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2" xfId="0" applyNumberFormat="1" applyFont="1" applyFill="1" applyBorder="1" applyAlignment="1" applyProtection="1">
      <alignment vertical="center" wrapText="1"/>
      <protection locked="0"/>
    </xf>
    <xf numFmtId="3" fontId="35" fillId="0" borderId="5" xfId="0" applyNumberFormat="1" applyFont="1" applyFill="1" applyBorder="1" applyAlignment="1" applyProtection="1">
      <alignment vertical="center" wrapText="1"/>
      <protection locked="0"/>
    </xf>
    <xf numFmtId="3" fontId="35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3" xfId="0" applyNumberFormat="1" applyFont="1" applyFill="1" applyBorder="1" applyAlignment="1" applyProtection="1">
      <alignment vertical="center" wrapText="1"/>
      <protection locked="0"/>
    </xf>
    <xf numFmtId="3" fontId="5" fillId="0" borderId="21" xfId="0" applyNumberFormat="1" applyFont="1" applyFill="1" applyBorder="1" applyAlignment="1" applyProtection="1">
      <alignment vertical="center" wrapText="1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/>
    </xf>
    <xf numFmtId="3" fontId="36" fillId="0" borderId="1" xfId="0" applyNumberFormat="1" applyFont="1" applyBorder="1" applyAlignment="1">
      <alignment vertical="center" wrapText="1"/>
    </xf>
    <xf numFmtId="0" fontId="36" fillId="0" borderId="2" xfId="0" applyFont="1" applyBorder="1" applyAlignment="1">
      <alignment vertical="center" wrapText="1"/>
    </xf>
    <xf numFmtId="0" fontId="36" fillId="0" borderId="2" xfId="0" applyFont="1" applyBorder="1" applyAlignment="1">
      <alignment vertical="center"/>
    </xf>
    <xf numFmtId="3" fontId="36" fillId="0" borderId="2" xfId="0" applyNumberFormat="1" applyFont="1" applyBorder="1" applyAlignment="1">
      <alignment vertical="center" wrapText="1"/>
    </xf>
    <xf numFmtId="0" fontId="71" fillId="0" borderId="0" xfId="42" applyFont="1"/>
    <xf numFmtId="0" fontId="6" fillId="0" borderId="18" xfId="42" applyFont="1" applyBorder="1"/>
    <xf numFmtId="0" fontId="6" fillId="0" borderId="1" xfId="42" applyFont="1" applyBorder="1"/>
    <xf numFmtId="3" fontId="6" fillId="0" borderId="1" xfId="42" applyNumberFormat="1" applyFont="1" applyBorder="1"/>
    <xf numFmtId="0" fontId="4" fillId="0" borderId="20" xfId="42" applyFont="1" applyBorder="1"/>
    <xf numFmtId="0" fontId="4" fillId="0" borderId="0" xfId="42" applyFont="1" applyBorder="1"/>
    <xf numFmtId="3" fontId="4" fillId="0" borderId="0" xfId="42" applyNumberFormat="1" applyFont="1" applyBorder="1"/>
    <xf numFmtId="0" fontId="6" fillId="0" borderId="0" xfId="42" applyFont="1"/>
    <xf numFmtId="3" fontId="6" fillId="0" borderId="0" xfId="42" applyNumberFormat="1" applyFont="1"/>
    <xf numFmtId="0" fontId="6" fillId="0" borderId="0" xfId="42" applyFont="1" applyBorder="1"/>
    <xf numFmtId="3" fontId="6" fillId="0" borderId="0" xfId="42" applyNumberFormat="1" applyFont="1" applyBorder="1"/>
    <xf numFmtId="0" fontId="6" fillId="0" borderId="18" xfId="42" applyFont="1" applyBorder="1" applyAlignment="1">
      <alignment horizontal="left"/>
    </xf>
    <xf numFmtId="3" fontId="6" fillId="0" borderId="1" xfId="42" applyNumberFormat="1" applyFont="1" applyBorder="1" applyAlignment="1">
      <alignment horizontal="right"/>
    </xf>
    <xf numFmtId="0" fontId="7" fillId="0" borderId="0" xfId="50" applyFont="1"/>
    <xf numFmtId="0" fontId="7" fillId="0" borderId="18" xfId="50" applyFont="1" applyBorder="1"/>
    <xf numFmtId="3" fontId="7" fillId="0" borderId="1" xfId="50" applyNumberFormat="1" applyFont="1" applyBorder="1"/>
    <xf numFmtId="0" fontId="5" fillId="0" borderId="20" xfId="50" applyFont="1" applyBorder="1"/>
    <xf numFmtId="3" fontId="5" fillId="0" borderId="21" xfId="50" applyNumberFormat="1" applyFont="1" applyBorder="1"/>
    <xf numFmtId="0" fontId="5" fillId="0" borderId="21" xfId="50" applyFont="1" applyBorder="1"/>
    <xf numFmtId="0" fontId="5" fillId="0" borderId="18" xfId="50" applyFont="1" applyBorder="1"/>
    <xf numFmtId="3" fontId="7" fillId="0" borderId="0" xfId="50" applyNumberFormat="1" applyFont="1"/>
    <xf numFmtId="0" fontId="43" fillId="0" borderId="50" xfId="0" applyFont="1" applyBorder="1"/>
    <xf numFmtId="0" fontId="4" fillId="0" borderId="18" xfId="42" applyFont="1" applyBorder="1" applyAlignment="1">
      <alignment horizontal="center" wrapText="1"/>
    </xf>
    <xf numFmtId="0" fontId="71" fillId="0" borderId="0" xfId="42" applyFont="1" applyAlignment="1">
      <alignment wrapText="1"/>
    </xf>
    <xf numFmtId="0" fontId="7" fillId="0" borderId="0" xfId="50" applyFont="1" applyAlignment="1">
      <alignment wrapText="1"/>
    </xf>
    <xf numFmtId="0" fontId="5" fillId="0" borderId="15" xfId="50" applyFont="1" applyBorder="1" applyAlignment="1">
      <alignment horizontal="center" vertical="center" wrapText="1"/>
    </xf>
    <xf numFmtId="0" fontId="6" fillId="0" borderId="46" xfId="1" applyFont="1" applyFill="1" applyBorder="1" applyAlignment="1">
      <alignment horizontal="right" vertical="center"/>
    </xf>
    <xf numFmtId="0" fontId="6" fillId="0" borderId="49" xfId="1" applyFont="1" applyFill="1" applyBorder="1" applyAlignment="1">
      <alignment horizontal="right" vertical="center"/>
    </xf>
    <xf numFmtId="0" fontId="4" fillId="0" borderId="49" xfId="1" applyFont="1" applyFill="1" applyBorder="1" applyAlignment="1">
      <alignment horizontal="right" vertical="center"/>
    </xf>
    <xf numFmtId="0" fontId="4" fillId="0" borderId="49" xfId="1" applyFont="1" applyFill="1" applyBorder="1" applyAlignment="1">
      <alignment horizontal="right" vertical="center" wrapText="1"/>
    </xf>
    <xf numFmtId="0" fontId="4" fillId="0" borderId="51" xfId="0" applyFont="1" applyFill="1" applyBorder="1" applyAlignment="1">
      <alignment horizontal="right" vertical="center" wrapText="1"/>
    </xf>
    <xf numFmtId="0" fontId="6" fillId="0" borderId="25" xfId="1" applyFont="1" applyFill="1" applyBorder="1" applyAlignment="1">
      <alignment horizontal="left" vertical="center" wrapText="1"/>
    </xf>
    <xf numFmtId="0" fontId="35" fillId="0" borderId="25" xfId="0" applyFont="1" applyBorder="1" applyAlignment="1">
      <alignment horizontal="left" wrapText="1"/>
    </xf>
    <xf numFmtId="3" fontId="34" fillId="0" borderId="31" xfId="98" applyNumberFormat="1" applyFont="1" applyBorder="1"/>
    <xf numFmtId="3" fontId="34" fillId="0" borderId="5" xfId="98" applyNumberFormat="1" applyFont="1" applyBorder="1"/>
    <xf numFmtId="3" fontId="34" fillId="0" borderId="30" xfId="98" applyNumberFormat="1" applyFont="1" applyBorder="1"/>
    <xf numFmtId="3" fontId="34" fillId="0" borderId="36" xfId="98" applyNumberFormat="1" applyFont="1" applyBorder="1"/>
    <xf numFmtId="3" fontId="34" fillId="0" borderId="35" xfId="98" applyNumberFormat="1" applyFont="1" applyBorder="1"/>
    <xf numFmtId="3" fontId="34" fillId="0" borderId="1" xfId="98" applyNumberFormat="1" applyFont="1" applyBorder="1"/>
    <xf numFmtId="3" fontId="34" fillId="0" borderId="18" xfId="98" applyNumberFormat="1" applyFont="1" applyBorder="1"/>
    <xf numFmtId="3" fontId="34" fillId="0" borderId="19" xfId="98" applyNumberFormat="1" applyFont="1" applyBorder="1"/>
    <xf numFmtId="3" fontId="34" fillId="0" borderId="8" xfId="98" applyNumberFormat="1" applyFont="1" applyBorder="1"/>
    <xf numFmtId="3" fontId="34" fillId="0" borderId="3" xfId="98" applyNumberFormat="1" applyFont="1" applyBorder="1"/>
    <xf numFmtId="3" fontId="35" fillId="0" borderId="0" xfId="98" applyNumberFormat="1" applyFont="1" applyBorder="1"/>
    <xf numFmtId="3" fontId="35" fillId="0" borderId="25" xfId="98" applyNumberFormat="1" applyFont="1" applyBorder="1"/>
    <xf numFmtId="3" fontId="35" fillId="0" borderId="26" xfId="98" applyNumberFormat="1" applyFont="1" applyBorder="1"/>
    <xf numFmtId="3" fontId="35" fillId="0" borderId="1" xfId="98" applyNumberFormat="1" applyFont="1" applyBorder="1"/>
    <xf numFmtId="3" fontId="35" fillId="0" borderId="18" xfId="98" applyNumberFormat="1" applyFont="1" applyBorder="1"/>
    <xf numFmtId="3" fontId="35" fillId="0" borderId="19" xfId="98" applyNumberFormat="1" applyFont="1" applyBorder="1"/>
    <xf numFmtId="3" fontId="35" fillId="0" borderId="8" xfId="98" applyNumberFormat="1" applyFont="1" applyBorder="1"/>
    <xf numFmtId="3" fontId="35" fillId="0" borderId="3" xfId="98" applyNumberFormat="1" applyFont="1" applyBorder="1"/>
    <xf numFmtId="3" fontId="34" fillId="0" borderId="20" xfId="98" applyNumberFormat="1" applyFont="1" applyBorder="1"/>
    <xf numFmtId="3" fontId="34" fillId="0" borderId="21" xfId="98" applyNumberFormat="1" applyFont="1" applyBorder="1"/>
    <xf numFmtId="3" fontId="4" fillId="0" borderId="20" xfId="98" applyNumberFormat="1" applyFont="1" applyFill="1" applyBorder="1"/>
    <xf numFmtId="3" fontId="4" fillId="0" borderId="21" xfId="98" applyNumberFormat="1" applyFont="1" applyFill="1" applyBorder="1"/>
    <xf numFmtId="3" fontId="34" fillId="0" borderId="22" xfId="98" applyNumberFormat="1" applyFont="1" applyBorder="1"/>
    <xf numFmtId="3" fontId="34" fillId="0" borderId="39" xfId="98" applyNumberFormat="1" applyFont="1" applyBorder="1"/>
    <xf numFmtId="3" fontId="34" fillId="0" borderId="32" xfId="98" applyNumberFormat="1" applyFont="1" applyBorder="1"/>
    <xf numFmtId="3" fontId="7" fillId="0" borderId="1" xfId="1" applyNumberFormat="1" applyFont="1" applyBorder="1" applyAlignment="1">
      <alignment horizontal="right" vertical="center" wrapText="1"/>
    </xf>
    <xf numFmtId="0" fontId="74" fillId="0" borderId="1" xfId="0" applyFont="1" applyFill="1" applyBorder="1" applyAlignment="1">
      <alignment horizontal="center" vertical="center" wrapText="1"/>
    </xf>
    <xf numFmtId="0" fontId="74" fillId="0" borderId="1" xfId="0" applyFont="1" applyFill="1" applyBorder="1" applyAlignment="1">
      <alignment horizontal="left" vertical="center" wrapText="1"/>
    </xf>
    <xf numFmtId="0" fontId="7" fillId="0" borderId="11" xfId="46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3" fontId="19" fillId="0" borderId="0" xfId="2" applyNumberFormat="1" applyFont="1" applyFill="1" applyBorder="1" applyAlignment="1"/>
    <xf numFmtId="3" fontId="5" fillId="0" borderId="0" xfId="3" applyNumberFormat="1" applyFont="1" applyFill="1" applyAlignment="1" applyProtection="1"/>
    <xf numFmtId="3" fontId="73" fillId="0" borderId="0" xfId="2" applyNumberFormat="1" applyFont="1" applyFill="1" applyBorder="1" applyAlignment="1"/>
    <xf numFmtId="0" fontId="72" fillId="0" borderId="0" xfId="0" applyFont="1" applyAlignment="1">
      <alignment horizontal="left"/>
    </xf>
    <xf numFmtId="0" fontId="73" fillId="0" borderId="0" xfId="50" applyFont="1" applyAlignment="1"/>
    <xf numFmtId="0" fontId="72" fillId="0" borderId="0" xfId="0" applyFont="1" applyBorder="1" applyAlignment="1"/>
    <xf numFmtId="165" fontId="73" fillId="0" borderId="0" xfId="0" applyNumberFormat="1" applyFont="1" applyFill="1" applyAlignment="1">
      <alignment vertical="center" wrapText="1"/>
    </xf>
    <xf numFmtId="49" fontId="73" fillId="0" borderId="0" xfId="0" applyNumberFormat="1" applyFont="1" applyFill="1" applyAlignment="1"/>
    <xf numFmtId="3" fontId="73" fillId="0" borderId="0" xfId="0" applyNumberFormat="1" applyFont="1" applyFill="1" applyAlignment="1">
      <alignment vertical="center" wrapText="1"/>
    </xf>
    <xf numFmtId="0" fontId="73" fillId="0" borderId="0" xfId="50" applyFont="1" applyBorder="1" applyAlignment="1">
      <alignment wrapText="1"/>
    </xf>
    <xf numFmtId="0" fontId="75" fillId="0" borderId="0" xfId="42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70" fillId="0" borderId="0" xfId="42" applyFont="1" applyBorder="1" applyAlignment="1">
      <alignment vertical="center"/>
    </xf>
    <xf numFmtId="0" fontId="24" fillId="0" borderId="0" xfId="50" applyFont="1" applyBorder="1" applyAlignment="1">
      <alignment wrapText="1"/>
    </xf>
    <xf numFmtId="0" fontId="24" fillId="0" borderId="0" xfId="50" applyFont="1" applyBorder="1" applyAlignment="1"/>
    <xf numFmtId="165" fontId="24" fillId="0" borderId="0" xfId="0" applyNumberFormat="1" applyFont="1" applyFill="1" applyBorder="1" applyAlignment="1">
      <alignment vertical="center" wrapText="1"/>
    </xf>
    <xf numFmtId="49" fontId="14" fillId="0" borderId="0" xfId="0" applyNumberFormat="1" applyFont="1" applyFill="1" applyBorder="1" applyAlignment="1"/>
    <xf numFmtId="3" fontId="14" fillId="0" borderId="0" xfId="0" applyNumberFormat="1" applyFont="1" applyFill="1" applyBorder="1" applyAlignment="1">
      <alignment vertical="center" wrapText="1"/>
    </xf>
    <xf numFmtId="3" fontId="5" fillId="0" borderId="0" xfId="3" applyNumberFormat="1" applyFont="1" applyFill="1" applyBorder="1" applyAlignment="1" applyProtection="1"/>
    <xf numFmtId="0" fontId="72" fillId="0" borderId="0" xfId="0" applyFont="1" applyAlignment="1">
      <alignment vertical="center"/>
    </xf>
    <xf numFmtId="49" fontId="36" fillId="0" borderId="1" xfId="0" applyNumberFormat="1" applyFont="1" applyBorder="1" applyAlignment="1">
      <alignment vertical="center" wrapText="1"/>
    </xf>
    <xf numFmtId="0" fontId="36" fillId="0" borderId="0" xfId="0" applyFont="1" applyAlignment="1">
      <alignment vertical="center"/>
    </xf>
    <xf numFmtId="49" fontId="36" fillId="0" borderId="2" xfId="0" applyNumberFormat="1" applyFont="1" applyBorder="1" applyAlignment="1">
      <alignment vertical="center" wrapText="1"/>
    </xf>
    <xf numFmtId="0" fontId="41" fillId="0" borderId="50" xfId="0" applyFont="1" applyBorder="1"/>
    <xf numFmtId="3" fontId="41" fillId="4" borderId="50" xfId="0" applyNumberFormat="1" applyFont="1" applyFill="1" applyBorder="1"/>
    <xf numFmtId="168" fontId="41" fillId="0" borderId="50" xfId="98" applyNumberFormat="1" applyFont="1" applyBorder="1"/>
    <xf numFmtId="168" fontId="41" fillId="0" borderId="33" xfId="98" applyNumberFormat="1" applyFont="1" applyBorder="1"/>
    <xf numFmtId="167" fontId="7" fillId="0" borderId="1" xfId="98" applyNumberFormat="1" applyFont="1" applyFill="1" applyBorder="1" applyAlignment="1">
      <alignment horizontal="right" vertical="center"/>
    </xf>
    <xf numFmtId="167" fontId="7" fillId="0" borderId="1" xfId="98" quotePrefix="1" applyNumberFormat="1" applyFont="1" applyFill="1" applyBorder="1" applyAlignment="1">
      <alignment horizontal="right" vertical="center"/>
    </xf>
    <xf numFmtId="167" fontId="5" fillId="0" borderId="1" xfId="98" applyNumberFormat="1" applyFont="1" applyFill="1" applyBorder="1" applyAlignment="1">
      <alignment horizontal="right" vertical="center"/>
    </xf>
    <xf numFmtId="167" fontId="9" fillId="0" borderId="1" xfId="98" applyNumberFormat="1" applyFont="1" applyFill="1" applyBorder="1" applyAlignment="1">
      <alignment horizontal="right" vertical="center"/>
    </xf>
    <xf numFmtId="167" fontId="7" fillId="0" borderId="1" xfId="98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3" fontId="34" fillId="0" borderId="1" xfId="0" applyNumberFormat="1" applyFont="1" applyFill="1" applyBorder="1" applyAlignment="1" applyProtection="1">
      <alignment vertical="center" wrapText="1"/>
      <protection locked="0"/>
    </xf>
    <xf numFmtId="3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7" fillId="0" borderId="19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7" fillId="0" borderId="8" xfId="0" applyNumberFormat="1" applyFont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0" fontId="7" fillId="0" borderId="41" xfId="0" applyFont="1" applyBorder="1" applyAlignment="1">
      <alignment vertical="center"/>
    </xf>
    <xf numFmtId="0" fontId="7" fillId="0" borderId="41" xfId="0" applyFont="1" applyFill="1" applyBorder="1" applyAlignment="1">
      <alignment vertical="center"/>
    </xf>
    <xf numFmtId="0" fontId="7" fillId="0" borderId="41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17" fontId="7" fillId="0" borderId="41" xfId="0" applyNumberFormat="1" applyFont="1" applyFill="1" applyBorder="1" applyAlignment="1">
      <alignment vertical="center"/>
    </xf>
    <xf numFmtId="0" fontId="7" fillId="0" borderId="41" xfId="0" applyFont="1" applyFill="1" applyBorder="1" applyAlignment="1">
      <alignment vertical="center" wrapText="1"/>
    </xf>
    <xf numFmtId="0" fontId="7" fillId="0" borderId="41" xfId="0" applyFont="1" applyFill="1" applyBorder="1" applyAlignment="1">
      <alignment horizontal="left" vertical="center" wrapText="1"/>
    </xf>
    <xf numFmtId="0" fontId="5" fillId="0" borderId="41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3" fontId="5" fillId="0" borderId="28" xfId="0" applyNumberFormat="1" applyFont="1" applyBorder="1" applyAlignment="1">
      <alignment horizontal="right" vertical="center"/>
    </xf>
    <xf numFmtId="3" fontId="7" fillId="0" borderId="28" xfId="0" applyNumberFormat="1" applyFont="1" applyBorder="1" applyAlignment="1">
      <alignment horizontal="right" vertical="center" wrapText="1"/>
    </xf>
    <xf numFmtId="3" fontId="5" fillId="0" borderId="53" xfId="0" applyNumberFormat="1" applyFont="1" applyBorder="1" applyAlignment="1">
      <alignment horizontal="right" vertical="center"/>
    </xf>
    <xf numFmtId="3" fontId="7" fillId="0" borderId="18" xfId="0" applyNumberFormat="1" applyFont="1" applyBorder="1" applyAlignment="1">
      <alignment horizontal="right" vertical="center" wrapText="1"/>
    </xf>
    <xf numFmtId="3" fontId="7" fillId="0" borderId="19" xfId="0" applyNumberFormat="1" applyFont="1" applyBorder="1" applyAlignment="1">
      <alignment horizontal="right" vertical="center"/>
    </xf>
    <xf numFmtId="3" fontId="7" fillId="0" borderId="18" xfId="0" applyNumberFormat="1" applyFont="1" applyFill="1" applyBorder="1" applyAlignment="1">
      <alignment horizontal="right" vertical="center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5" fillId="0" borderId="22" xfId="0" applyNumberFormat="1" applyFont="1" applyBorder="1" applyAlignment="1">
      <alignment horizontal="right" vertical="center" wrapText="1"/>
    </xf>
    <xf numFmtId="0" fontId="7" fillId="0" borderId="48" xfId="0" applyFont="1" applyBorder="1" applyAlignment="1">
      <alignment vertical="center"/>
    </xf>
    <xf numFmtId="3" fontId="7" fillId="0" borderId="36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35" xfId="0" applyNumberFormat="1" applyFont="1" applyBorder="1" applyAlignment="1">
      <alignment horizontal="right" vertical="center" wrapText="1"/>
    </xf>
    <xf numFmtId="3" fontId="7" fillId="0" borderId="31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/>
    </xf>
    <xf numFmtId="3" fontId="7" fillId="0" borderId="30" xfId="0" applyNumberFormat="1" applyFont="1" applyBorder="1" applyAlignment="1">
      <alignment horizontal="right" vertical="center"/>
    </xf>
    <xf numFmtId="3" fontId="5" fillId="0" borderId="52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7" fillId="0" borderId="50" xfId="0" applyFont="1" applyBorder="1" applyAlignment="1">
      <alignment vertical="center"/>
    </xf>
    <xf numFmtId="3" fontId="7" fillId="0" borderId="9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3" fontId="7" fillId="0" borderId="10" xfId="0" applyNumberFormat="1" applyFont="1" applyBorder="1" applyAlignment="1">
      <alignment horizontal="right" vertical="center" wrapText="1"/>
    </xf>
    <xf numFmtId="3" fontId="7" fillId="0" borderId="23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/>
    </xf>
    <xf numFmtId="3" fontId="7" fillId="0" borderId="24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0" fontId="7" fillId="0" borderId="48" xfId="0" applyFont="1" applyFill="1" applyBorder="1" applyAlignment="1">
      <alignment vertical="center"/>
    </xf>
    <xf numFmtId="0" fontId="5" fillId="0" borderId="34" xfId="0" applyFont="1" applyBorder="1" applyAlignment="1">
      <alignment vertical="center" wrapText="1"/>
    </xf>
    <xf numFmtId="3" fontId="5" fillId="0" borderId="57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0" fontId="7" fillId="0" borderId="50" xfId="0" applyFont="1" applyFill="1" applyBorder="1" applyAlignment="1">
      <alignment vertical="center"/>
    </xf>
    <xf numFmtId="3" fontId="7" fillId="0" borderId="56" xfId="0" applyNumberFormat="1" applyFont="1" applyBorder="1" applyAlignment="1">
      <alignment horizontal="right" vertical="center" wrapText="1"/>
    </xf>
    <xf numFmtId="0" fontId="7" fillId="0" borderId="48" xfId="0" applyFont="1" applyBorder="1" applyAlignment="1">
      <alignment vertical="center" wrapText="1"/>
    </xf>
    <xf numFmtId="0" fontId="5" fillId="0" borderId="48" xfId="0" applyFont="1" applyBorder="1" applyAlignment="1">
      <alignment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35" xfId="0" applyNumberFormat="1" applyFont="1" applyBorder="1" applyAlignment="1">
      <alignment horizontal="right" vertical="center" wrapText="1"/>
    </xf>
    <xf numFmtId="3" fontId="5" fillId="0" borderId="31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/>
    </xf>
    <xf numFmtId="3" fontId="5" fillId="0" borderId="30" xfId="0" applyNumberFormat="1" applyFont="1" applyBorder="1" applyAlignment="1">
      <alignment horizontal="right" vertical="center"/>
    </xf>
    <xf numFmtId="0" fontId="5" fillId="0" borderId="34" xfId="0" applyFont="1" applyBorder="1" applyAlignment="1">
      <alignment vertical="center"/>
    </xf>
    <xf numFmtId="3" fontId="5" fillId="0" borderId="29" xfId="0" applyNumberFormat="1" applyFont="1" applyBorder="1" applyAlignment="1">
      <alignment horizontal="right" vertical="center"/>
    </xf>
    <xf numFmtId="3" fontId="34" fillId="0" borderId="1" xfId="98" applyNumberFormat="1" applyFont="1" applyBorder="1" applyAlignment="1">
      <alignment horizontal="right"/>
    </xf>
    <xf numFmtId="3" fontId="34" fillId="0" borderId="2" xfId="98" applyNumberFormat="1" applyFont="1" applyBorder="1" applyAlignment="1">
      <alignment horizontal="right"/>
    </xf>
    <xf numFmtId="3" fontId="35" fillId="0" borderId="6" xfId="98" applyNumberFormat="1" applyFont="1" applyBorder="1"/>
    <xf numFmtId="3" fontId="35" fillId="0" borderId="5" xfId="98" applyNumberFormat="1" applyFont="1" applyBorder="1"/>
    <xf numFmtId="3" fontId="34" fillId="0" borderId="2" xfId="98" applyNumberFormat="1" applyFont="1" applyBorder="1"/>
    <xf numFmtId="3" fontId="35" fillId="0" borderId="4" xfId="98" applyNumberFormat="1" applyFont="1" applyBorder="1"/>
    <xf numFmtId="3" fontId="35" fillId="0" borderId="11" xfId="98" applyNumberFormat="1" applyFont="1" applyBorder="1"/>
    <xf numFmtId="3" fontId="34" fillId="0" borderId="13" xfId="98" applyNumberFormat="1" applyFont="1" applyBorder="1"/>
    <xf numFmtId="165" fontId="5" fillId="0" borderId="16" xfId="0" applyNumberFormat="1" applyFont="1" applyFill="1" applyBorder="1" applyAlignment="1">
      <alignment horizontal="center" vertical="center" wrapText="1"/>
    </xf>
    <xf numFmtId="165" fontId="5" fillId="0" borderId="17" xfId="0" applyNumberFormat="1" applyFont="1" applyFill="1" applyBorder="1" applyAlignment="1">
      <alignment horizontal="center" vertical="center" wrapText="1"/>
    </xf>
    <xf numFmtId="165" fontId="5" fillId="0" borderId="19" xfId="0" applyNumberFormat="1" applyFont="1" applyFill="1" applyBorder="1" applyAlignment="1" applyProtection="1">
      <alignment horizontal="right" vertical="center" wrapText="1"/>
    </xf>
    <xf numFmtId="3" fontId="5" fillId="0" borderId="19" xfId="0" applyNumberFormat="1" applyFont="1" applyFill="1" applyBorder="1" applyAlignment="1" applyProtection="1">
      <alignment horizontal="right" vertical="center" wrapText="1"/>
    </xf>
    <xf numFmtId="3" fontId="35" fillId="0" borderId="19" xfId="0" applyNumberFormat="1" applyFont="1" applyFill="1" applyBorder="1" applyAlignment="1" applyProtection="1">
      <alignment vertical="center" wrapText="1"/>
      <protection locked="0"/>
    </xf>
    <xf numFmtId="3" fontId="5" fillId="0" borderId="19" xfId="0" applyNumberFormat="1" applyFont="1" applyFill="1" applyBorder="1" applyAlignment="1" applyProtection="1">
      <alignment vertical="center" wrapText="1"/>
      <protection locked="0"/>
    </xf>
    <xf numFmtId="3" fontId="35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24" xfId="0" applyNumberFormat="1" applyFont="1" applyFill="1" applyBorder="1" applyAlignment="1" applyProtection="1">
      <alignment vertical="center" wrapText="1"/>
      <protection locked="0"/>
    </xf>
    <xf numFmtId="3" fontId="5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35" fillId="0" borderId="0" xfId="0" applyNumberFormat="1" applyFont="1" applyFill="1" applyBorder="1" applyAlignment="1">
      <alignment vertical="center" wrapText="1"/>
    </xf>
    <xf numFmtId="3" fontId="35" fillId="0" borderId="30" xfId="0" applyNumberFormat="1" applyFont="1" applyFill="1" applyBorder="1" applyAlignment="1" applyProtection="1">
      <alignment horizontal="right" vertical="center" wrapText="1"/>
      <protection locked="0"/>
    </xf>
    <xf numFmtId="3" fontId="34" fillId="0" borderId="19" xfId="0" applyNumberFormat="1" applyFont="1" applyFill="1" applyBorder="1" applyAlignment="1" applyProtection="1">
      <alignment vertical="center" wrapText="1"/>
      <protection locked="0"/>
    </xf>
    <xf numFmtId="3" fontId="5" fillId="0" borderId="30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9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61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 applyProtection="1">
      <alignment horizontal="center" vertical="center" wrapText="1"/>
    </xf>
    <xf numFmtId="165" fontId="10" fillId="0" borderId="8" xfId="0" applyNumberFormat="1" applyFont="1" applyFill="1" applyBorder="1" applyAlignment="1" applyProtection="1">
      <alignment vertical="center" wrapText="1"/>
      <protection locked="0"/>
    </xf>
    <xf numFmtId="165" fontId="35" fillId="0" borderId="8" xfId="0" applyNumberFormat="1" applyFont="1" applyFill="1" applyBorder="1" applyAlignment="1" applyProtection="1">
      <alignment vertical="center" wrapText="1"/>
      <protection locked="0"/>
    </xf>
    <xf numFmtId="165" fontId="7" fillId="0" borderId="8" xfId="0" applyNumberFormat="1" applyFont="1" applyFill="1" applyBorder="1" applyAlignment="1" applyProtection="1">
      <alignment horizontal="left" vertical="center" wrapText="1"/>
      <protection locked="0"/>
    </xf>
    <xf numFmtId="165" fontId="7" fillId="0" borderId="8" xfId="0" applyNumberFormat="1" applyFont="1" applyFill="1" applyBorder="1" applyAlignment="1" applyProtection="1">
      <alignment vertical="center" wrapText="1"/>
      <protection locked="0"/>
    </xf>
    <xf numFmtId="165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9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57" xfId="0" applyNumberFormat="1" applyFont="1" applyFill="1" applyBorder="1" applyAlignment="1" applyProtection="1">
      <alignment vertical="center" wrapText="1"/>
      <protection locked="0"/>
    </xf>
    <xf numFmtId="165" fontId="3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3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5" fontId="5" fillId="0" borderId="36" xfId="0" applyNumberFormat="1" applyFont="1" applyFill="1" applyBorder="1" applyAlignment="1" applyProtection="1">
      <alignment vertical="center" wrapText="1"/>
      <protection locked="0"/>
    </xf>
    <xf numFmtId="165" fontId="5" fillId="0" borderId="8" xfId="0" applyNumberFormat="1" applyFont="1" applyFill="1" applyBorder="1" applyAlignment="1" applyProtection="1">
      <alignment vertical="center" wrapText="1"/>
      <protection locked="0"/>
    </xf>
    <xf numFmtId="165" fontId="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5" fillId="0" borderId="39" xfId="0" applyNumberFormat="1" applyFont="1" applyFill="1" applyBorder="1" applyAlignment="1">
      <alignment horizontal="left" vertical="center" wrapText="1"/>
    </xf>
    <xf numFmtId="165" fontId="5" fillId="0" borderId="40" xfId="0" applyNumberFormat="1" applyFont="1" applyFill="1" applyBorder="1" applyAlignment="1">
      <alignment horizontal="center" vertical="center" wrapText="1"/>
    </xf>
    <xf numFmtId="165" fontId="35" fillId="0" borderId="41" xfId="0" applyNumberFormat="1" applyFont="1" applyFill="1" applyBorder="1" applyAlignment="1">
      <alignment horizontal="center" vertical="center" wrapText="1"/>
    </xf>
    <xf numFmtId="3" fontId="34" fillId="0" borderId="49" xfId="98" applyNumberFormat="1" applyFont="1" applyBorder="1"/>
    <xf numFmtId="3" fontId="35" fillId="0" borderId="28" xfId="98" applyNumberFormat="1" applyFont="1" applyBorder="1"/>
    <xf numFmtId="3" fontId="34" fillId="0" borderId="28" xfId="98" applyNumberFormat="1" applyFont="1" applyBorder="1"/>
    <xf numFmtId="3" fontId="34" fillId="0" borderId="48" xfId="98" applyNumberFormat="1" applyFont="1" applyBorder="1"/>
    <xf numFmtId="3" fontId="34" fillId="0" borderId="76" xfId="98" applyNumberFormat="1" applyFont="1" applyBorder="1"/>
    <xf numFmtId="3" fontId="34" fillId="0" borderId="41" xfId="98" applyNumberFormat="1" applyFont="1" applyBorder="1"/>
    <xf numFmtId="3" fontId="34" fillId="0" borderId="33" xfId="98" applyNumberFormat="1" applyFont="1" applyBorder="1"/>
    <xf numFmtId="3" fontId="34" fillId="0" borderId="6" xfId="98" applyNumberFormat="1" applyFont="1" applyBorder="1"/>
    <xf numFmtId="3" fontId="34" fillId="0" borderId="4" xfId="98" applyNumberFormat="1" applyFont="1" applyBorder="1"/>
    <xf numFmtId="3" fontId="34" fillId="0" borderId="38" xfId="98" applyNumberFormat="1" applyFont="1" applyBorder="1"/>
    <xf numFmtId="3" fontId="35" fillId="0" borderId="76" xfId="98" applyNumberFormat="1" applyFont="1" applyBorder="1"/>
    <xf numFmtId="3" fontId="5" fillId="0" borderId="75" xfId="1" applyNumberFormat="1" applyFont="1" applyBorder="1" applyAlignment="1">
      <alignment horizontal="center" vertical="center" wrapText="1"/>
    </xf>
    <xf numFmtId="3" fontId="7" fillId="0" borderId="28" xfId="0" applyNumberFormat="1" applyFont="1" applyBorder="1"/>
    <xf numFmtId="3" fontId="5" fillId="0" borderId="1" xfId="1" applyNumberFormat="1" applyFont="1" applyBorder="1" applyAlignment="1">
      <alignment horizontal="center" vertical="center" wrapText="1"/>
    </xf>
    <xf numFmtId="0" fontId="36" fillId="0" borderId="1" xfId="0" applyFont="1" applyBorder="1"/>
    <xf numFmtId="3" fontId="6" fillId="0" borderId="1" xfId="1" applyNumberFormat="1" applyFont="1" applyFill="1" applyBorder="1" applyAlignment="1">
      <alignment horizontal="right" wrapText="1"/>
    </xf>
    <xf numFmtId="3" fontId="6" fillId="0" borderId="1" xfId="1" applyNumberFormat="1" applyFont="1" applyFill="1" applyBorder="1" applyAlignment="1">
      <alignment horizontal="right" vertical="top" wrapText="1"/>
    </xf>
    <xf numFmtId="164" fontId="8" fillId="0" borderId="8" xfId="1" applyNumberFormat="1" applyFont="1" applyFill="1" applyBorder="1" applyAlignment="1">
      <alignment horizontal="right" vertical="top" wrapText="1"/>
    </xf>
    <xf numFmtId="3" fontId="4" fillId="0" borderId="1" xfId="1" applyNumberFormat="1" applyFont="1" applyFill="1" applyBorder="1" applyAlignment="1">
      <alignment horizontal="right" vertical="top" wrapText="1"/>
    </xf>
    <xf numFmtId="3" fontId="6" fillId="0" borderId="5" xfId="1" applyNumberFormat="1" applyFont="1" applyFill="1" applyBorder="1" applyAlignment="1">
      <alignment horizontal="right" vertical="top" wrapText="1"/>
    </xf>
    <xf numFmtId="3" fontId="7" fillId="0" borderId="1" xfId="1" applyNumberFormat="1" applyFont="1" applyFill="1" applyBorder="1" applyAlignment="1">
      <alignment horizontal="right" vertical="top" wrapText="1"/>
    </xf>
    <xf numFmtId="3" fontId="5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right" wrapText="1"/>
    </xf>
    <xf numFmtId="0" fontId="5" fillId="0" borderId="22" xfId="46" applyFont="1" applyBorder="1" applyAlignment="1">
      <alignment horizontal="center" vertical="center"/>
    </xf>
    <xf numFmtId="0" fontId="5" fillId="0" borderId="53" xfId="46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right" vertical="top"/>
    </xf>
    <xf numFmtId="0" fontId="41" fillId="0" borderId="41" xfId="0" applyFont="1" applyBorder="1" applyAlignment="1">
      <alignment horizontal="left" vertical="center"/>
    </xf>
    <xf numFmtId="3" fontId="41" fillId="4" borderId="41" xfId="0" applyNumberFormat="1" applyFont="1" applyFill="1" applyBorder="1" applyAlignment="1">
      <alignment horizontal="right" vertical="center" wrapText="1"/>
    </xf>
    <xf numFmtId="0" fontId="6" fillId="0" borderId="15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3" fontId="7" fillId="0" borderId="16" xfId="1" applyNumberFormat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3" fontId="19" fillId="0" borderId="17" xfId="2" applyNumberFormat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right" vertical="center" wrapText="1"/>
    </xf>
    <xf numFmtId="4" fontId="20" fillId="0" borderId="19" xfId="2" applyNumberFormat="1" applyFont="1" applyFill="1" applyBorder="1"/>
    <xf numFmtId="0" fontId="9" fillId="0" borderId="18" xfId="0" applyFont="1" applyFill="1" applyBorder="1" applyAlignment="1">
      <alignment horizontal="right" vertical="center"/>
    </xf>
    <xf numFmtId="0" fontId="9" fillId="0" borderId="18" xfId="1" applyFont="1" applyFill="1" applyBorder="1" applyAlignment="1">
      <alignment horizontal="right" vertical="center" wrapText="1"/>
    </xf>
    <xf numFmtId="0" fontId="7" fillId="0" borderId="18" xfId="0" applyFont="1" applyFill="1" applyBorder="1" applyAlignment="1">
      <alignment horizontal="right" vertical="center"/>
    </xf>
    <xf numFmtId="0" fontId="7" fillId="0" borderId="18" xfId="1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horizontal="right" vertical="center"/>
    </xf>
    <xf numFmtId="3" fontId="5" fillId="0" borderId="21" xfId="0" applyNumberFormat="1" applyFont="1" applyFill="1" applyBorder="1"/>
    <xf numFmtId="4" fontId="20" fillId="0" borderId="22" xfId="2" applyNumberFormat="1" applyFont="1" applyFill="1" applyBorder="1"/>
    <xf numFmtId="0" fontId="6" fillId="0" borderId="16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right" vertical="center"/>
    </xf>
    <xf numFmtId="0" fontId="4" fillId="0" borderId="18" xfId="1" applyFont="1" applyFill="1" applyBorder="1" applyAlignment="1">
      <alignment horizontal="right" vertical="center"/>
    </xf>
    <xf numFmtId="4" fontId="20" fillId="0" borderId="19" xfId="2" applyNumberFormat="1" applyFont="1" applyFill="1" applyBorder="1" applyAlignment="1">
      <alignment horizontal="right"/>
    </xf>
    <xf numFmtId="4" fontId="19" fillId="0" borderId="19" xfId="2" applyNumberFormat="1" applyFont="1" applyFill="1" applyBorder="1" applyAlignment="1">
      <alignment horizontal="right"/>
    </xf>
    <xf numFmtId="4" fontId="19" fillId="0" borderId="19" xfId="2" applyNumberFormat="1" applyFont="1" applyFill="1" applyBorder="1"/>
    <xf numFmtId="4" fontId="20" fillId="0" borderId="22" xfId="2" applyNumberFormat="1" applyFont="1" applyFill="1" applyBorder="1" applyAlignment="1">
      <alignment horizontal="right"/>
    </xf>
    <xf numFmtId="4" fontId="20" fillId="0" borderId="0" xfId="2" applyNumberFormat="1" applyFont="1" applyFill="1" applyBorder="1" applyAlignment="1">
      <alignment horizontal="center" vertical="center"/>
    </xf>
    <xf numFmtId="49" fontId="18" fillId="0" borderId="12" xfId="2" applyNumberFormat="1" applyFont="1" applyFill="1" applyBorder="1" applyAlignment="1" applyProtection="1">
      <alignment horizontal="left" vertical="center" wrapText="1" indent="1"/>
    </xf>
    <xf numFmtId="3" fontId="18" fillId="0" borderId="13" xfId="2" applyNumberFormat="1" applyFont="1" applyFill="1" applyBorder="1" applyAlignment="1" applyProtection="1">
      <alignment vertical="center" wrapText="1"/>
    </xf>
    <xf numFmtId="3" fontId="18" fillId="0" borderId="13" xfId="2" applyNumberFormat="1" applyFont="1" applyFill="1" applyBorder="1" applyAlignment="1" applyProtection="1">
      <alignment horizontal="right" vertical="center" wrapText="1"/>
    </xf>
    <xf numFmtId="4" fontId="20" fillId="0" borderId="14" xfId="2" applyNumberFormat="1" applyFont="1" applyFill="1" applyBorder="1" applyAlignment="1">
      <alignment horizontal="center" vertical="center"/>
    </xf>
    <xf numFmtId="49" fontId="18" fillId="0" borderId="15" xfId="2" applyNumberFormat="1" applyFont="1" applyFill="1" applyBorder="1" applyAlignment="1" applyProtection="1">
      <alignment horizontal="left" vertical="center" wrapText="1" indent="1"/>
    </xf>
    <xf numFmtId="3" fontId="18" fillId="0" borderId="16" xfId="2" applyNumberFormat="1" applyFont="1" applyFill="1" applyBorder="1" applyAlignment="1" applyProtection="1">
      <alignment vertical="center" wrapText="1"/>
    </xf>
    <xf numFmtId="3" fontId="18" fillId="0" borderId="16" xfId="2" applyNumberFormat="1" applyFont="1" applyFill="1" applyBorder="1" applyAlignment="1" applyProtection="1">
      <alignment horizontal="right" vertical="center" wrapText="1"/>
    </xf>
    <xf numFmtId="49" fontId="13" fillId="0" borderId="18" xfId="2" applyNumberFormat="1" applyFont="1" applyFill="1" applyBorder="1" applyAlignment="1" applyProtection="1">
      <alignment horizontal="left" vertical="center" wrapText="1" indent="1"/>
    </xf>
    <xf numFmtId="49" fontId="13" fillId="0" borderId="20" xfId="2" applyNumberFormat="1" applyFont="1" applyFill="1" applyBorder="1" applyAlignment="1" applyProtection="1">
      <alignment horizontal="left" vertical="center" wrapText="1" indent="1"/>
    </xf>
    <xf numFmtId="3" fontId="13" fillId="0" borderId="21" xfId="2" applyNumberFormat="1" applyFont="1" applyFill="1" applyBorder="1" applyAlignment="1" applyProtection="1">
      <alignment horizontal="left" vertical="center" wrapText="1" indent="1"/>
    </xf>
    <xf numFmtId="3" fontId="13" fillId="0" borderId="21" xfId="2" applyNumberFormat="1" applyFont="1" applyFill="1" applyBorder="1" applyAlignment="1" applyProtection="1">
      <alignment horizontal="right" vertical="center" wrapText="1"/>
    </xf>
    <xf numFmtId="3" fontId="11" fillId="0" borderId="14" xfId="2" applyNumberFormat="1" applyFont="1" applyFill="1" applyBorder="1"/>
    <xf numFmtId="4" fontId="20" fillId="0" borderId="42" xfId="2" applyNumberFormat="1" applyFont="1" applyFill="1" applyBorder="1" applyAlignment="1">
      <alignment horizontal="center" vertical="center"/>
    </xf>
    <xf numFmtId="4" fontId="20" fillId="0" borderId="37" xfId="2" applyNumberFormat="1" applyFont="1" applyFill="1" applyBorder="1" applyAlignment="1">
      <alignment horizontal="center" vertical="center"/>
    </xf>
    <xf numFmtId="4" fontId="20" fillId="0" borderId="17" xfId="2" applyNumberFormat="1" applyFont="1" applyFill="1" applyBorder="1" applyAlignment="1">
      <alignment horizontal="center" vertical="center"/>
    </xf>
    <xf numFmtId="4" fontId="20" fillId="0" borderId="19" xfId="2" applyNumberFormat="1" applyFont="1" applyFill="1" applyBorder="1" applyAlignment="1">
      <alignment horizontal="center" vertical="center"/>
    </xf>
    <xf numFmtId="4" fontId="20" fillId="0" borderId="22" xfId="2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/>
    <xf numFmtId="2" fontId="5" fillId="0" borderId="1" xfId="0" applyNumberFormat="1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71" fillId="0" borderId="17" xfId="42" applyFont="1" applyBorder="1"/>
    <xf numFmtId="0" fontId="71" fillId="0" borderId="19" xfId="42" applyFont="1" applyBorder="1"/>
    <xf numFmtId="0" fontId="4" fillId="0" borderId="1" xfId="42" applyFont="1" applyBorder="1" applyAlignment="1">
      <alignment horizontal="center" wrapText="1"/>
    </xf>
    <xf numFmtId="0" fontId="4" fillId="0" borderId="19" xfId="42" applyFont="1" applyBorder="1" applyAlignment="1">
      <alignment horizontal="center" vertical="center" wrapText="1"/>
    </xf>
    <xf numFmtId="3" fontId="4" fillId="0" borderId="21" xfId="42" applyNumberFormat="1" applyFont="1" applyBorder="1"/>
    <xf numFmtId="0" fontId="4" fillId="0" borderId="18" xfId="42" applyFont="1" applyBorder="1" applyAlignment="1">
      <alignment horizontal="center"/>
    </xf>
    <xf numFmtId="0" fontId="4" fillId="0" borderId="1" xfId="42" applyFont="1" applyBorder="1" applyAlignment="1">
      <alignment horizontal="center"/>
    </xf>
    <xf numFmtId="3" fontId="4" fillId="0" borderId="21" xfId="42" applyNumberFormat="1" applyFont="1" applyBorder="1" applyAlignment="1">
      <alignment horizontal="right"/>
    </xf>
    <xf numFmtId="2" fontId="71" fillId="0" borderId="19" xfId="42" applyNumberFormat="1" applyFont="1" applyBorder="1"/>
    <xf numFmtId="2" fontId="71" fillId="0" borderId="22" xfId="42" applyNumberFormat="1" applyFont="1" applyBorder="1"/>
    <xf numFmtId="2" fontId="5" fillId="0" borderId="15" xfId="50" applyNumberFormat="1" applyFont="1" applyBorder="1" applyAlignment="1">
      <alignment horizontal="center" vertical="center" wrapText="1"/>
    </xf>
    <xf numFmtId="2" fontId="4" fillId="0" borderId="16" xfId="42" applyNumberFormat="1" applyFont="1" applyBorder="1" applyAlignment="1">
      <alignment horizontal="center" wrapText="1"/>
    </xf>
    <xf numFmtId="2" fontId="4" fillId="0" borderId="17" xfId="42" applyNumberFormat="1" applyFont="1" applyBorder="1" applyAlignment="1">
      <alignment horizontal="center" vertical="center" wrapText="1"/>
    </xf>
    <xf numFmtId="2" fontId="7" fillId="0" borderId="18" xfId="50" applyNumberFormat="1" applyFont="1" applyBorder="1"/>
    <xf numFmtId="2" fontId="7" fillId="0" borderId="19" xfId="50" applyNumberFormat="1" applyFont="1" applyBorder="1"/>
    <xf numFmtId="2" fontId="5" fillId="0" borderId="20" xfId="50" applyNumberFormat="1" applyFont="1" applyBorder="1"/>
    <xf numFmtId="2" fontId="7" fillId="0" borderId="22" xfId="50" applyNumberFormat="1" applyFont="1" applyBorder="1"/>
    <xf numFmtId="0" fontId="4" fillId="0" borderId="16" xfId="42" applyFont="1" applyBorder="1" applyAlignment="1">
      <alignment horizontal="center" wrapText="1"/>
    </xf>
    <xf numFmtId="0" fontId="4" fillId="0" borderId="17" xfId="42" applyFont="1" applyBorder="1" applyAlignment="1">
      <alignment horizontal="center" vertical="center" wrapText="1"/>
    </xf>
    <xf numFmtId="0" fontId="7" fillId="0" borderId="1" xfId="50" applyFont="1" applyBorder="1"/>
    <xf numFmtId="0" fontId="5" fillId="0" borderId="17" xfId="50" applyFont="1" applyBorder="1" applyAlignment="1">
      <alignment horizontal="center" vertical="center" wrapText="1"/>
    </xf>
    <xf numFmtId="3" fontId="5" fillId="0" borderId="1" xfId="50" applyNumberFormat="1" applyFont="1" applyBorder="1"/>
    <xf numFmtId="3" fontId="7" fillId="0" borderId="4" xfId="0" applyNumberFormat="1" applyFont="1" applyBorder="1"/>
    <xf numFmtId="0" fontId="38" fillId="0" borderId="0" xfId="0" applyFont="1" applyBorder="1"/>
    <xf numFmtId="3" fontId="41" fillId="0" borderId="56" xfId="0" applyNumberFormat="1" applyFont="1" applyBorder="1"/>
    <xf numFmtId="3" fontId="7" fillId="0" borderId="52" xfId="0" applyNumberFormat="1" applyFont="1" applyBorder="1"/>
    <xf numFmtId="3" fontId="7" fillId="0" borderId="19" xfId="0" applyNumberFormat="1" applyFont="1" applyBorder="1"/>
    <xf numFmtId="3" fontId="7" fillId="0" borderId="1" xfId="50" applyNumberFormat="1" applyFont="1" applyFill="1" applyBorder="1"/>
    <xf numFmtId="3" fontId="35" fillId="0" borderId="1" xfId="0" applyNumberFormat="1" applyFont="1" applyFill="1" applyBorder="1"/>
    <xf numFmtId="49" fontId="35" fillId="0" borderId="1" xfId="0" applyNumberFormat="1" applyFont="1" applyBorder="1" applyAlignment="1">
      <alignment horizontal="center" vertical="center" wrapText="1"/>
    </xf>
    <xf numFmtId="0" fontId="7" fillId="0" borderId="23" xfId="50" applyFont="1" applyBorder="1"/>
    <xf numFmtId="0" fontId="7" fillId="0" borderId="2" xfId="50" applyFont="1" applyBorder="1"/>
    <xf numFmtId="3" fontId="7" fillId="0" borderId="2" xfId="50" applyNumberFormat="1" applyFont="1" applyBorder="1"/>
    <xf numFmtId="2" fontId="7" fillId="0" borderId="23" xfId="50" applyNumberFormat="1" applyFont="1" applyBorder="1"/>
    <xf numFmtId="2" fontId="7" fillId="0" borderId="24" xfId="50" applyNumberFormat="1" applyFont="1" applyBorder="1"/>
    <xf numFmtId="3" fontId="7" fillId="0" borderId="2" xfId="50" applyNumberFormat="1" applyFont="1" applyFill="1" applyBorder="1"/>
    <xf numFmtId="49" fontId="35" fillId="0" borderId="1" xfId="0" applyNumberFormat="1" applyFont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vertical="center" wrapText="1"/>
    </xf>
    <xf numFmtId="0" fontId="35" fillId="0" borderId="1" xfId="0" applyFont="1" applyFill="1" applyBorder="1" applyAlignment="1">
      <alignment vertical="center" wrapText="1"/>
    </xf>
    <xf numFmtId="3" fontId="35" fillId="0" borderId="1" xfId="0" applyNumberFormat="1" applyFont="1" applyFill="1" applyBorder="1" applyAlignment="1">
      <alignment vertical="center" wrapText="1"/>
    </xf>
    <xf numFmtId="0" fontId="35" fillId="0" borderId="0" xfId="0" applyFont="1" applyFill="1" applyAlignment="1">
      <alignment vertical="center"/>
    </xf>
    <xf numFmtId="0" fontId="35" fillId="0" borderId="0" xfId="0" applyFont="1" applyFill="1"/>
    <xf numFmtId="0" fontId="4" fillId="0" borderId="18" xfId="42" applyFont="1" applyBorder="1"/>
    <xf numFmtId="3" fontId="4" fillId="0" borderId="1" xfId="42" applyNumberFormat="1" applyFont="1" applyBorder="1"/>
    <xf numFmtId="2" fontId="76" fillId="0" borderId="19" xfId="42" applyNumberFormat="1" applyFont="1" applyBorder="1"/>
    <xf numFmtId="0" fontId="76" fillId="0" borderId="0" xfId="42" applyFont="1"/>
    <xf numFmtId="2" fontId="5" fillId="0" borderId="23" xfId="50" applyNumberFormat="1" applyFont="1" applyBorder="1"/>
    <xf numFmtId="3" fontId="5" fillId="0" borderId="2" xfId="50" applyNumberFormat="1" applyFont="1" applyBorder="1"/>
    <xf numFmtId="0" fontId="5" fillId="0" borderId="0" xfId="50" applyFont="1"/>
    <xf numFmtId="3" fontId="5" fillId="0" borderId="4" xfId="50" applyNumberFormat="1" applyFont="1" applyBorder="1" applyAlignment="1"/>
    <xf numFmtId="2" fontId="5" fillId="0" borderId="19" xfId="50" applyNumberFormat="1" applyFont="1" applyBorder="1"/>
    <xf numFmtId="0" fontId="6" fillId="0" borderId="19" xfId="1" applyFont="1" applyFill="1" applyBorder="1" applyAlignment="1">
      <alignment horizontal="left" vertical="center" wrapText="1"/>
    </xf>
    <xf numFmtId="0" fontId="6" fillId="0" borderId="30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0" fillId="0" borderId="0" xfId="0" applyFont="1" applyBorder="1"/>
    <xf numFmtId="3" fontId="35" fillId="0" borderId="7" xfId="0" applyNumberFormat="1" applyFont="1" applyBorder="1"/>
    <xf numFmtId="3" fontId="36" fillId="0" borderId="1" xfId="0" applyNumberFormat="1" applyFont="1" applyFill="1" applyBorder="1" applyAlignment="1">
      <alignment vertical="center" wrapText="1"/>
    </xf>
    <xf numFmtId="164" fontId="8" fillId="0" borderId="4" xfId="1" applyNumberFormat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left" vertical="center" wrapText="1"/>
    </xf>
    <xf numFmtId="3" fontId="5" fillId="0" borderId="8" xfId="1" applyNumberFormat="1" applyFont="1" applyBorder="1" applyAlignment="1">
      <alignment horizontal="center" vertical="center" wrapText="1"/>
    </xf>
    <xf numFmtId="3" fontId="7" fillId="0" borderId="8" xfId="1" applyNumberFormat="1" applyFont="1" applyBorder="1"/>
    <xf numFmtId="3" fontId="34" fillId="0" borderId="8" xfId="0" applyNumberFormat="1" applyFont="1" applyBorder="1"/>
    <xf numFmtId="3" fontId="34" fillId="0" borderId="9" xfId="0" applyNumberFormat="1" applyFont="1" applyBorder="1"/>
    <xf numFmtId="3" fontId="34" fillId="0" borderId="36" xfId="0" applyNumberFormat="1" applyFont="1" applyBorder="1"/>
    <xf numFmtId="3" fontId="34" fillId="0" borderId="57" xfId="0" applyNumberFormat="1" applyFont="1" applyBorder="1"/>
    <xf numFmtId="3" fontId="5" fillId="0" borderId="18" xfId="1" applyNumberFormat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3" fontId="6" fillId="0" borderId="18" xfId="1" applyNumberFormat="1" applyFont="1" applyFill="1" applyBorder="1" applyAlignment="1">
      <alignment horizontal="right" vertical="top" wrapText="1"/>
    </xf>
    <xf numFmtId="3" fontId="6" fillId="0" borderId="19" xfId="1" applyNumberFormat="1" applyFont="1" applyFill="1" applyBorder="1" applyAlignment="1">
      <alignment horizontal="right" vertical="top" wrapText="1"/>
    </xf>
    <xf numFmtId="3" fontId="4" fillId="0" borderId="18" xfId="1" applyNumberFormat="1" applyFont="1" applyFill="1" applyBorder="1" applyAlignment="1">
      <alignment horizontal="right" vertical="top" wrapText="1"/>
    </xf>
    <xf numFmtId="3" fontId="4" fillId="0" borderId="19" xfId="1" applyNumberFormat="1" applyFont="1" applyFill="1" applyBorder="1" applyAlignment="1">
      <alignment horizontal="right" vertical="top" wrapText="1"/>
    </xf>
    <xf numFmtId="0" fontId="6" fillId="0" borderId="18" xfId="1" applyFont="1" applyFill="1" applyBorder="1" applyAlignment="1">
      <alignment horizontal="right" vertical="top" wrapText="1"/>
    </xf>
    <xf numFmtId="3" fontId="6" fillId="0" borderId="18" xfId="1" applyNumberFormat="1" applyFont="1" applyFill="1" applyBorder="1" applyAlignment="1">
      <alignment horizontal="right" wrapText="1"/>
    </xf>
    <xf numFmtId="3" fontId="6" fillId="0" borderId="19" xfId="1" applyNumberFormat="1" applyFont="1" applyFill="1" applyBorder="1" applyAlignment="1">
      <alignment horizontal="right" wrapText="1"/>
    </xf>
    <xf numFmtId="3" fontId="34" fillId="0" borderId="18" xfId="0" applyNumberFormat="1" applyFont="1" applyBorder="1"/>
    <xf numFmtId="3" fontId="34" fillId="0" borderId="19" xfId="0" applyNumberFormat="1" applyFont="1" applyBorder="1"/>
    <xf numFmtId="3" fontId="34" fillId="0" borderId="23" xfId="0" applyNumberFormat="1" applyFont="1" applyBorder="1"/>
    <xf numFmtId="3" fontId="34" fillId="0" borderId="24" xfId="0" applyNumberFormat="1" applyFont="1" applyBorder="1"/>
    <xf numFmtId="0" fontId="6" fillId="0" borderId="49" xfId="1" applyFont="1" applyFill="1" applyBorder="1" applyAlignment="1">
      <alignment horizontal="right" vertical="top" wrapText="1"/>
    </xf>
    <xf numFmtId="0" fontId="6" fillId="0" borderId="28" xfId="1" applyFont="1" applyFill="1" applyBorder="1" applyAlignment="1">
      <alignment horizontal="left" vertical="center" wrapText="1"/>
    </xf>
    <xf numFmtId="3" fontId="34" fillId="0" borderId="31" xfId="0" applyNumberFormat="1" applyFont="1" applyBorder="1"/>
    <xf numFmtId="3" fontId="34" fillId="0" borderId="30" xfId="0" applyNumberFormat="1" applyFont="1" applyBorder="1"/>
    <xf numFmtId="164" fontId="8" fillId="0" borderId="18" xfId="1" applyNumberFormat="1" applyFont="1" applyFill="1" applyBorder="1" applyAlignment="1">
      <alignment horizontal="right" vertical="top" wrapText="1"/>
    </xf>
    <xf numFmtId="164" fontId="8" fillId="0" borderId="28" xfId="1" applyNumberFormat="1" applyFont="1" applyFill="1" applyBorder="1" applyAlignment="1">
      <alignment horizontal="right" vertical="top" wrapText="1"/>
    </xf>
    <xf numFmtId="164" fontId="6" fillId="0" borderId="46" xfId="1" applyNumberFormat="1" applyFont="1" applyFill="1" applyBorder="1" applyAlignment="1">
      <alignment horizontal="right" vertical="top" wrapText="1"/>
    </xf>
    <xf numFmtId="164" fontId="6" fillId="0" borderId="52" xfId="1" applyNumberFormat="1" applyFont="1" applyFill="1" applyBorder="1" applyAlignment="1">
      <alignment horizontal="left" vertical="center" wrapText="1"/>
    </xf>
    <xf numFmtId="3" fontId="6" fillId="0" borderId="31" xfId="1" applyNumberFormat="1" applyFont="1" applyFill="1" applyBorder="1" applyAlignment="1">
      <alignment horizontal="right" vertical="top" wrapText="1"/>
    </xf>
    <xf numFmtId="3" fontId="6" fillId="0" borderId="30" xfId="1" applyNumberFormat="1" applyFont="1" applyFill="1" applyBorder="1" applyAlignment="1">
      <alignment horizontal="right" vertical="top" wrapText="1"/>
    </xf>
    <xf numFmtId="3" fontId="7" fillId="0" borderId="18" xfId="1" applyNumberFormat="1" applyFont="1" applyFill="1" applyBorder="1" applyAlignment="1">
      <alignment horizontal="right" vertical="top" wrapText="1"/>
    </xf>
    <xf numFmtId="3" fontId="7" fillId="0" borderId="19" xfId="1" applyNumberFormat="1" applyFont="1" applyFill="1" applyBorder="1" applyAlignment="1">
      <alignment horizontal="right" vertical="top" wrapText="1"/>
    </xf>
    <xf numFmtId="0" fontId="6" fillId="0" borderId="31" xfId="1" applyFont="1" applyFill="1" applyBorder="1" applyAlignment="1">
      <alignment horizontal="right" vertical="top" wrapText="1"/>
    </xf>
    <xf numFmtId="0" fontId="4" fillId="0" borderId="49" xfId="1" applyFont="1" applyFill="1" applyBorder="1" applyAlignment="1">
      <alignment horizontal="right" vertical="top" wrapText="1"/>
    </xf>
    <xf numFmtId="0" fontId="4" fillId="0" borderId="28" xfId="1" applyFont="1" applyFill="1" applyBorder="1" applyAlignment="1">
      <alignment horizontal="left" vertical="center" wrapText="1"/>
    </xf>
    <xf numFmtId="0" fontId="4" fillId="0" borderId="79" xfId="1" applyFont="1" applyFill="1" applyBorder="1" applyAlignment="1">
      <alignment horizontal="right" vertical="top" wrapText="1"/>
    </xf>
    <xf numFmtId="0" fontId="4" fillId="0" borderId="80" xfId="1" applyFont="1" applyFill="1" applyBorder="1" applyAlignment="1">
      <alignment horizontal="left" vertical="center" wrapText="1"/>
    </xf>
    <xf numFmtId="0" fontId="4" fillId="0" borderId="74" xfId="1" applyFont="1" applyFill="1" applyBorder="1" applyAlignment="1">
      <alignment horizontal="right" vertical="top" wrapText="1"/>
    </xf>
    <xf numFmtId="0" fontId="4" fillId="0" borderId="56" xfId="1" applyFont="1" applyFill="1" applyBorder="1" applyAlignment="1">
      <alignment horizontal="left" vertical="center" wrapText="1"/>
    </xf>
    <xf numFmtId="3" fontId="34" fillId="0" borderId="12" xfId="0" applyNumberFormat="1" applyFont="1" applyBorder="1"/>
    <xf numFmtId="3" fontId="34" fillId="0" borderId="14" xfId="0" applyNumberFormat="1" applyFont="1" applyBorder="1"/>
    <xf numFmtId="168" fontId="34" fillId="0" borderId="9" xfId="98" applyNumberFormat="1" applyFont="1" applyBorder="1" applyAlignment="1">
      <alignment horizontal="center"/>
    </xf>
    <xf numFmtId="168" fontId="34" fillId="0" borderId="2" xfId="98" applyNumberFormat="1" applyFont="1" applyBorder="1" applyAlignment="1">
      <alignment horizontal="center"/>
    </xf>
    <xf numFmtId="168" fontId="34" fillId="0" borderId="23" xfId="98" applyNumberFormat="1" applyFont="1" applyBorder="1" applyAlignment="1">
      <alignment horizontal="center"/>
    </xf>
    <xf numFmtId="168" fontId="34" fillId="0" borderId="24" xfId="98" applyNumberFormat="1" applyFont="1" applyBorder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7" fillId="0" borderId="0" xfId="43" applyFont="1" applyFill="1" applyAlignment="1">
      <alignment horizontal="center" vertical="center" wrapText="1"/>
    </xf>
    <xf numFmtId="0" fontId="7" fillId="0" borderId="0" xfId="43" applyFont="1" applyFill="1" applyAlignment="1">
      <alignment vertical="center" wrapText="1"/>
    </xf>
    <xf numFmtId="3" fontId="7" fillId="0" borderId="0" xfId="43" applyNumberFormat="1" applyFont="1" applyFill="1" applyAlignment="1">
      <alignment horizontal="center" vertical="center" wrapText="1"/>
    </xf>
    <xf numFmtId="0" fontId="9" fillId="0" borderId="0" xfId="43" applyFont="1" applyFill="1" applyAlignment="1">
      <alignment horizontal="center" vertical="center" wrapText="1"/>
    </xf>
    <xf numFmtId="3" fontId="10" fillId="0" borderId="81" xfId="43" applyNumberFormat="1" applyFont="1" applyFill="1" applyBorder="1" applyAlignment="1">
      <alignment horizontal="center" vertical="center" wrapText="1"/>
    </xf>
    <xf numFmtId="3" fontId="9" fillId="0" borderId="82" xfId="43" applyNumberFormat="1" applyFont="1" applyFill="1" applyBorder="1" applyAlignment="1">
      <alignment horizontal="center" vertical="center" wrapText="1"/>
    </xf>
    <xf numFmtId="0" fontId="9" fillId="0" borderId="82" xfId="43" applyFont="1" applyFill="1" applyBorder="1" applyAlignment="1">
      <alignment horizontal="left" vertical="center" wrapText="1" indent="2"/>
    </xf>
    <xf numFmtId="0" fontId="9" fillId="0" borderId="83" xfId="43" applyFont="1" applyFill="1" applyBorder="1" applyAlignment="1">
      <alignment horizontal="center" vertical="center" wrapText="1"/>
    </xf>
    <xf numFmtId="3" fontId="10" fillId="0" borderId="84" xfId="43" applyNumberFormat="1" applyFont="1" applyFill="1" applyBorder="1" applyAlignment="1">
      <alignment horizontal="center" vertical="center" wrapText="1"/>
    </xf>
    <xf numFmtId="3" fontId="9" fillId="0" borderId="85" xfId="43" applyNumberFormat="1" applyFont="1" applyFill="1" applyBorder="1" applyAlignment="1">
      <alignment horizontal="center" vertical="center" wrapText="1"/>
    </xf>
    <xf numFmtId="0" fontId="9" fillId="0" borderId="85" xfId="43" applyFont="1" applyFill="1" applyBorder="1" applyAlignment="1">
      <alignment horizontal="left" vertical="center" wrapText="1" indent="2"/>
    </xf>
    <xf numFmtId="0" fontId="9" fillId="0" borderId="86" xfId="43" applyFont="1" applyFill="1" applyBorder="1" applyAlignment="1">
      <alignment horizontal="center" vertical="center" wrapText="1"/>
    </xf>
    <xf numFmtId="0" fontId="5" fillId="0" borderId="0" xfId="43" applyFont="1" applyFill="1" applyAlignment="1">
      <alignment horizontal="center" vertical="center" wrapText="1"/>
    </xf>
    <xf numFmtId="3" fontId="5" fillId="0" borderId="84" xfId="43" applyNumberFormat="1" applyFont="1" applyFill="1" applyBorder="1" applyAlignment="1">
      <alignment horizontal="center" vertical="center" wrapText="1"/>
    </xf>
    <xf numFmtId="3" fontId="5" fillId="0" borderId="85" xfId="43" applyNumberFormat="1" applyFont="1" applyFill="1" applyBorder="1" applyAlignment="1">
      <alignment horizontal="center" vertical="center" wrapText="1"/>
    </xf>
    <xf numFmtId="0" fontId="5" fillId="0" borderId="85" xfId="43" applyFont="1" applyFill="1" applyBorder="1" applyAlignment="1">
      <alignment horizontal="left" vertical="center" wrapText="1" indent="1"/>
    </xf>
    <xf numFmtId="0" fontId="7" fillId="0" borderId="86" xfId="43" applyFont="1" applyFill="1" applyBorder="1" applyAlignment="1">
      <alignment horizontal="center" vertical="center" wrapText="1"/>
    </xf>
    <xf numFmtId="3" fontId="7" fillId="0" borderId="85" xfId="43" applyNumberFormat="1" applyFont="1" applyFill="1" applyBorder="1" applyAlignment="1">
      <alignment horizontal="center" vertical="center" wrapText="1"/>
    </xf>
    <xf numFmtId="0" fontId="7" fillId="0" borderId="85" xfId="43" applyFont="1" applyFill="1" applyBorder="1" applyAlignment="1">
      <alignment horizontal="left" vertical="center" wrapText="1" indent="1"/>
    </xf>
    <xf numFmtId="3" fontId="5" fillId="0" borderId="87" xfId="43" applyNumberFormat="1" applyFont="1" applyFill="1" applyBorder="1" applyAlignment="1">
      <alignment horizontal="center" vertical="center" wrapText="1"/>
    </xf>
    <xf numFmtId="3" fontId="5" fillId="0" borderId="88" xfId="43" applyNumberFormat="1" applyFont="1" applyFill="1" applyBorder="1" applyAlignment="1">
      <alignment horizontal="center" vertical="center" wrapText="1"/>
    </xf>
    <xf numFmtId="0" fontId="5" fillId="0" borderId="88" xfId="43" applyFont="1" applyFill="1" applyBorder="1" applyAlignment="1">
      <alignment horizontal="left" vertical="center" wrapText="1" indent="1"/>
    </xf>
    <xf numFmtId="0" fontId="7" fillId="0" borderId="89" xfId="43" applyFont="1" applyFill="1" applyBorder="1" applyAlignment="1">
      <alignment horizontal="center" vertical="center" wrapText="1"/>
    </xf>
    <xf numFmtId="0" fontId="5" fillId="0" borderId="17" xfId="43" applyFont="1" applyFill="1" applyBorder="1" applyAlignment="1">
      <alignment horizontal="center" vertical="center" wrapText="1"/>
    </xf>
    <xf numFmtId="3" fontId="5" fillId="0" borderId="16" xfId="45" applyNumberFormat="1" applyFont="1" applyBorder="1" applyAlignment="1">
      <alignment horizontal="center" vertical="center" wrapText="1"/>
    </xf>
    <xf numFmtId="0" fontId="5" fillId="0" borderId="16" xfId="43" applyFont="1" applyFill="1" applyBorder="1" applyAlignment="1">
      <alignment horizontal="center" vertical="center" wrapText="1"/>
    </xf>
    <xf numFmtId="0" fontId="5" fillId="0" borderId="15" xfId="43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7" fillId="0" borderId="0" xfId="45" applyFont="1"/>
    <xf numFmtId="0" fontId="7" fillId="0" borderId="43" xfId="45" applyFont="1" applyBorder="1"/>
    <xf numFmtId="0" fontId="5" fillId="0" borderId="57" xfId="45" applyFont="1" applyBorder="1" applyAlignment="1">
      <alignment horizontal="center"/>
    </xf>
    <xf numFmtId="0" fontId="5" fillId="0" borderId="13" xfId="45" applyFont="1" applyBorder="1" applyAlignment="1">
      <alignment horizontal="center"/>
    </xf>
    <xf numFmtId="0" fontId="5" fillId="0" borderId="14" xfId="45" applyFont="1" applyBorder="1" applyAlignment="1">
      <alignment horizontal="center"/>
    </xf>
    <xf numFmtId="0" fontId="7" fillId="0" borderId="0" xfId="45" applyFont="1" applyBorder="1"/>
    <xf numFmtId="0" fontId="7" fillId="0" borderId="0" xfId="45" applyFont="1" applyBorder="1" applyAlignment="1">
      <alignment horizontal="right"/>
    </xf>
    <xf numFmtId="0" fontId="80" fillId="0" borderId="0" xfId="45" applyFont="1" applyBorder="1" applyAlignment="1">
      <alignment vertical="center" wrapText="1"/>
    </xf>
    <xf numFmtId="0" fontId="7" fillId="0" borderId="31" xfId="45" applyFont="1" applyBorder="1" applyAlignment="1">
      <alignment vertical="center"/>
    </xf>
    <xf numFmtId="0" fontId="7" fillId="0" borderId="5" xfId="45" applyFont="1" applyBorder="1" applyAlignment="1">
      <alignment horizontal="left" vertical="center" wrapText="1"/>
    </xf>
    <xf numFmtId="3" fontId="7" fillId="0" borderId="5" xfId="45" applyNumberFormat="1" applyFont="1" applyBorder="1" applyAlignment="1">
      <alignment vertical="center" wrapText="1"/>
    </xf>
    <xf numFmtId="3" fontId="7" fillId="0" borderId="1" xfId="45" applyNumberFormat="1" applyFont="1" applyBorder="1" applyAlignment="1">
      <alignment vertical="center"/>
    </xf>
    <xf numFmtId="3" fontId="7" fillId="0" borderId="19" xfId="45" applyNumberFormat="1" applyFont="1" applyBorder="1" applyAlignment="1">
      <alignment vertical="center"/>
    </xf>
    <xf numFmtId="0" fontId="7" fillId="0" borderId="1" xfId="45" applyFont="1" applyBorder="1" applyAlignment="1">
      <alignment vertical="center"/>
    </xf>
    <xf numFmtId="0" fontId="7" fillId="0" borderId="79" xfId="45" applyFont="1" applyBorder="1" applyAlignment="1">
      <alignment vertical="center"/>
    </xf>
    <xf numFmtId="0" fontId="7" fillId="0" borderId="34" xfId="45" applyFont="1" applyBorder="1" applyAlignment="1">
      <alignment vertical="center"/>
    </xf>
    <xf numFmtId="0" fontId="5" fillId="0" borderId="57" xfId="45" applyFont="1" applyBorder="1" applyAlignment="1">
      <alignment vertical="center"/>
    </xf>
    <xf numFmtId="3" fontId="7" fillId="0" borderId="13" xfId="45" applyNumberFormat="1" applyFont="1" applyBorder="1" applyAlignment="1">
      <alignment vertical="center"/>
    </xf>
    <xf numFmtId="3" fontId="7" fillId="0" borderId="14" xfId="45" applyNumberFormat="1" applyFont="1" applyBorder="1" applyAlignment="1">
      <alignment vertical="center"/>
    </xf>
    <xf numFmtId="3" fontId="7" fillId="0" borderId="0" xfId="45" applyNumberFormat="1" applyFont="1"/>
    <xf numFmtId="0" fontId="7" fillId="0" borderId="15" xfId="45" applyFont="1" applyBorder="1"/>
    <xf numFmtId="0" fontId="5" fillId="0" borderId="16" xfId="45" applyFont="1" applyBorder="1" applyAlignment="1">
      <alignment horizontal="center"/>
    </xf>
    <xf numFmtId="0" fontId="5" fillId="0" borderId="17" xfId="45" applyFont="1" applyBorder="1" applyAlignment="1">
      <alignment horizontal="center"/>
    </xf>
    <xf numFmtId="0" fontId="5" fillId="0" borderId="1" xfId="45" applyFont="1" applyBorder="1" applyAlignment="1">
      <alignment horizontal="center" vertical="center" wrapText="1"/>
    </xf>
    <xf numFmtId="0" fontId="5" fillId="0" borderId="18" xfId="45" applyFont="1" applyBorder="1"/>
    <xf numFmtId="0" fontId="7" fillId="0" borderId="1" xfId="45" applyFont="1" applyBorder="1"/>
    <xf numFmtId="167" fontId="7" fillId="0" borderId="1" xfId="98" applyNumberFormat="1" applyFont="1" applyBorder="1"/>
    <xf numFmtId="167" fontId="7" fillId="0" borderId="19" xfId="98" applyNumberFormat="1" applyFont="1" applyBorder="1"/>
    <xf numFmtId="0" fontId="7" fillId="0" borderId="2" xfId="45" applyFont="1" applyBorder="1"/>
    <xf numFmtId="167" fontId="7" fillId="0" borderId="2" xfId="98" applyNumberFormat="1" applyFont="1" applyBorder="1"/>
    <xf numFmtId="167" fontId="7" fillId="0" borderId="24" xfId="98" applyNumberFormat="1" applyFont="1" applyBorder="1"/>
    <xf numFmtId="0" fontId="5" fillId="0" borderId="23" xfId="45" applyFont="1" applyBorder="1"/>
    <xf numFmtId="0" fontId="5" fillId="0" borderId="20" xfId="45" applyFont="1" applyBorder="1"/>
    <xf numFmtId="0" fontId="5" fillId="0" borderId="21" xfId="45" applyFont="1" applyBorder="1"/>
    <xf numFmtId="167" fontId="5" fillId="0" borderId="21" xfId="98" applyNumberFormat="1" applyFont="1" applyBorder="1"/>
    <xf numFmtId="167" fontId="5" fillId="0" borderId="22" xfId="98" applyNumberFormat="1" applyFont="1" applyBorder="1"/>
    <xf numFmtId="0" fontId="5" fillId="0" borderId="34" xfId="45" applyFont="1" applyBorder="1"/>
    <xf numFmtId="167" fontId="5" fillId="0" borderId="34" xfId="98" applyNumberFormat="1" applyFont="1" applyBorder="1"/>
    <xf numFmtId="3" fontId="19" fillId="0" borderId="0" xfId="44" applyNumberFormat="1" applyFill="1" applyAlignment="1">
      <alignment horizontal="center" vertical="center" wrapText="1"/>
    </xf>
    <xf numFmtId="3" fontId="19" fillId="0" borderId="0" xfId="44" applyNumberFormat="1" applyFill="1" applyAlignment="1">
      <alignment vertical="center" wrapText="1"/>
    </xf>
    <xf numFmtId="3" fontId="12" fillId="0" borderId="0" xfId="44" applyNumberFormat="1" applyFont="1" applyFill="1" applyAlignment="1">
      <alignment vertical="center" wrapText="1"/>
    </xf>
    <xf numFmtId="3" fontId="81" fillId="0" borderId="0" xfId="44" applyNumberFormat="1" applyFont="1" applyFill="1" applyAlignment="1">
      <alignment horizontal="center" vertical="center" wrapText="1"/>
    </xf>
    <xf numFmtId="3" fontId="81" fillId="0" borderId="0" xfId="44" applyNumberFormat="1" applyFont="1" applyFill="1" applyAlignment="1">
      <alignment vertical="center" wrapText="1"/>
    </xf>
    <xf numFmtId="3" fontId="26" fillId="0" borderId="12" xfId="44" applyNumberFormat="1" applyFont="1" applyFill="1" applyBorder="1" applyAlignment="1">
      <alignment horizontal="center" vertical="center" wrapText="1"/>
    </xf>
    <xf numFmtId="3" fontId="26" fillId="0" borderId="13" xfId="44" applyNumberFormat="1" applyFont="1" applyFill="1" applyBorder="1" applyAlignment="1">
      <alignment horizontal="center" vertical="center" wrapText="1"/>
    </xf>
    <xf numFmtId="3" fontId="26" fillId="0" borderId="14" xfId="44" applyNumberFormat="1" applyFont="1" applyFill="1" applyBorder="1" applyAlignment="1">
      <alignment horizontal="center" vertical="center" wrapText="1"/>
    </xf>
    <xf numFmtId="3" fontId="82" fillId="0" borderId="0" xfId="44" applyNumberFormat="1" applyFont="1" applyFill="1" applyAlignment="1">
      <alignment horizontal="center" vertical="center" wrapText="1"/>
    </xf>
    <xf numFmtId="3" fontId="27" fillId="0" borderId="12" xfId="44" applyNumberFormat="1" applyFont="1" applyFill="1" applyBorder="1" applyAlignment="1">
      <alignment horizontal="center" vertical="center" wrapText="1"/>
    </xf>
    <xf numFmtId="3" fontId="27" fillId="0" borderId="13" xfId="44" applyNumberFormat="1" applyFont="1" applyFill="1" applyBorder="1" applyAlignment="1">
      <alignment horizontal="center" vertical="center" wrapText="1"/>
    </xf>
    <xf numFmtId="3" fontId="27" fillId="0" borderId="14" xfId="44" applyNumberFormat="1" applyFont="1" applyFill="1" applyBorder="1" applyAlignment="1">
      <alignment horizontal="center" vertical="center" wrapText="1"/>
    </xf>
    <xf numFmtId="3" fontId="13" fillId="0" borderId="15" xfId="44" applyNumberFormat="1" applyFont="1" applyFill="1" applyBorder="1" applyAlignment="1">
      <alignment horizontal="center" vertical="center" wrapText="1"/>
    </xf>
    <xf numFmtId="3" fontId="83" fillId="0" borderId="36" xfId="44" applyNumberFormat="1" applyFont="1" applyFill="1" applyBorder="1" applyAlignment="1" applyProtection="1">
      <alignment horizontal="left" vertical="center" wrapText="1" indent="1"/>
      <protection locked="0"/>
    </xf>
    <xf numFmtId="3" fontId="13" fillId="0" borderId="36" xfId="44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30" xfId="44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18" xfId="44" applyNumberFormat="1" applyFont="1" applyFill="1" applyBorder="1" applyAlignment="1">
      <alignment horizontal="center" vertical="center" wrapText="1"/>
    </xf>
    <xf numFmtId="3" fontId="83" fillId="0" borderId="8" xfId="44" applyNumberFormat="1" applyFont="1" applyFill="1" applyBorder="1" applyAlignment="1" applyProtection="1">
      <alignment horizontal="left" vertical="center" wrapText="1" indent="1"/>
      <protection locked="0"/>
    </xf>
    <xf numFmtId="3" fontId="13" fillId="0" borderId="8" xfId="44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19" xfId="44" applyNumberFormat="1" applyFont="1" applyFill="1" applyBorder="1" applyAlignment="1" applyProtection="1">
      <alignment horizontal="right" vertical="center" wrapText="1" indent="1"/>
      <protection locked="0"/>
    </xf>
    <xf numFmtId="3" fontId="19" fillId="0" borderId="19" xfId="44" applyNumberFormat="1" applyFont="1" applyFill="1" applyBorder="1" applyAlignment="1" applyProtection="1">
      <alignment horizontal="right" vertical="center" wrapText="1" indent="1"/>
      <protection locked="0"/>
    </xf>
    <xf numFmtId="3" fontId="83" fillId="0" borderId="8" xfId="44" applyNumberFormat="1" applyFont="1" applyFill="1" applyBorder="1" applyAlignment="1" applyProtection="1">
      <alignment horizontal="left" vertical="center" wrapText="1" indent="8"/>
      <protection locked="0"/>
    </xf>
    <xf numFmtId="3" fontId="13" fillId="0" borderId="5" xfId="44" applyNumberFormat="1" applyFont="1" applyFill="1" applyBorder="1" applyAlignment="1" applyProtection="1">
      <alignment vertical="center" wrapText="1"/>
      <protection locked="0"/>
    </xf>
    <xf numFmtId="3" fontId="13" fillId="0" borderId="1" xfId="44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1" xfId="44" applyNumberFormat="1" applyFont="1" applyFill="1" applyBorder="1" applyAlignment="1" applyProtection="1">
      <alignment vertical="center" wrapText="1"/>
      <protection locked="0"/>
    </xf>
    <xf numFmtId="3" fontId="13" fillId="0" borderId="23" xfId="44" applyNumberFormat="1" applyFont="1" applyFill="1" applyBorder="1" applyAlignment="1">
      <alignment horizontal="center" vertical="center" wrapText="1"/>
    </xf>
    <xf numFmtId="3" fontId="13" fillId="0" borderId="21" xfId="44" applyNumberFormat="1" applyFont="1" applyFill="1" applyBorder="1" applyAlignment="1" applyProtection="1">
      <alignment vertical="center" wrapText="1"/>
      <protection locked="0"/>
    </xf>
    <xf numFmtId="3" fontId="13" fillId="0" borderId="21" xfId="44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22" xfId="44" applyNumberFormat="1" applyFont="1" applyFill="1" applyBorder="1" applyAlignment="1" applyProtection="1">
      <alignment horizontal="right" vertical="center" wrapText="1" indent="1"/>
      <protection locked="0"/>
    </xf>
    <xf numFmtId="3" fontId="18" fillId="0" borderId="12" xfId="44" applyNumberFormat="1" applyFont="1" applyFill="1" applyBorder="1" applyAlignment="1">
      <alignment horizontal="center" vertical="center" wrapText="1"/>
    </xf>
    <xf numFmtId="3" fontId="17" fillId="0" borderId="54" xfId="44" applyNumberFormat="1" applyFont="1" applyFill="1" applyBorder="1" applyAlignment="1">
      <alignment vertical="center" wrapText="1"/>
    </xf>
    <xf numFmtId="3" fontId="18" fillId="0" borderId="54" xfId="44" applyNumberFormat="1" applyFont="1" applyFill="1" applyBorder="1" applyAlignment="1">
      <alignment vertical="center" wrapText="1"/>
    </xf>
    <xf numFmtId="3" fontId="20" fillId="0" borderId="91" xfId="44" applyNumberFormat="1" applyFont="1" applyFill="1" applyBorder="1" applyAlignment="1">
      <alignment vertical="center" wrapText="1"/>
    </xf>
    <xf numFmtId="3" fontId="19" fillId="0" borderId="0" xfId="44" applyNumberFormat="1" applyFill="1" applyAlignment="1">
      <alignment horizontal="right" vertical="center" wrapText="1"/>
    </xf>
    <xf numFmtId="0" fontId="35" fillId="0" borderId="0" xfId="0" applyFont="1" applyAlignment="1">
      <alignment horizontal="left" vertical="center" wrapText="1"/>
    </xf>
    <xf numFmtId="0" fontId="35" fillId="0" borderId="0" xfId="0" applyFont="1" applyAlignment="1">
      <alignment horizontal="right" vertical="center"/>
    </xf>
    <xf numFmtId="0" fontId="35" fillId="0" borderId="95" xfId="0" applyFont="1" applyBorder="1" applyAlignment="1">
      <alignment horizontal="center" vertical="center" wrapText="1"/>
    </xf>
    <xf numFmtId="0" fontId="35" fillId="0" borderId="54" xfId="0" applyFont="1" applyBorder="1" applyAlignment="1">
      <alignment horizontal="center" vertical="center" wrapText="1"/>
    </xf>
    <xf numFmtId="0" fontId="35" fillId="0" borderId="91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7" fillId="0" borderId="46" xfId="0" applyFont="1" applyBorder="1" applyAlignment="1">
      <alignment horizontal="left" vertical="center" wrapText="1"/>
    </xf>
    <xf numFmtId="3" fontId="7" fillId="0" borderId="30" xfId="0" applyNumberFormat="1" applyFont="1" applyBorder="1" applyAlignment="1">
      <alignment horizontal="right" vertical="center" wrapText="1"/>
    </xf>
    <xf numFmtId="3" fontId="35" fillId="0" borderId="35" xfId="0" applyNumberFormat="1" applyFont="1" applyBorder="1" applyAlignment="1">
      <alignment horizontal="right" vertical="center"/>
    </xf>
    <xf numFmtId="9" fontId="35" fillId="0" borderId="48" xfId="99" applyFont="1" applyBorder="1" applyAlignment="1">
      <alignment horizontal="right" vertical="center"/>
    </xf>
    <xf numFmtId="0" fontId="7" fillId="0" borderId="49" xfId="0" applyFont="1" applyBorder="1" applyAlignment="1">
      <alignment horizontal="left" vertical="center" wrapText="1"/>
    </xf>
    <xf numFmtId="3" fontId="35" fillId="0" borderId="3" xfId="0" applyNumberFormat="1" applyFont="1" applyBorder="1" applyAlignment="1">
      <alignment horizontal="right" vertical="center"/>
    </xf>
    <xf numFmtId="9" fontId="35" fillId="0" borderId="41" xfId="99" applyFont="1" applyBorder="1" applyAlignment="1">
      <alignment horizontal="right" vertical="center"/>
    </xf>
    <xf numFmtId="0" fontId="5" fillId="0" borderId="49" xfId="0" applyFont="1" applyBorder="1" applyAlignment="1">
      <alignment horizontal="lef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34" fillId="0" borderId="3" xfId="0" applyNumberFormat="1" applyFont="1" applyBorder="1" applyAlignment="1">
      <alignment horizontal="right" vertical="center"/>
    </xf>
    <xf numFmtId="0" fontId="34" fillId="0" borderId="0" xfId="0" applyFont="1"/>
    <xf numFmtId="3" fontId="34" fillId="0" borderId="0" xfId="0" applyNumberFormat="1" applyFont="1"/>
    <xf numFmtId="0" fontId="5" fillId="0" borderId="51" xfId="0" applyFont="1" applyBorder="1" applyAlignment="1">
      <alignment horizontal="left" vertical="center" wrapText="1"/>
    </xf>
    <xf numFmtId="9" fontId="35" fillId="0" borderId="33" xfId="99" applyFont="1" applyBorder="1" applyAlignment="1">
      <alignment horizontal="right" vertical="center"/>
    </xf>
    <xf numFmtId="0" fontId="5" fillId="0" borderId="42" xfId="0" applyFont="1" applyBorder="1" applyAlignment="1">
      <alignment horizontal="left" vertical="center" wrapText="1"/>
    </xf>
    <xf numFmtId="3" fontId="5" fillId="0" borderId="42" xfId="0" applyNumberFormat="1" applyFont="1" applyBorder="1" applyAlignment="1">
      <alignment horizontal="right" vertical="center" wrapText="1"/>
    </xf>
    <xf numFmtId="3" fontId="34" fillId="0" borderId="42" xfId="0" applyNumberFormat="1" applyFont="1" applyBorder="1" applyAlignment="1">
      <alignment horizontal="right" vertical="center"/>
    </xf>
    <xf numFmtId="9" fontId="35" fillId="0" borderId="42" xfId="99" applyFont="1" applyBorder="1" applyAlignment="1">
      <alignment horizontal="right" vertical="center"/>
    </xf>
    <xf numFmtId="0" fontId="5" fillId="0" borderId="37" xfId="0" applyFont="1" applyBorder="1" applyAlignment="1">
      <alignment horizontal="lef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34" fillId="0" borderId="37" xfId="0" applyNumberFormat="1" applyFont="1" applyBorder="1" applyAlignment="1">
      <alignment horizontal="right" vertical="center"/>
    </xf>
    <xf numFmtId="9" fontId="35" fillId="0" borderId="37" xfId="99" applyFont="1" applyBorder="1" applyAlignment="1">
      <alignment horizontal="right" vertical="center"/>
    </xf>
    <xf numFmtId="9" fontId="35" fillId="0" borderId="0" xfId="99" applyFont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84" fillId="0" borderId="12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 wrapText="1"/>
    </xf>
    <xf numFmtId="0" fontId="35" fillId="0" borderId="44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left" vertical="center" wrapText="1"/>
    </xf>
    <xf numFmtId="3" fontId="7" fillId="0" borderId="5" xfId="0" applyNumberFormat="1" applyFont="1" applyBorder="1" applyAlignment="1">
      <alignment vertical="center" wrapText="1"/>
    </xf>
    <xf numFmtId="3" fontId="7" fillId="0" borderId="35" xfId="0" applyNumberFormat="1" applyFont="1" applyBorder="1" applyAlignment="1">
      <alignment vertical="center" wrapText="1"/>
    </xf>
    <xf numFmtId="3" fontId="35" fillId="0" borderId="48" xfId="0" applyNumberFormat="1" applyFont="1" applyBorder="1" applyAlignment="1">
      <alignment vertical="center"/>
    </xf>
    <xf numFmtId="0" fontId="9" fillId="0" borderId="18" xfId="0" applyFont="1" applyBorder="1" applyAlignment="1">
      <alignment horizontal="left" vertical="center" wrapText="1" indent="4"/>
    </xf>
    <xf numFmtId="3" fontId="9" fillId="0" borderId="5" xfId="0" applyNumberFormat="1" applyFont="1" applyBorder="1" applyAlignment="1">
      <alignment vertical="center" wrapText="1"/>
    </xf>
    <xf numFmtId="3" fontId="9" fillId="0" borderId="35" xfId="0" applyNumberFormat="1" applyFont="1" applyBorder="1" applyAlignment="1">
      <alignment vertical="center" wrapText="1"/>
    </xf>
    <xf numFmtId="3" fontId="36" fillId="0" borderId="48" xfId="0" applyNumberFormat="1" applyFont="1" applyBorder="1" applyAlignment="1">
      <alignment vertical="center"/>
    </xf>
    <xf numFmtId="0" fontId="7" fillId="0" borderId="18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vertical="center" wrapText="1"/>
    </xf>
    <xf numFmtId="3" fontId="7" fillId="0" borderId="3" xfId="0" applyNumberFormat="1" applyFont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 wrapText="1"/>
    </xf>
    <xf numFmtId="3" fontId="34" fillId="0" borderId="48" xfId="0" applyNumberFormat="1" applyFont="1" applyBorder="1" applyAlignment="1">
      <alignment vertical="center"/>
    </xf>
    <xf numFmtId="0" fontId="5" fillId="0" borderId="20" xfId="0" applyFont="1" applyBorder="1" applyAlignment="1">
      <alignment horizontal="left" vertical="center" wrapText="1"/>
    </xf>
    <xf numFmtId="3" fontId="5" fillId="0" borderId="21" xfId="0" applyNumberFormat="1" applyFont="1" applyBorder="1" applyAlignment="1">
      <alignment vertical="center" wrapText="1"/>
    </xf>
    <xf numFmtId="3" fontId="5" fillId="0" borderId="32" xfId="0" applyNumberFormat="1" applyFont="1" applyBorder="1" applyAlignment="1">
      <alignment vertical="center" wrapText="1"/>
    </xf>
    <xf numFmtId="3" fontId="34" fillId="0" borderId="75" xfId="0" applyNumberFormat="1" applyFont="1" applyBorder="1" applyAlignment="1">
      <alignment vertical="center"/>
    </xf>
    <xf numFmtId="0" fontId="73" fillId="0" borderId="0" xfId="106" applyFill="1" applyProtection="1"/>
    <xf numFmtId="0" fontId="85" fillId="0" borderId="0" xfId="106" applyFont="1" applyFill="1" applyProtection="1"/>
    <xf numFmtId="0" fontId="86" fillId="0" borderId="37" xfId="106" applyFont="1" applyFill="1" applyBorder="1" applyAlignment="1" applyProtection="1"/>
    <xf numFmtId="0" fontId="6" fillId="0" borderId="37" xfId="0" applyFont="1" applyBorder="1" applyAlignment="1">
      <alignment horizontal="right"/>
    </xf>
    <xf numFmtId="0" fontId="89" fillId="0" borderId="20" xfId="106" applyFont="1" applyFill="1" applyBorder="1" applyAlignment="1" applyProtection="1">
      <alignment horizontal="center" vertical="center" wrapText="1"/>
    </xf>
    <xf numFmtId="0" fontId="89" fillId="0" borderId="21" xfId="106" applyFont="1" applyFill="1" applyBorder="1" applyAlignment="1" applyProtection="1">
      <alignment horizontal="center" vertical="center" wrapText="1"/>
    </xf>
    <xf numFmtId="0" fontId="90" fillId="0" borderId="15" xfId="106" applyFont="1" applyFill="1" applyBorder="1" applyAlignment="1" applyProtection="1">
      <alignment vertical="center" wrapText="1"/>
    </xf>
    <xf numFmtId="169" fontId="29" fillId="0" borderId="16" xfId="105" applyNumberFormat="1" applyFont="1" applyFill="1" applyBorder="1" applyAlignment="1" applyProtection="1">
      <alignment horizontal="center" vertical="center"/>
    </xf>
    <xf numFmtId="170" fontId="91" fillId="0" borderId="16" xfId="106" applyNumberFormat="1" applyFont="1" applyFill="1" applyBorder="1" applyAlignment="1" applyProtection="1">
      <alignment horizontal="right" vertical="center" wrapText="1"/>
      <protection locked="0"/>
    </xf>
    <xf numFmtId="0" fontId="90" fillId="0" borderId="18" xfId="106" applyFont="1" applyFill="1" applyBorder="1" applyAlignment="1" applyProtection="1">
      <alignment vertical="center" wrapText="1"/>
    </xf>
    <xf numFmtId="169" fontId="29" fillId="0" borderId="1" xfId="105" applyNumberFormat="1" applyFont="1" applyFill="1" applyBorder="1" applyAlignment="1" applyProtection="1">
      <alignment horizontal="center" vertical="center"/>
    </xf>
    <xf numFmtId="170" fontId="91" fillId="0" borderId="1" xfId="106" applyNumberFormat="1" applyFont="1" applyFill="1" applyBorder="1" applyAlignment="1" applyProtection="1">
      <alignment horizontal="right" vertical="center" wrapText="1"/>
    </xf>
    <xf numFmtId="0" fontId="74" fillId="0" borderId="18" xfId="106" applyFont="1" applyFill="1" applyBorder="1" applyAlignment="1" applyProtection="1">
      <alignment horizontal="left" vertical="center" wrapText="1" indent="1"/>
    </xf>
    <xf numFmtId="170" fontId="83" fillId="0" borderId="1" xfId="106" applyNumberFormat="1" applyFont="1" applyFill="1" applyBorder="1" applyAlignment="1" applyProtection="1">
      <alignment horizontal="right" vertical="center" wrapText="1"/>
      <protection locked="0"/>
    </xf>
    <xf numFmtId="170" fontId="90" fillId="0" borderId="1" xfId="106" applyNumberFormat="1" applyFont="1" applyFill="1" applyBorder="1" applyAlignment="1" applyProtection="1">
      <alignment horizontal="right" vertical="center" wrapText="1"/>
    </xf>
    <xf numFmtId="170" fontId="83" fillId="0" borderId="1" xfId="106" applyNumberFormat="1" applyFont="1" applyFill="1" applyBorder="1" applyAlignment="1" applyProtection="1">
      <alignment horizontal="right" vertical="center" wrapText="1"/>
    </xf>
    <xf numFmtId="0" fontId="90" fillId="0" borderId="20" xfId="106" applyFont="1" applyFill="1" applyBorder="1" applyAlignment="1" applyProtection="1">
      <alignment vertical="center" wrapText="1"/>
    </xf>
    <xf numFmtId="170" fontId="91" fillId="0" borderId="21" xfId="106" applyNumberFormat="1" applyFont="1" applyFill="1" applyBorder="1" applyAlignment="1" applyProtection="1">
      <alignment horizontal="right" vertical="center" wrapText="1"/>
    </xf>
    <xf numFmtId="0" fontId="19" fillId="0" borderId="0" xfId="105" applyFill="1" applyAlignment="1" applyProtection="1">
      <alignment vertical="center" wrapText="1"/>
    </xf>
    <xf numFmtId="49" fontId="27" fillId="0" borderId="20" xfId="105" applyNumberFormat="1" applyFont="1" applyFill="1" applyBorder="1" applyAlignment="1" applyProtection="1">
      <alignment horizontal="center" vertical="center" wrapText="1"/>
    </xf>
    <xf numFmtId="49" fontId="27" fillId="0" borderId="21" xfId="105" applyNumberFormat="1" applyFont="1" applyFill="1" applyBorder="1" applyAlignment="1" applyProtection="1">
      <alignment horizontal="center" vertical="center"/>
    </xf>
    <xf numFmtId="49" fontId="27" fillId="0" borderId="22" xfId="105" applyNumberFormat="1" applyFont="1" applyFill="1" applyBorder="1" applyAlignment="1" applyProtection="1">
      <alignment horizontal="center" vertical="center"/>
    </xf>
    <xf numFmtId="169" fontId="29" fillId="0" borderId="5" xfId="105" applyNumberFormat="1" applyFont="1" applyFill="1" applyBorder="1" applyAlignment="1" applyProtection="1">
      <alignment horizontal="center" vertical="center"/>
    </xf>
    <xf numFmtId="171" fontId="29" fillId="0" borderId="30" xfId="105" applyNumberFormat="1" applyFont="1" applyFill="1" applyBorder="1" applyAlignment="1" applyProtection="1">
      <alignment vertical="center"/>
      <protection locked="0"/>
    </xf>
    <xf numFmtId="171" fontId="29" fillId="0" borderId="19" xfId="105" applyNumberFormat="1" applyFont="1" applyFill="1" applyBorder="1" applyAlignment="1" applyProtection="1">
      <alignment vertical="center"/>
      <protection locked="0"/>
    </xf>
    <xf numFmtId="171" fontId="27" fillId="0" borderId="19" xfId="105" applyNumberFormat="1" applyFont="1" applyFill="1" applyBorder="1" applyAlignment="1" applyProtection="1">
      <alignment vertical="center"/>
    </xf>
    <xf numFmtId="171" fontId="18" fillId="0" borderId="19" xfId="105" applyNumberFormat="1" applyFont="1" applyFill="1" applyBorder="1" applyAlignment="1" applyProtection="1">
      <alignment vertical="center"/>
      <protection locked="0"/>
    </xf>
    <xf numFmtId="0" fontId="27" fillId="0" borderId="20" xfId="105" applyFont="1" applyFill="1" applyBorder="1" applyAlignment="1" applyProtection="1">
      <alignment horizontal="left" vertical="center" wrapText="1"/>
    </xf>
    <xf numFmtId="169" fontId="29" fillId="0" borderId="21" xfId="105" applyNumberFormat="1" applyFont="1" applyFill="1" applyBorder="1" applyAlignment="1" applyProtection="1">
      <alignment horizontal="center" vertical="center"/>
    </xf>
    <xf numFmtId="171" fontId="27" fillId="0" borderId="22" xfId="105" applyNumberFormat="1" applyFont="1" applyFill="1" applyBorder="1" applyAlignment="1" applyProtection="1">
      <alignment vertical="center"/>
    </xf>
    <xf numFmtId="0" fontId="73" fillId="0" borderId="0" xfId="106" applyFill="1"/>
    <xf numFmtId="0" fontId="80" fillId="0" borderId="96" xfId="106" applyFont="1" applyFill="1" applyBorder="1" applyAlignment="1">
      <alignment horizontal="center" vertical="center"/>
    </xf>
    <xf numFmtId="0" fontId="88" fillId="0" borderId="90" xfId="105" applyFont="1" applyFill="1" applyBorder="1" applyAlignment="1" applyProtection="1">
      <alignment horizontal="center" vertical="center" textRotation="90"/>
    </xf>
    <xf numFmtId="0" fontId="80" fillId="0" borderId="90" xfId="106" applyFont="1" applyFill="1" applyBorder="1" applyAlignment="1">
      <alignment horizontal="center" vertical="center" wrapText="1"/>
    </xf>
    <xf numFmtId="0" fontId="80" fillId="0" borderId="97" xfId="106" applyFont="1" applyFill="1" applyBorder="1" applyAlignment="1">
      <alignment horizontal="center" vertical="center" wrapText="1"/>
    </xf>
    <xf numFmtId="0" fontId="80" fillId="0" borderId="12" xfId="106" applyFont="1" applyFill="1" applyBorder="1" applyAlignment="1">
      <alignment horizontal="center" vertical="center"/>
    </xf>
    <xf numFmtId="0" fontId="80" fillId="0" borderId="13" xfId="106" applyFont="1" applyFill="1" applyBorder="1" applyAlignment="1">
      <alignment horizontal="center" vertical="center" wrapText="1"/>
    </xf>
    <xf numFmtId="0" fontId="80" fillId="0" borderId="14" xfId="106" applyFont="1" applyFill="1" applyBorder="1" applyAlignment="1">
      <alignment horizontal="center" vertical="center" wrapText="1"/>
    </xf>
    <xf numFmtId="0" fontId="83" fillId="0" borderId="18" xfId="106" applyFont="1" applyFill="1" applyBorder="1" applyProtection="1">
      <protection locked="0"/>
    </xf>
    <xf numFmtId="0" fontId="83" fillId="0" borderId="5" xfId="106" applyFont="1" applyFill="1" applyBorder="1" applyAlignment="1">
      <alignment horizontal="right" indent="1"/>
    </xf>
    <xf numFmtId="3" fontId="83" fillId="0" borderId="5" xfId="106" applyNumberFormat="1" applyFont="1" applyFill="1" applyBorder="1" applyProtection="1">
      <protection locked="0"/>
    </xf>
    <xf numFmtId="3" fontId="83" fillId="0" borderId="30" xfId="106" applyNumberFormat="1" applyFont="1" applyFill="1" applyBorder="1" applyProtection="1">
      <protection locked="0"/>
    </xf>
    <xf numFmtId="0" fontId="83" fillId="0" borderId="1" xfId="106" applyFont="1" applyFill="1" applyBorder="1" applyAlignment="1">
      <alignment horizontal="right" indent="1"/>
    </xf>
    <xf numFmtId="3" fontId="83" fillId="0" borderId="1" xfId="106" applyNumberFormat="1" applyFont="1" applyFill="1" applyBorder="1" applyProtection="1">
      <protection locked="0"/>
    </xf>
    <xf numFmtId="3" fontId="83" fillId="0" borderId="19" xfId="106" applyNumberFormat="1" applyFont="1" applyFill="1" applyBorder="1" applyProtection="1">
      <protection locked="0"/>
    </xf>
    <xf numFmtId="0" fontId="83" fillId="0" borderId="23" xfId="106" applyFont="1" applyFill="1" applyBorder="1" applyProtection="1">
      <protection locked="0"/>
    </xf>
    <xf numFmtId="0" fontId="83" fillId="0" borderId="2" xfId="106" applyFont="1" applyFill="1" applyBorder="1" applyAlignment="1">
      <alignment horizontal="right" indent="1"/>
    </xf>
    <xf numFmtId="3" fontId="83" fillId="0" borderId="2" xfId="106" applyNumberFormat="1" applyFont="1" applyFill="1" applyBorder="1" applyProtection="1">
      <protection locked="0"/>
    </xf>
    <xf numFmtId="3" fontId="83" fillId="0" borderId="24" xfId="106" applyNumberFormat="1" applyFont="1" applyFill="1" applyBorder="1" applyProtection="1">
      <protection locked="0"/>
    </xf>
    <xf numFmtId="0" fontId="90" fillId="0" borderId="12" xfId="106" applyFont="1" applyFill="1" applyBorder="1" applyProtection="1">
      <protection locked="0"/>
    </xf>
    <xf numFmtId="0" fontId="83" fillId="0" borderId="13" xfId="106" applyFont="1" applyFill="1" applyBorder="1" applyAlignment="1">
      <alignment horizontal="right" indent="1"/>
    </xf>
    <xf numFmtId="3" fontId="83" fillId="0" borderId="13" xfId="106" applyNumberFormat="1" applyFont="1" applyFill="1" applyBorder="1" applyProtection="1">
      <protection locked="0"/>
    </xf>
    <xf numFmtId="171" fontId="27" fillId="0" borderId="14" xfId="105" applyNumberFormat="1" applyFont="1" applyFill="1" applyBorder="1" applyAlignment="1" applyProtection="1">
      <alignment vertical="center"/>
    </xf>
    <xf numFmtId="0" fontId="83" fillId="0" borderId="31" xfId="106" applyFont="1" applyFill="1" applyBorder="1" applyProtection="1">
      <protection locked="0"/>
    </xf>
    <xf numFmtId="3" fontId="83" fillId="0" borderId="98" xfId="106" applyNumberFormat="1" applyFont="1" applyFill="1" applyBorder="1"/>
    <xf numFmtId="0" fontId="92" fillId="0" borderId="0" xfId="106" applyFont="1" applyFill="1"/>
    <xf numFmtId="0" fontId="93" fillId="0" borderId="0" xfId="0" applyFont="1" applyAlignment="1" applyProtection="1">
      <alignment horizontal="right"/>
    </xf>
    <xf numFmtId="0" fontId="0" fillId="0" borderId="0" xfId="0" applyProtection="1"/>
    <xf numFmtId="0" fontId="70" fillId="0" borderId="0" xfId="0" applyFont="1" applyAlignment="1" applyProtection="1">
      <alignment horizontal="center"/>
    </xf>
    <xf numFmtId="0" fontId="4" fillId="0" borderId="12" xfId="0" applyFont="1" applyBorder="1" applyAlignment="1" applyProtection="1">
      <alignment horizontal="center" vertical="center" wrapText="1"/>
    </xf>
    <xf numFmtId="0" fontId="70" fillId="0" borderId="13" xfId="0" applyFont="1" applyBorder="1" applyAlignment="1" applyProtection="1">
      <alignment horizontal="center" vertical="center" wrapText="1"/>
    </xf>
    <xf numFmtId="0" fontId="70" fillId="0" borderId="14" xfId="0" applyFont="1" applyBorder="1" applyAlignment="1" applyProtection="1">
      <alignment horizontal="center" vertical="center" wrapText="1"/>
    </xf>
    <xf numFmtId="0" fontId="70" fillId="0" borderId="31" xfId="0" applyFont="1" applyBorder="1" applyAlignment="1" applyProtection="1">
      <alignment horizontal="center" vertical="top" wrapText="1"/>
    </xf>
    <xf numFmtId="0" fontId="75" fillId="0" borderId="5" xfId="0" applyFont="1" applyBorder="1" applyAlignment="1" applyProtection="1">
      <alignment horizontal="left" vertical="top" wrapText="1"/>
      <protection locked="0"/>
    </xf>
    <xf numFmtId="172" fontId="75" fillId="0" borderId="5" xfId="108" applyNumberFormat="1" applyFont="1" applyBorder="1" applyAlignment="1" applyProtection="1">
      <alignment horizontal="center" vertical="center" wrapText="1"/>
      <protection locked="0"/>
    </xf>
    <xf numFmtId="167" fontId="75" fillId="0" borderId="5" xfId="109" applyNumberFormat="1" applyFont="1" applyBorder="1" applyAlignment="1" applyProtection="1">
      <alignment horizontal="center" vertical="center" wrapText="1"/>
      <protection locked="0"/>
    </xf>
    <xf numFmtId="167" fontId="75" fillId="0" borderId="30" xfId="109" applyNumberFormat="1" applyFont="1" applyBorder="1" applyAlignment="1" applyProtection="1">
      <alignment horizontal="center" vertical="top" wrapText="1"/>
      <protection locked="0"/>
    </xf>
    <xf numFmtId="0" fontId="70" fillId="0" borderId="18" xfId="0" applyFont="1" applyBorder="1" applyAlignment="1" applyProtection="1">
      <alignment horizontal="center" vertical="top" wrapText="1"/>
    </xf>
    <xf numFmtId="0" fontId="75" fillId="0" borderId="1" xfId="0" applyFont="1" applyBorder="1" applyAlignment="1" applyProtection="1">
      <alignment horizontal="left" vertical="top" wrapText="1"/>
      <protection locked="0"/>
    </xf>
    <xf numFmtId="172" fontId="75" fillId="0" borderId="1" xfId="108" applyNumberFormat="1" applyFont="1" applyBorder="1" applyAlignment="1" applyProtection="1">
      <alignment horizontal="center" vertical="center" wrapText="1"/>
      <protection locked="0"/>
    </xf>
    <xf numFmtId="167" fontId="75" fillId="0" borderId="1" xfId="109" applyNumberFormat="1" applyFont="1" applyBorder="1" applyAlignment="1" applyProtection="1">
      <alignment horizontal="center" vertical="center" wrapText="1"/>
      <protection locked="0"/>
    </xf>
    <xf numFmtId="167" fontId="75" fillId="0" borderId="19" xfId="109" applyNumberFormat="1" applyFont="1" applyBorder="1" applyAlignment="1" applyProtection="1">
      <alignment horizontal="center" vertical="top" wrapText="1"/>
      <protection locked="0"/>
    </xf>
    <xf numFmtId="0" fontId="70" fillId="29" borderId="13" xfId="0" applyFont="1" applyFill="1" applyBorder="1" applyAlignment="1" applyProtection="1">
      <alignment horizontal="center" vertical="top" wrapText="1"/>
    </xf>
    <xf numFmtId="167" fontId="75" fillId="0" borderId="13" xfId="109" applyNumberFormat="1" applyFont="1" applyBorder="1" applyAlignment="1" applyProtection="1">
      <alignment horizontal="center" vertical="center" wrapText="1"/>
    </xf>
    <xf numFmtId="167" fontId="75" fillId="0" borderId="14" xfId="109" applyNumberFormat="1" applyFont="1" applyBorder="1" applyAlignment="1" applyProtection="1">
      <alignment horizontal="center" vertical="top" wrapText="1"/>
    </xf>
    <xf numFmtId="0" fontId="72" fillId="0" borderId="0" xfId="0" applyFont="1" applyAlignment="1">
      <alignment horizontal="left" vertical="center"/>
    </xf>
    <xf numFmtId="0" fontId="72" fillId="0" borderId="0" xfId="0" applyFont="1" applyAlignment="1">
      <alignment vertical="center" wrapText="1"/>
    </xf>
    <xf numFmtId="3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9" xfId="0" applyNumberFormat="1" applyFont="1" applyFill="1" applyBorder="1" applyAlignment="1" applyProtection="1">
      <alignment horizontal="right" vertical="center" wrapText="1"/>
      <protection locked="0"/>
    </xf>
    <xf numFmtId="165" fontId="35" fillId="0" borderId="33" xfId="0" applyNumberFormat="1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right" vertical="center" wrapText="1"/>
    </xf>
    <xf numFmtId="0" fontId="9" fillId="0" borderId="36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39" xfId="0" applyFont="1" applyBorder="1" applyAlignment="1">
      <alignment horizontal="right" vertical="center" wrapText="1"/>
    </xf>
    <xf numFmtId="9" fontId="35" fillId="0" borderId="48" xfId="99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0" fontId="6" fillId="0" borderId="37" xfId="0" applyFont="1" applyBorder="1" applyAlignment="1">
      <alignment horizontal="right"/>
    </xf>
    <xf numFmtId="2" fontId="5" fillId="0" borderId="18" xfId="50" applyNumberFormat="1" applyFont="1" applyBorder="1"/>
    <xf numFmtId="3" fontId="0" fillId="0" borderId="37" xfId="0" applyNumberFormat="1" applyFill="1" applyBorder="1" applyAlignment="1">
      <alignment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3" fontId="81" fillId="0" borderId="0" xfId="0" applyNumberFormat="1" applyFont="1" applyFill="1" applyAlignment="1">
      <alignment vertical="center" wrapText="1"/>
    </xf>
    <xf numFmtId="0" fontId="0" fillId="0" borderId="18" xfId="0" applyFont="1" applyBorder="1" applyAlignment="1">
      <alignment horizontal="right" vertical="center" indent="1"/>
    </xf>
    <xf numFmtId="0" fontId="20" fillId="0" borderId="1" xfId="0" applyFont="1" applyBorder="1" applyAlignment="1" applyProtection="1">
      <alignment horizontal="left" vertical="center" indent="1"/>
      <protection locked="0"/>
    </xf>
    <xf numFmtId="3" fontId="82" fillId="0" borderId="0" xfId="0" applyNumberFormat="1" applyFont="1" applyFill="1" applyAlignment="1">
      <alignment horizontal="center" vertical="center" wrapText="1"/>
    </xf>
    <xf numFmtId="0" fontId="94" fillId="0" borderId="1" xfId="0" applyFont="1" applyBorder="1" applyAlignment="1" applyProtection="1">
      <alignment horizontal="left" vertical="center" indent="1"/>
      <protection locked="0"/>
    </xf>
    <xf numFmtId="0" fontId="23" fillId="0" borderId="1" xfId="0" applyFont="1" applyBorder="1" applyAlignment="1" applyProtection="1">
      <alignment horizontal="left" vertical="center" indent="1"/>
      <protection locked="0"/>
    </xf>
    <xf numFmtId="0" fontId="19" fillId="0" borderId="1" xfId="0" applyFont="1" applyBorder="1" applyAlignment="1" applyProtection="1">
      <alignment horizontal="left" vertical="center" indent="1"/>
      <protection locked="0"/>
    </xf>
    <xf numFmtId="0" fontId="20" fillId="0" borderId="2" xfId="0" applyFont="1" applyBorder="1" applyAlignment="1" applyProtection="1">
      <alignment horizontal="left" vertical="center" indent="1"/>
      <protection locked="0"/>
    </xf>
    <xf numFmtId="0" fontId="0" fillId="0" borderId="21" xfId="0" applyFont="1" applyBorder="1" applyAlignment="1" applyProtection="1">
      <alignment horizontal="left" vertical="center" indent="1"/>
      <protection locked="0"/>
    </xf>
    <xf numFmtId="3" fontId="9" fillId="0" borderId="5" xfId="0" applyNumberFormat="1" applyFont="1" applyFill="1" applyBorder="1" applyAlignment="1">
      <alignment vertical="center" wrapText="1"/>
    </xf>
    <xf numFmtId="0" fontId="19" fillId="0" borderId="2" xfId="0" applyFont="1" applyBorder="1" applyAlignment="1" applyProtection="1">
      <alignment horizontal="left" vertical="center" indent="1"/>
      <protection locked="0"/>
    </xf>
    <xf numFmtId="0" fontId="5" fillId="0" borderId="1" xfId="0" applyFont="1" applyBorder="1" applyAlignment="1" applyProtection="1">
      <alignment horizontal="left" vertical="center" indent="1"/>
      <protection locked="0"/>
    </xf>
    <xf numFmtId="0" fontId="7" fillId="0" borderId="1" xfId="0" applyFont="1" applyBorder="1" applyAlignment="1" applyProtection="1">
      <alignment horizontal="left" vertical="center" indent="1"/>
      <protection locked="0"/>
    </xf>
    <xf numFmtId="0" fontId="35" fillId="0" borderId="1" xfId="0" applyFont="1" applyBorder="1" applyAlignment="1" applyProtection="1">
      <alignment horizontal="left" vertical="center" indent="1"/>
      <protection locked="0"/>
    </xf>
    <xf numFmtId="0" fontId="8" fillId="0" borderId="1" xfId="0" applyFont="1" applyBorder="1" applyAlignment="1" applyProtection="1">
      <alignment horizontal="left" vertical="center" indent="1"/>
      <protection locked="0"/>
    </xf>
    <xf numFmtId="3" fontId="6" fillId="0" borderId="1" xfId="0" applyNumberFormat="1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6" fillId="0" borderId="1" xfId="0" applyFont="1" applyBorder="1" applyAlignment="1" applyProtection="1">
      <alignment horizontal="left" vertical="center" indent="1"/>
      <protection locked="0"/>
    </xf>
    <xf numFmtId="0" fontId="6" fillId="0" borderId="19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3" fontId="7" fillId="0" borderId="1" xfId="0" applyNumberFormat="1" applyFont="1" applyBorder="1" applyAlignment="1" applyProtection="1">
      <alignment vertical="center"/>
      <protection locked="0"/>
    </xf>
    <xf numFmtId="3" fontId="7" fillId="0" borderId="3" xfId="0" applyNumberFormat="1" applyFont="1" applyBorder="1" applyAlignment="1" applyProtection="1">
      <alignment vertical="center"/>
      <protection locked="0"/>
    </xf>
    <xf numFmtId="3" fontId="7" fillId="0" borderId="1" xfId="0" applyNumberFormat="1" applyFont="1" applyBorder="1" applyAlignment="1" applyProtection="1">
      <alignment horizontal="right" vertical="center" indent="1"/>
      <protection locked="0"/>
    </xf>
    <xf numFmtId="3" fontId="7" fillId="0" borderId="2" xfId="0" applyNumberFormat="1" applyFont="1" applyBorder="1" applyAlignment="1" applyProtection="1">
      <alignment horizontal="right" vertical="center" indent="1"/>
      <protection locked="0"/>
    </xf>
    <xf numFmtId="3" fontId="7" fillId="0" borderId="10" xfId="0" applyNumberFormat="1" applyFont="1" applyBorder="1" applyAlignment="1" applyProtection="1">
      <alignment vertical="center"/>
      <protection locked="0"/>
    </xf>
    <xf numFmtId="3" fontId="5" fillId="0" borderId="14" xfId="0" applyNumberFormat="1" applyFont="1" applyFill="1" applyBorder="1" applyAlignment="1">
      <alignment vertical="center"/>
    </xf>
    <xf numFmtId="3" fontId="34" fillId="0" borderId="1" xfId="0" applyNumberFormat="1" applyFont="1" applyBorder="1" applyAlignment="1" applyProtection="1">
      <alignment horizontal="right" vertical="center"/>
      <protection locked="0"/>
    </xf>
    <xf numFmtId="3" fontId="34" fillId="0" borderId="1" xfId="0" applyNumberFormat="1" applyFont="1" applyBorder="1" applyAlignment="1" applyProtection="1">
      <alignment vertical="center"/>
      <protection locked="0"/>
    </xf>
    <xf numFmtId="3" fontId="34" fillId="0" borderId="19" xfId="0" applyNumberFormat="1" applyFont="1" applyFill="1" applyBorder="1" applyAlignment="1">
      <alignment vertical="center"/>
    </xf>
    <xf numFmtId="3" fontId="34" fillId="0" borderId="3" xfId="0" applyNumberFormat="1" applyFont="1" applyBorder="1" applyAlignment="1" applyProtection="1">
      <alignment horizontal="right" vertical="center"/>
      <protection locked="0"/>
    </xf>
    <xf numFmtId="3" fontId="34" fillId="0" borderId="19" xfId="0" applyNumberFormat="1" applyFont="1" applyFill="1" applyBorder="1"/>
    <xf numFmtId="3" fontId="8" fillId="0" borderId="1" xfId="0" applyNumberFormat="1" applyFont="1" applyBorder="1" applyAlignment="1" applyProtection="1">
      <alignment horizontal="right" vertical="center"/>
      <protection locked="0"/>
    </xf>
    <xf numFmtId="3" fontId="8" fillId="0" borderId="3" xfId="0" applyNumberFormat="1" applyFont="1" applyBorder="1" applyAlignment="1" applyProtection="1">
      <alignment horizontal="right" vertical="center"/>
      <protection locked="0"/>
    </xf>
    <xf numFmtId="3" fontId="8" fillId="0" borderId="19" xfId="0" applyNumberFormat="1" applyFont="1" applyFill="1" applyBorder="1" applyAlignment="1">
      <alignment vertical="center"/>
    </xf>
    <xf numFmtId="3" fontId="8" fillId="0" borderId="19" xfId="0" applyNumberFormat="1" applyFont="1" applyFill="1" applyBorder="1"/>
    <xf numFmtId="3" fontId="35" fillId="0" borderId="1" xfId="0" applyNumberFormat="1" applyFont="1" applyBorder="1" applyAlignment="1" applyProtection="1">
      <alignment horizontal="right" vertical="center"/>
      <protection locked="0"/>
    </xf>
    <xf numFmtId="3" fontId="35" fillId="0" borderId="3" xfId="0" applyNumberFormat="1" applyFont="1" applyBorder="1" applyAlignment="1" applyProtection="1">
      <alignment horizontal="right" vertical="center"/>
      <protection locked="0"/>
    </xf>
    <xf numFmtId="3" fontId="35" fillId="0" borderId="19" xfId="0" applyNumberFormat="1" applyFont="1" applyFill="1" applyBorder="1"/>
    <xf numFmtId="3" fontId="35" fillId="0" borderId="1" xfId="0" applyNumberFormat="1" applyFont="1" applyBorder="1" applyAlignment="1" applyProtection="1">
      <alignment vertical="center"/>
      <protection locked="0"/>
    </xf>
    <xf numFmtId="3" fontId="35" fillId="0" borderId="3" xfId="0" applyNumberFormat="1" applyFont="1" applyBorder="1" applyAlignment="1" applyProtection="1">
      <alignment vertical="center"/>
      <protection locked="0"/>
    </xf>
    <xf numFmtId="3" fontId="35" fillId="0" borderId="19" xfId="0" applyNumberFormat="1" applyFont="1" applyFill="1" applyBorder="1" applyAlignment="1">
      <alignment vertical="center"/>
    </xf>
    <xf numFmtId="3" fontId="35" fillId="0" borderId="1" xfId="0" applyNumberFormat="1" applyFont="1" applyBorder="1" applyAlignment="1" applyProtection="1">
      <alignment horizontal="right" vertical="center" indent="1"/>
      <protection locked="0"/>
    </xf>
    <xf numFmtId="3" fontId="35" fillId="0" borderId="21" xfId="0" applyNumberFormat="1" applyFont="1" applyBorder="1" applyAlignment="1" applyProtection="1">
      <alignment horizontal="right" vertical="center" indent="1"/>
      <protection locked="0"/>
    </xf>
    <xf numFmtId="3" fontId="35" fillId="0" borderId="32" xfId="0" applyNumberFormat="1" applyFont="1" applyBorder="1" applyAlignment="1" applyProtection="1">
      <alignment horizontal="right" vertical="center" inden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84" fillId="0" borderId="1" xfId="0" applyFont="1" applyBorder="1"/>
    <xf numFmtId="0" fontId="95" fillId="0" borderId="0" xfId="0" applyFont="1"/>
    <xf numFmtId="0" fontId="95" fillId="0" borderId="1" xfId="0" applyFont="1" applyBorder="1" applyAlignment="1">
      <alignment horizontal="center" wrapText="1"/>
    </xf>
    <xf numFmtId="0" fontId="95" fillId="0" borderId="1" xfId="0" applyFont="1" applyBorder="1" applyAlignment="1">
      <alignment horizontal="center"/>
    </xf>
    <xf numFmtId="3" fontId="95" fillId="0" borderId="1" xfId="0" applyNumberFormat="1" applyFont="1" applyFill="1" applyBorder="1" applyAlignment="1">
      <alignment horizontal="center"/>
    </xf>
    <xf numFmtId="3" fontId="95" fillId="0" borderId="1" xfId="0" applyNumberFormat="1" applyFont="1" applyFill="1" applyBorder="1" applyAlignment="1">
      <alignment horizontal="center" wrapText="1"/>
    </xf>
    <xf numFmtId="3" fontId="95" fillId="0" borderId="1" xfId="0" applyNumberFormat="1" applyFont="1" applyBorder="1" applyAlignment="1">
      <alignment horizontal="center"/>
    </xf>
    <xf numFmtId="3" fontId="95" fillId="0" borderId="1" xfId="0" applyNumberFormat="1" applyFont="1" applyBorder="1"/>
    <xf numFmtId="0" fontId="84" fillId="0" borderId="1" xfId="0" applyFont="1" applyBorder="1" applyAlignment="1">
      <alignment wrapText="1"/>
    </xf>
    <xf numFmtId="3" fontId="95" fillId="0" borderId="0" xfId="0" applyNumberFormat="1" applyFont="1"/>
    <xf numFmtId="3" fontId="5" fillId="0" borderId="24" xfId="50" applyNumberFormat="1" applyFont="1" applyBorder="1"/>
    <xf numFmtId="4" fontId="19" fillId="0" borderId="19" xfId="2" applyNumberFormat="1" applyFont="1" applyFill="1" applyBorder="1" applyAlignment="1">
      <alignment horizontal="right" vertical="center"/>
    </xf>
    <xf numFmtId="3" fontId="39" fillId="0" borderId="41" xfId="0" applyNumberFormat="1" applyFont="1" applyBorder="1"/>
    <xf numFmtId="4" fontId="20" fillId="0" borderId="24" xfId="2" applyNumberFormat="1" applyFont="1" applyFill="1" applyBorder="1"/>
    <xf numFmtId="3" fontId="5" fillId="0" borderId="2" xfId="0" applyNumberFormat="1" applyFont="1" applyFill="1" applyBorder="1"/>
    <xf numFmtId="0" fontId="5" fillId="0" borderId="15" xfId="1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left" vertical="center" wrapText="1"/>
    </xf>
    <xf numFmtId="3" fontId="5" fillId="0" borderId="16" xfId="0" applyNumberFormat="1" applyFont="1" applyFill="1" applyBorder="1" applyAlignment="1">
      <alignment vertical="center"/>
    </xf>
    <xf numFmtId="4" fontId="20" fillId="0" borderId="17" xfId="2" applyNumberFormat="1" applyFont="1" applyFill="1" applyBorder="1"/>
    <xf numFmtId="4" fontId="20" fillId="0" borderId="24" xfId="2" applyNumberFormat="1" applyFont="1" applyFill="1" applyBorder="1" applyAlignment="1">
      <alignment horizontal="right"/>
    </xf>
    <xf numFmtId="4" fontId="20" fillId="0" borderId="17" xfId="2" applyNumberFormat="1" applyFont="1" applyFill="1" applyBorder="1" applyAlignment="1">
      <alignment horizontal="right"/>
    </xf>
    <xf numFmtId="0" fontId="37" fillId="0" borderId="0" xfId="0" applyFont="1" applyAlignment="1">
      <alignment horizontal="center" vertical="center" wrapText="1"/>
    </xf>
    <xf numFmtId="0" fontId="5" fillId="0" borderId="74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74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3" fontId="14" fillId="0" borderId="0" xfId="2" applyNumberFormat="1" applyFont="1" applyFill="1" applyBorder="1" applyAlignment="1">
      <alignment horizontal="center"/>
    </xf>
    <xf numFmtId="3" fontId="15" fillId="0" borderId="0" xfId="2" applyNumberFormat="1" applyFont="1" applyFill="1" applyBorder="1" applyAlignment="1" applyProtection="1">
      <alignment horizontal="left" vertical="center"/>
    </xf>
    <xf numFmtId="3" fontId="14" fillId="0" borderId="0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3" fontId="16" fillId="0" borderId="37" xfId="0" applyNumberFormat="1" applyFont="1" applyFill="1" applyBorder="1" applyAlignment="1" applyProtection="1">
      <alignment horizontal="right"/>
    </xf>
    <xf numFmtId="0" fontId="0" fillId="0" borderId="37" xfId="0" applyBorder="1" applyAlignment="1">
      <alignment horizontal="right"/>
    </xf>
    <xf numFmtId="0" fontId="5" fillId="0" borderId="51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/>
    </xf>
    <xf numFmtId="0" fontId="33" fillId="0" borderId="6" xfId="0" applyFont="1" applyBorder="1" applyAlignment="1"/>
    <xf numFmtId="0" fontId="4" fillId="0" borderId="15" xfId="42" applyFont="1" applyBorder="1" applyAlignment="1">
      <alignment horizontal="center"/>
    </xf>
    <xf numFmtId="0" fontId="4" fillId="0" borderId="16" xfId="42" applyFont="1" applyBorder="1" applyAlignment="1">
      <alignment horizontal="center"/>
    </xf>
    <xf numFmtId="0" fontId="24" fillId="0" borderId="0" xfId="50" applyFont="1" applyAlignment="1">
      <alignment horizontal="center" wrapText="1"/>
    </xf>
    <xf numFmtId="0" fontId="24" fillId="0" borderId="37" xfId="50" applyFont="1" applyBorder="1" applyAlignment="1">
      <alignment horizontal="center" wrapText="1"/>
    </xf>
    <xf numFmtId="0" fontId="24" fillId="0" borderId="0" xfId="50" applyFont="1" applyAlignment="1">
      <alignment horizontal="center"/>
    </xf>
    <xf numFmtId="0" fontId="24" fillId="0" borderId="0" xfId="46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3" fontId="35" fillId="0" borderId="0" xfId="0" applyNumberFormat="1" applyFont="1" applyBorder="1" applyAlignment="1">
      <alignment horizontal="center"/>
    </xf>
    <xf numFmtId="0" fontId="6" fillId="0" borderId="58" xfId="1" applyFont="1" applyFill="1" applyBorder="1" applyAlignment="1">
      <alignment horizontal="center" vertical="center" wrapText="1"/>
    </xf>
    <xf numFmtId="0" fontId="6" fillId="0" borderId="51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3" fontId="35" fillId="0" borderId="12" xfId="0" applyNumberFormat="1" applyFont="1" applyBorder="1" applyAlignment="1">
      <alignment horizontal="center" vertical="center" wrapText="1"/>
    </xf>
    <xf numFmtId="3" fontId="35" fillId="0" borderId="13" xfId="0" applyNumberFormat="1" applyFont="1" applyBorder="1" applyAlignment="1">
      <alignment horizontal="center" vertical="center" wrapText="1"/>
    </xf>
    <xf numFmtId="3" fontId="35" fillId="0" borderId="14" xfId="0" applyNumberFormat="1" applyFont="1" applyBorder="1" applyAlignment="1">
      <alignment horizontal="center" vertical="center" wrapText="1"/>
    </xf>
    <xf numFmtId="3" fontId="35" fillId="0" borderId="15" xfId="0" applyNumberFormat="1" applyFont="1" applyBorder="1" applyAlignment="1">
      <alignment horizontal="center" vertical="center" wrapText="1"/>
    </xf>
    <xf numFmtId="3" fontId="35" fillId="0" borderId="16" xfId="0" applyNumberFormat="1" applyFont="1" applyBorder="1" applyAlignment="1">
      <alignment horizontal="center" vertical="center" wrapText="1"/>
    </xf>
    <xf numFmtId="3" fontId="35" fillId="0" borderId="17" xfId="0" applyNumberFormat="1" applyFont="1" applyBorder="1" applyAlignment="1">
      <alignment horizontal="center" vertical="center" wrapText="1"/>
    </xf>
    <xf numFmtId="3" fontId="35" fillId="0" borderId="61" xfId="0" applyNumberFormat="1" applyFont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left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7" fillId="0" borderId="25" xfId="1" applyFont="1" applyFill="1" applyBorder="1" applyAlignment="1">
      <alignment horizontal="left" vertical="center" wrapText="1"/>
    </xf>
    <xf numFmtId="0" fontId="7" fillId="0" borderId="26" xfId="1" applyFont="1" applyFill="1" applyBorder="1" applyAlignment="1">
      <alignment horizontal="left" vertical="center" wrapText="1"/>
    </xf>
    <xf numFmtId="0" fontId="6" fillId="0" borderId="18" xfId="1" applyFont="1" applyFill="1" applyBorder="1" applyAlignment="1">
      <alignment horizontal="left" vertical="center" wrapText="1"/>
    </xf>
    <xf numFmtId="0" fontId="6" fillId="0" borderId="19" xfId="1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3" fontId="35" fillId="0" borderId="47" xfId="0" applyNumberFormat="1" applyFont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left" vertical="center" wrapText="1"/>
    </xf>
    <xf numFmtId="0" fontId="6" fillId="0" borderId="30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3" fontId="35" fillId="0" borderId="6" xfId="0" applyNumberFormat="1" applyFont="1" applyBorder="1" applyAlignment="1">
      <alignment horizontal="right"/>
    </xf>
    <xf numFmtId="0" fontId="6" fillId="0" borderId="5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3" fontId="35" fillId="0" borderId="3" xfId="0" applyNumberFormat="1" applyFont="1" applyFill="1" applyBorder="1" applyAlignment="1">
      <alignment horizontal="center" vertical="center"/>
    </xf>
    <xf numFmtId="3" fontId="35" fillId="0" borderId="4" xfId="0" applyNumberFormat="1" applyFont="1" applyFill="1" applyBorder="1" applyAlignment="1">
      <alignment horizontal="center" vertical="center"/>
    </xf>
    <xf numFmtId="3" fontId="35" fillId="0" borderId="8" xfId="0" applyNumberFormat="1" applyFont="1" applyFill="1" applyBorder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3" xfId="0" applyNumberFormat="1" applyFont="1" applyBorder="1" applyAlignment="1">
      <alignment horizontal="center" vertical="center" wrapText="1"/>
    </xf>
    <xf numFmtId="49" fontId="35" fillId="0" borderId="4" xfId="0" applyNumberFormat="1" applyFont="1" applyBorder="1" applyAlignment="1">
      <alignment horizontal="center" vertical="center" wrapText="1"/>
    </xf>
    <xf numFmtId="49" fontId="35" fillId="0" borderId="8" xfId="0" applyNumberFormat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35" fillId="0" borderId="6" xfId="0" applyFont="1" applyBorder="1" applyAlignment="1">
      <alignment horizontal="right"/>
    </xf>
    <xf numFmtId="49" fontId="34" fillId="0" borderId="3" xfId="0" applyNumberFormat="1" applyFont="1" applyBorder="1" applyAlignment="1">
      <alignment horizontal="center" vertical="center"/>
    </xf>
    <xf numFmtId="49" fontId="34" fillId="0" borderId="8" xfId="0" applyNumberFormat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49" fontId="35" fillId="0" borderId="3" xfId="0" applyNumberFormat="1" applyFont="1" applyBorder="1" applyAlignment="1">
      <alignment horizontal="center" vertical="center"/>
    </xf>
    <xf numFmtId="49" fontId="35" fillId="0" borderId="8" xfId="0" applyNumberFormat="1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49" fontId="34" fillId="0" borderId="27" xfId="0" applyNumberFormat="1" applyFont="1" applyBorder="1" applyAlignment="1">
      <alignment horizontal="center"/>
    </xf>
    <xf numFmtId="49" fontId="34" fillId="0" borderId="57" xfId="0" applyNumberFormat="1" applyFont="1" applyBorder="1" applyAlignment="1">
      <alignment horizontal="center"/>
    </xf>
    <xf numFmtId="49" fontId="35" fillId="0" borderId="1" xfId="0" applyNumberFormat="1" applyFont="1" applyBorder="1" applyAlignment="1">
      <alignment horizontal="center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37" fillId="0" borderId="0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49" fontId="35" fillId="0" borderId="3" xfId="0" applyNumberFormat="1" applyFont="1" applyFill="1" applyBorder="1" applyAlignment="1">
      <alignment horizontal="center" vertical="center" wrapText="1"/>
    </xf>
    <xf numFmtId="49" fontId="35" fillId="0" borderId="4" xfId="0" applyNumberFormat="1" applyFont="1" applyFill="1" applyBorder="1" applyAlignment="1">
      <alignment horizontal="center" vertical="center" wrapText="1"/>
    </xf>
    <xf numFmtId="49" fontId="35" fillId="0" borderId="8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 indent="5"/>
    </xf>
    <xf numFmtId="0" fontId="9" fillId="0" borderId="8" xfId="0" applyFont="1" applyFill="1" applyBorder="1" applyAlignment="1">
      <alignment horizontal="left" vertical="center" wrapText="1" indent="5"/>
    </xf>
    <xf numFmtId="0" fontId="35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34" fillId="0" borderId="3" xfId="0" applyFont="1" applyBorder="1" applyAlignment="1"/>
    <xf numFmtId="0" fontId="34" fillId="0" borderId="8" xfId="0" applyFont="1" applyBorder="1" applyAlignment="1"/>
    <xf numFmtId="0" fontId="4" fillId="0" borderId="3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4" fillId="0" borderId="8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vertical="center" wrapText="1"/>
    </xf>
    <xf numFmtId="0" fontId="6" fillId="0" borderId="8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8" xfId="1" applyFont="1" applyFill="1" applyBorder="1" applyAlignment="1">
      <alignment vertical="center" wrapText="1"/>
    </xf>
    <xf numFmtId="0" fontId="34" fillId="0" borderId="3" xfId="0" applyFont="1" applyBorder="1" applyAlignment="1">
      <alignment horizontal="left"/>
    </xf>
    <xf numFmtId="0" fontId="34" fillId="0" borderId="4" xfId="0" applyFont="1" applyBorder="1" applyAlignment="1">
      <alignment horizontal="left"/>
    </xf>
    <xf numFmtId="0" fontId="34" fillId="0" borderId="8" xfId="0" applyFont="1" applyBorder="1" applyAlignment="1">
      <alignment horizontal="left"/>
    </xf>
    <xf numFmtId="3" fontId="3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36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9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6" fillId="0" borderId="58" xfId="1" applyFont="1" applyFill="1" applyBorder="1" applyAlignment="1">
      <alignment horizontal="center" vertical="center"/>
    </xf>
    <xf numFmtId="0" fontId="6" fillId="0" borderId="78" xfId="1" applyFont="1" applyFill="1" applyBorder="1" applyAlignment="1">
      <alignment horizontal="center" vertical="center"/>
    </xf>
    <xf numFmtId="0" fontId="6" fillId="0" borderId="59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 wrapText="1"/>
    </xf>
    <xf numFmtId="0" fontId="6" fillId="0" borderId="35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44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 wrapText="1"/>
    </xf>
    <xf numFmtId="0" fontId="4" fillId="0" borderId="77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7" fillId="0" borderId="35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41" fillId="0" borderId="6" xfId="0" applyFont="1" applyBorder="1" applyAlignment="1">
      <alignment horizontal="right"/>
    </xf>
    <xf numFmtId="0" fontId="41" fillId="0" borderId="1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39" fillId="0" borderId="4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left" vertical="center" wrapText="1"/>
    </xf>
    <xf numFmtId="0" fontId="41" fillId="0" borderId="6" xfId="0" applyFont="1" applyBorder="1" applyAlignment="1">
      <alignment horizontal="center"/>
    </xf>
    <xf numFmtId="49" fontId="20" fillId="0" borderId="15" xfId="0" applyNumberFormat="1" applyFont="1" applyFill="1" applyBorder="1" applyAlignment="1">
      <alignment horizontal="center" vertical="center"/>
    </xf>
    <xf numFmtId="49" fontId="20" fillId="0" borderId="18" xfId="0" applyNumberFormat="1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3" fontId="17" fillId="0" borderId="12" xfId="0" applyNumberFormat="1" applyFont="1" applyFill="1" applyBorder="1" applyAlignment="1">
      <alignment horizontal="left" vertical="center" wrapText="1" indent="2"/>
    </xf>
    <xf numFmtId="3" fontId="17" fillId="0" borderId="14" xfId="0" applyNumberFormat="1" applyFont="1" applyFill="1" applyBorder="1" applyAlignment="1">
      <alignment horizontal="left" vertical="center" wrapText="1" indent="2"/>
    </xf>
    <xf numFmtId="3" fontId="12" fillId="0" borderId="0" xfId="0" applyNumberFormat="1" applyFont="1" applyFill="1" applyAlignment="1">
      <alignment horizontal="right" vertical="center" wrapText="1"/>
    </xf>
    <xf numFmtId="3" fontId="0" fillId="0" borderId="0" xfId="0" applyNumberFormat="1" applyFill="1" applyAlignment="1">
      <alignment horizontal="center" vertical="center" wrapText="1"/>
    </xf>
    <xf numFmtId="3" fontId="26" fillId="0" borderId="40" xfId="0" applyNumberFormat="1" applyFont="1" applyFill="1" applyBorder="1" applyAlignment="1">
      <alignment horizontal="center" vertical="center" wrapText="1"/>
    </xf>
    <xf numFmtId="3" fontId="26" fillId="0" borderId="33" xfId="0" applyNumberFormat="1" applyFont="1" applyFill="1" applyBorder="1" applyAlignment="1">
      <alignment horizontal="center" vertical="center" wrapText="1"/>
    </xf>
    <xf numFmtId="3" fontId="26" fillId="0" borderId="59" xfId="0" applyNumberFormat="1" applyFont="1" applyFill="1" applyBorder="1" applyAlignment="1">
      <alignment horizontal="center" vertical="center"/>
    </xf>
    <xf numFmtId="3" fontId="26" fillId="0" borderId="53" xfId="0" applyNumberFormat="1" applyFont="1" applyFill="1" applyBorder="1" applyAlignment="1">
      <alignment horizontal="center" vertical="center"/>
    </xf>
    <xf numFmtId="3" fontId="26" fillId="0" borderId="33" xfId="0" applyNumberFormat="1" applyFont="1" applyFill="1" applyBorder="1" applyAlignment="1">
      <alignment horizontal="center" vertical="center"/>
    </xf>
    <xf numFmtId="3" fontId="26" fillId="0" borderId="12" xfId="0" applyNumberFormat="1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44" xfId="0" applyNumberFormat="1" applyFont="1" applyFill="1" applyBorder="1" applyAlignment="1">
      <alignment horizontal="center" vertical="center"/>
    </xf>
    <xf numFmtId="3" fontId="26" fillId="0" borderId="40" xfId="0" applyNumberFormat="1" applyFont="1" applyFill="1" applyBorder="1" applyAlignment="1">
      <alignment horizontal="center" vertical="center"/>
    </xf>
    <xf numFmtId="0" fontId="17" fillId="0" borderId="27" xfId="0" applyFont="1" applyBorder="1" applyAlignment="1">
      <alignment horizontal="left" vertical="center" indent="2"/>
    </xf>
    <xf numFmtId="0" fontId="17" fillId="0" borderId="57" xfId="0" applyFont="1" applyBorder="1" applyAlignment="1">
      <alignment horizontal="left" vertical="center" indent="2"/>
    </xf>
    <xf numFmtId="0" fontId="80" fillId="0" borderId="0" xfId="45" applyFont="1" applyBorder="1" applyAlignment="1">
      <alignment horizontal="center" vertical="center" wrapText="1"/>
    </xf>
    <xf numFmtId="0" fontId="7" fillId="0" borderId="40" xfId="45" applyFont="1" applyBorder="1" applyAlignment="1"/>
    <xf numFmtId="0" fontId="7" fillId="0" borderId="33" xfId="45" applyFont="1" applyBorder="1" applyAlignment="1"/>
    <xf numFmtId="0" fontId="80" fillId="0" borderId="60" xfId="45" applyFont="1" applyBorder="1" applyAlignment="1">
      <alignment horizontal="center" vertical="center" wrapText="1"/>
    </xf>
    <xf numFmtId="0" fontId="80" fillId="0" borderId="55" xfId="45" applyFont="1" applyBorder="1" applyAlignment="1">
      <alignment horizontal="center" vertical="center" wrapText="1"/>
    </xf>
    <xf numFmtId="0" fontId="80" fillId="0" borderId="7" xfId="45" applyFont="1" applyBorder="1" applyAlignment="1">
      <alignment horizontal="center" vertical="center" wrapText="1"/>
    </xf>
    <xf numFmtId="0" fontId="80" fillId="0" borderId="54" xfId="45" applyFont="1" applyBorder="1" applyAlignment="1">
      <alignment horizontal="center" vertical="center" wrapText="1"/>
    </xf>
    <xf numFmtId="0" fontId="5" fillId="0" borderId="90" xfId="45" applyFont="1" applyBorder="1" applyAlignment="1">
      <alignment horizontal="center" vertical="center" wrapText="1"/>
    </xf>
    <xf numFmtId="0" fontId="7" fillId="0" borderId="54" xfId="44" applyFont="1" applyBorder="1" applyAlignment="1"/>
    <xf numFmtId="0" fontId="80" fillId="0" borderId="80" xfId="45" applyFont="1" applyBorder="1" applyAlignment="1">
      <alignment horizontal="center" vertical="center" wrapText="1"/>
    </xf>
    <xf numFmtId="0" fontId="80" fillId="0" borderId="91" xfId="45" applyFont="1" applyBorder="1" applyAlignment="1">
      <alignment horizontal="center" vertical="center" wrapText="1"/>
    </xf>
    <xf numFmtId="0" fontId="5" fillId="0" borderId="19" xfId="45" applyFont="1" applyBorder="1" applyAlignment="1">
      <alignment horizontal="center" vertical="center" wrapText="1"/>
    </xf>
    <xf numFmtId="167" fontId="7" fillId="1" borderId="27" xfId="98" applyNumberFormat="1" applyFont="1" applyFill="1" applyBorder="1" applyAlignment="1"/>
    <xf numFmtId="167" fontId="7" fillId="1" borderId="92" xfId="98" applyNumberFormat="1" applyFont="1" applyFill="1" applyBorder="1" applyAlignment="1"/>
    <xf numFmtId="167" fontId="7" fillId="1" borderId="29" xfId="98" applyNumberFormat="1" applyFont="1" applyFill="1" applyBorder="1" applyAlignment="1"/>
    <xf numFmtId="0" fontId="7" fillId="0" borderId="18" xfId="45" applyFont="1" applyBorder="1" applyAlignment="1"/>
    <xf numFmtId="0" fontId="5" fillId="0" borderId="1" xfId="45" applyFont="1" applyBorder="1" applyAlignment="1">
      <alignment horizontal="center" vertical="center" wrapText="1"/>
    </xf>
    <xf numFmtId="3" fontId="13" fillId="0" borderId="42" xfId="44" applyNumberFormat="1" applyFont="1" applyFill="1" applyBorder="1" applyAlignment="1">
      <alignment horizontal="justify" vertical="center" wrapText="1"/>
    </xf>
    <xf numFmtId="0" fontId="5" fillId="0" borderId="93" xfId="0" applyFont="1" applyBorder="1" applyAlignment="1">
      <alignment horizontal="center" vertical="center" wrapText="1"/>
    </xf>
    <xf numFmtId="0" fontId="5" fillId="0" borderId="94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/>
    </xf>
    <xf numFmtId="0" fontId="35" fillId="0" borderId="92" xfId="0" applyFont="1" applyBorder="1" applyAlignment="1">
      <alignment horizontal="center" vertical="center"/>
    </xf>
    <xf numFmtId="0" fontId="35" fillId="0" borderId="29" xfId="0" applyFont="1" applyBorder="1" applyAlignment="1">
      <alignment horizontal="center" vertical="center"/>
    </xf>
    <xf numFmtId="9" fontId="35" fillId="0" borderId="43" xfId="99" applyFont="1" applyBorder="1" applyAlignment="1">
      <alignment horizontal="center" vertical="center"/>
    </xf>
    <xf numFmtId="9" fontId="35" fillId="0" borderId="75" xfId="99" applyFont="1" applyBorder="1" applyAlignment="1">
      <alignment horizontal="center" vertical="center"/>
    </xf>
    <xf numFmtId="0" fontId="6" fillId="0" borderId="37" xfId="0" applyFont="1" applyBorder="1" applyAlignment="1">
      <alignment horizontal="center"/>
    </xf>
    <xf numFmtId="0" fontId="87" fillId="0" borderId="96" xfId="106" applyFont="1" applyFill="1" applyBorder="1" applyAlignment="1" applyProtection="1">
      <alignment horizontal="center" vertical="center" wrapText="1"/>
    </xf>
    <xf numFmtId="0" fontId="87" fillId="0" borderId="79" xfId="106" applyFont="1" applyFill="1" applyBorder="1" applyAlignment="1" applyProtection="1">
      <alignment horizontal="center" vertical="center" wrapText="1"/>
    </xf>
    <xf numFmtId="0" fontId="87" fillId="0" borderId="31" xfId="106" applyFont="1" applyFill="1" applyBorder="1" applyAlignment="1" applyProtection="1">
      <alignment horizontal="center" vertical="center" wrapText="1"/>
    </xf>
    <xf numFmtId="0" fontId="88" fillId="0" borderId="90" xfId="105" applyFont="1" applyFill="1" applyBorder="1" applyAlignment="1" applyProtection="1">
      <alignment horizontal="center" vertical="center" textRotation="90"/>
    </xf>
    <xf numFmtId="0" fontId="88" fillId="0" borderId="7" xfId="105" applyFont="1" applyFill="1" applyBorder="1" applyAlignment="1" applyProtection="1">
      <alignment horizontal="center" vertical="center" textRotation="90"/>
    </xf>
    <xf numFmtId="0" fontId="88" fillId="0" borderId="5" xfId="105" applyFont="1" applyFill="1" applyBorder="1" applyAlignment="1" applyProtection="1">
      <alignment horizontal="center" vertical="center" textRotation="90"/>
    </xf>
    <xf numFmtId="0" fontId="86" fillId="0" borderId="16" xfId="106" applyFont="1" applyFill="1" applyBorder="1" applyAlignment="1" applyProtection="1">
      <alignment horizontal="center" vertical="center" wrapText="1"/>
    </xf>
    <xf numFmtId="0" fontId="86" fillId="0" borderId="1" xfId="106" applyFont="1" applyFill="1" applyBorder="1" applyAlignment="1" applyProtection="1">
      <alignment horizontal="center" vertical="center" wrapText="1"/>
    </xf>
    <xf numFmtId="0" fontId="86" fillId="0" borderId="1" xfId="106" applyFont="1" applyFill="1" applyBorder="1" applyAlignment="1" applyProtection="1">
      <alignment horizontal="center" wrapText="1"/>
    </xf>
    <xf numFmtId="0" fontId="6" fillId="0" borderId="37" xfId="0" applyFont="1" applyBorder="1" applyAlignment="1">
      <alignment horizontal="right"/>
    </xf>
    <xf numFmtId="0" fontId="14" fillId="0" borderId="15" xfId="105" applyFont="1" applyFill="1" applyBorder="1" applyAlignment="1" applyProtection="1">
      <alignment horizontal="center" vertical="center" wrapText="1"/>
    </xf>
    <xf numFmtId="0" fontId="14" fillId="0" borderId="18" xfId="105" applyFont="1" applyFill="1" applyBorder="1" applyAlignment="1" applyProtection="1">
      <alignment horizontal="center" vertical="center" wrapText="1"/>
    </xf>
    <xf numFmtId="0" fontId="88" fillId="0" borderId="16" xfId="105" applyFont="1" applyFill="1" applyBorder="1" applyAlignment="1" applyProtection="1">
      <alignment horizontal="center" vertical="center" textRotation="90"/>
    </xf>
    <xf numFmtId="0" fontId="88" fillId="0" borderId="1" xfId="105" applyFont="1" applyFill="1" applyBorder="1" applyAlignment="1" applyProtection="1">
      <alignment horizontal="center" vertical="center" textRotation="90"/>
    </xf>
    <xf numFmtId="0" fontId="25" fillId="0" borderId="17" xfId="105" applyFont="1" applyFill="1" applyBorder="1" applyAlignment="1" applyProtection="1">
      <alignment horizontal="center" vertical="center" wrapText="1"/>
    </xf>
    <xf numFmtId="0" fontId="25" fillId="0" borderId="19" xfId="105" applyFont="1" applyFill="1" applyBorder="1" applyAlignment="1" applyProtection="1">
      <alignment horizontal="center" vertical="center"/>
    </xf>
    <xf numFmtId="0" fontId="80" fillId="0" borderId="27" xfId="106" applyFont="1" applyFill="1" applyBorder="1" applyAlignment="1">
      <alignment horizontal="left"/>
    </xf>
    <xf numFmtId="0" fontId="80" fillId="0" borderId="57" xfId="106" applyFont="1" applyFill="1" applyBorder="1" applyAlignment="1">
      <alignment horizontal="left"/>
    </xf>
    <xf numFmtId="0" fontId="70" fillId="0" borderId="12" xfId="0" applyFont="1" applyBorder="1" applyAlignment="1" applyProtection="1">
      <alignment wrapText="1"/>
    </xf>
    <xf numFmtId="0" fontId="70" fillId="0" borderId="13" xfId="0" applyFont="1" applyBorder="1" applyAlignment="1" applyProtection="1">
      <alignment wrapText="1"/>
    </xf>
    <xf numFmtId="0" fontId="84" fillId="0" borderId="1" xfId="0" applyFont="1" applyBorder="1" applyAlignment="1">
      <alignment horizontal="center"/>
    </xf>
  </cellXfs>
  <cellStyles count="110">
    <cellStyle name="20% - 1. jelölőszín 2" xfId="4"/>
    <cellStyle name="20% - 2. jelölőszín 2" xfId="5"/>
    <cellStyle name="20% - 3. jelölőszín 2" xfId="6"/>
    <cellStyle name="20% - 4. jelölőszín 2" xfId="7"/>
    <cellStyle name="20% - 5. jelölőszín 2" xfId="8"/>
    <cellStyle name="20% - 6. jelölőszín 2" xfId="9"/>
    <cellStyle name="20% - Accent1" xfId="57"/>
    <cellStyle name="20% - Accent2" xfId="58"/>
    <cellStyle name="20% - Accent3" xfId="59"/>
    <cellStyle name="20% - Accent4" xfId="60"/>
    <cellStyle name="20% - Accent5" xfId="61"/>
    <cellStyle name="20% - Accent6" xfId="62"/>
    <cellStyle name="40% - 1. jelölőszín 2" xfId="10"/>
    <cellStyle name="40% - 2. jelölőszín 2" xfId="11"/>
    <cellStyle name="40% - 3. jelölőszín 2" xfId="12"/>
    <cellStyle name="40% - 4. jelölőszín 2" xfId="13"/>
    <cellStyle name="40% - 5. jelölőszín 2" xfId="14"/>
    <cellStyle name="40% - 6. jelölőszín 2" xfId="15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60% - 1. jelölőszín 2" xfId="16"/>
    <cellStyle name="60% - 2. jelölőszín 2" xfId="17"/>
    <cellStyle name="60% - 3. jelölőszín 2" xfId="18"/>
    <cellStyle name="60% - 4. jelölőszín 2" xfId="19"/>
    <cellStyle name="60% - 5. jelölőszín 2" xfId="20"/>
    <cellStyle name="60% - 6. jelölőszín 2" xfId="21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Accent1" xfId="75"/>
    <cellStyle name="Accent2" xfId="76"/>
    <cellStyle name="Accent3" xfId="77"/>
    <cellStyle name="Accent4" xfId="78"/>
    <cellStyle name="Accent5" xfId="79"/>
    <cellStyle name="Accent6" xfId="80"/>
    <cellStyle name="Bad" xfId="81"/>
    <cellStyle name="Bevitel 2" xfId="22"/>
    <cellStyle name="Calculation" xfId="82"/>
    <cellStyle name="Check Cell" xfId="83"/>
    <cellStyle name="Cím 2" xfId="23"/>
    <cellStyle name="Címsor 1 2" xfId="24"/>
    <cellStyle name="Címsor 2 2" xfId="25"/>
    <cellStyle name="Címsor 3 2" xfId="26"/>
    <cellStyle name="Címsor 4 2" xfId="27"/>
    <cellStyle name="Ellenőrzőcella 2" xfId="28"/>
    <cellStyle name="Explanatory Text" xfId="84"/>
    <cellStyle name="Ezres" xfId="98" builtinId="3"/>
    <cellStyle name="Ezres 2" xfId="56"/>
    <cellStyle name="Ezres 2 2" xfId="109"/>
    <cellStyle name="Ezres 3" xfId="100"/>
    <cellStyle name="Figyelmeztetés 2" xfId="29"/>
    <cellStyle name="Good" xfId="85"/>
    <cellStyle name="Heading 1" xfId="86"/>
    <cellStyle name="Heading 2" xfId="87"/>
    <cellStyle name="Heading 3" xfId="88"/>
    <cellStyle name="Heading 4" xfId="89"/>
    <cellStyle name="Hiperhivatkozás" xfId="101"/>
    <cellStyle name="Hivatkozott cella 2" xfId="30"/>
    <cellStyle name="Input" xfId="90"/>
    <cellStyle name="Jegyzet 2" xfId="31"/>
    <cellStyle name="Jelölőszín (1) 2" xfId="32"/>
    <cellStyle name="Jelölőszín (2) 2" xfId="33"/>
    <cellStyle name="Jelölőszín (3) 2" xfId="34"/>
    <cellStyle name="Jelölőszín (4) 2" xfId="35"/>
    <cellStyle name="Jelölőszín (5) 2" xfId="36"/>
    <cellStyle name="Jelölőszín (6) 2" xfId="37"/>
    <cellStyle name="Jó 2" xfId="38"/>
    <cellStyle name="Kimenet 2" xfId="39"/>
    <cellStyle name="Linked Cell" xfId="91"/>
    <cellStyle name="Magyarázó szöveg 2" xfId="40"/>
    <cellStyle name="Már látott hiperhivatkozás" xfId="102"/>
    <cellStyle name="Neutral" xfId="92"/>
    <cellStyle name="Normál" xfId="0" builtinId="0"/>
    <cellStyle name="Normál 2" xfId="1"/>
    <cellStyle name="Normál 2 2" xfId="41"/>
    <cellStyle name="Normál 2_TÁJÉKOZTATÓ _TÁBLÁK" xfId="42"/>
    <cellStyle name="Normál 3" xfId="43"/>
    <cellStyle name="Normál 4" xfId="44"/>
    <cellStyle name="Normál 4 2" xfId="45"/>
    <cellStyle name="Normál 5" xfId="46"/>
    <cellStyle name="Normál 5 2" xfId="47"/>
    <cellStyle name="Normál 5 3" xfId="48"/>
    <cellStyle name="Normál 6" xfId="103"/>
    <cellStyle name="Normál 7" xfId="104"/>
    <cellStyle name="Normal_KARSZJ3" xfId="49"/>
    <cellStyle name="Normál_KVRENMUNKA" xfId="2"/>
    <cellStyle name="Normál_SEGEDLETEK" xfId="3"/>
    <cellStyle name="Normál_TÁJÉKOZTATÓ _TÁBLÁK" xfId="50"/>
    <cellStyle name="Normál_VAGYONK" xfId="105"/>
    <cellStyle name="Normál_VAGYONKIM" xfId="106"/>
    <cellStyle name="Note" xfId="93"/>
    <cellStyle name="Output" xfId="94"/>
    <cellStyle name="Összesen 2" xfId="51"/>
    <cellStyle name="Rossz 2" xfId="52"/>
    <cellStyle name="Semleges 2" xfId="53"/>
    <cellStyle name="Számítás 2" xfId="54"/>
    <cellStyle name="Százalék" xfId="99" builtinId="5"/>
    <cellStyle name="Százalék 2" xfId="55"/>
    <cellStyle name="Százalék 2 2" xfId="107"/>
    <cellStyle name="Százalék 2 3" xfId="108"/>
    <cellStyle name="Title" xfId="95"/>
    <cellStyle name="Total" xfId="96"/>
    <cellStyle name="Warning Text" xfId="97"/>
  </cellStyles>
  <dxfs count="1">
    <dxf>
      <font>
        <condense val="0"/>
        <extend val="0"/>
        <color indexed="1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5</xdr:col>
      <xdr:colOff>9525</xdr:colOff>
      <xdr:row>25</xdr:row>
      <xdr:rowOff>0</xdr:rowOff>
    </xdr:to>
    <xdr:sp macro="" textlink="">
      <xdr:nvSpPr>
        <xdr:cNvPr id="57349" name="Line 2"/>
        <xdr:cNvSpPr>
          <a:spLocks noChangeShapeType="1"/>
        </xdr:cNvSpPr>
      </xdr:nvSpPr>
      <xdr:spPr bwMode="auto">
        <a:xfrm flipV="1">
          <a:off x="1257300" y="4943475"/>
          <a:ext cx="474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1600200</xdr:colOff>
      <xdr:row>1</xdr:row>
      <xdr:rowOff>0</xdr:rowOff>
    </xdr:from>
    <xdr:to>
      <xdr:col>12</xdr:col>
      <xdr:colOff>12700</xdr:colOff>
      <xdr:row>1</xdr:row>
      <xdr:rowOff>190500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543800" y="190500"/>
          <a:ext cx="12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1600200</xdr:colOff>
      <xdr:row>1</xdr:row>
      <xdr:rowOff>0</xdr:rowOff>
    </xdr:from>
    <xdr:to>
      <xdr:col>12</xdr:col>
      <xdr:colOff>6350</xdr:colOff>
      <xdr:row>1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7543800" y="190500"/>
          <a:ext cx="63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z&#246;s/Users/cora/AppData/Local/Microsoft/Messenger/irodavezeto@rkt.hu/Sharing%20Folders/csermenyih@freemail.hu/Normat&#237;va/2008/Szent%20L&#225;szl&#243;%20V&#246;lgye%20T&#246;bbc&#233;l&#250;%20Kist&#233;rs&#233;gi%20T&#225;rsul&#225;s,700107,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kumentumok\T&#246;bbc&#233;l&#250;Kist&#233;rs&#233;giT&#225;rsul&#225;s\Normat&#237;va_2006\BMelfogadott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6/BMelfogadott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kumentumok\T&#246;bbc&#233;l&#250;Kist&#233;rs&#233;giT&#225;rsul&#225;s\Normat&#237;va_2007\normat&#237;vafelm&#233;r&#233;s200611h&#243;\4002_kit&#246;lt&#246;tt1204(V&#201;GLEGES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asar\k&#246;z&#246;s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7/normat&#237;vafelm&#233;r&#233;s200611h&#243;/4002_kit&#246;lt&#246;tt1204(V&#201;GLEGES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
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
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
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
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
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
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7"/>
  <sheetViews>
    <sheetView topLeftCell="A25" workbookViewId="0">
      <selection activeCell="B12" sqref="B12"/>
    </sheetView>
  </sheetViews>
  <sheetFormatPr defaultRowHeight="15"/>
  <cols>
    <col min="1" max="1" width="16.7109375" customWidth="1"/>
    <col min="2" max="2" width="88.7109375" customWidth="1"/>
    <col min="3" max="12" width="9.140625" style="1"/>
  </cols>
  <sheetData>
    <row r="1" spans="1:7" ht="48" customHeight="1">
      <c r="A1" s="1191" t="s">
        <v>1259</v>
      </c>
      <c r="B1" s="1191"/>
    </row>
    <row r="3" spans="1:7" ht="15.75">
      <c r="A3" s="571" t="s">
        <v>676</v>
      </c>
      <c r="B3" s="554" t="s">
        <v>698</v>
      </c>
      <c r="C3" s="552"/>
      <c r="D3" s="552"/>
      <c r="E3" s="552"/>
      <c r="F3" s="552"/>
    </row>
    <row r="4" spans="1:7" ht="15.75">
      <c r="A4" s="571" t="s">
        <v>403</v>
      </c>
      <c r="B4" s="554" t="s">
        <v>699</v>
      </c>
      <c r="C4" s="552"/>
      <c r="D4" s="552"/>
      <c r="E4" s="552"/>
      <c r="F4" s="552"/>
    </row>
    <row r="5" spans="1:7" ht="15.75">
      <c r="A5" s="571" t="s">
        <v>677</v>
      </c>
      <c r="B5" s="555" t="s">
        <v>768</v>
      </c>
      <c r="C5" s="563"/>
      <c r="D5" s="563"/>
      <c r="E5" s="563"/>
      <c r="F5" s="563"/>
    </row>
    <row r="6" spans="1:7" ht="15.75">
      <c r="A6" s="571" t="s">
        <v>678</v>
      </c>
      <c r="B6" s="562" t="s">
        <v>1290</v>
      </c>
      <c r="C6" s="564"/>
      <c r="D6" s="564"/>
      <c r="E6" s="564"/>
      <c r="F6" s="563"/>
    </row>
    <row r="7" spans="1:7" ht="15.75" customHeight="1">
      <c r="A7" s="571" t="s">
        <v>679</v>
      </c>
      <c r="B7" s="561" t="s">
        <v>1291</v>
      </c>
      <c r="C7" s="565"/>
      <c r="D7" s="565"/>
      <c r="E7" s="565"/>
      <c r="F7" s="563"/>
    </row>
    <row r="8" spans="1:7" ht="15.75">
      <c r="A8" s="571" t="s">
        <v>680</v>
      </c>
      <c r="B8" s="556" t="s">
        <v>663</v>
      </c>
      <c r="C8" s="566"/>
      <c r="D8" s="566"/>
      <c r="E8" s="566"/>
      <c r="F8" s="563"/>
    </row>
    <row r="9" spans="1:7" ht="15.75">
      <c r="A9" s="571" t="s">
        <v>681</v>
      </c>
      <c r="B9" s="555" t="s">
        <v>700</v>
      </c>
      <c r="C9" s="563"/>
      <c r="D9" s="563"/>
      <c r="E9" s="563"/>
      <c r="F9" s="563"/>
    </row>
    <row r="10" spans="1:7" ht="15.75">
      <c r="A10" s="571" t="s">
        <v>682</v>
      </c>
      <c r="B10" s="557" t="s">
        <v>662</v>
      </c>
      <c r="C10" s="211"/>
      <c r="D10" s="211"/>
      <c r="E10" s="211"/>
      <c r="F10" s="211"/>
      <c r="G10" s="211"/>
    </row>
    <row r="11" spans="1:7" ht="15.75">
      <c r="A11" s="571" t="s">
        <v>683</v>
      </c>
      <c r="B11" s="557" t="s">
        <v>701</v>
      </c>
      <c r="C11" s="563"/>
      <c r="D11" s="563"/>
      <c r="E11" s="563"/>
      <c r="F11" s="563"/>
    </row>
    <row r="12" spans="1:7" ht="15.75">
      <c r="A12" s="571" t="s">
        <v>684</v>
      </c>
      <c r="B12" s="557" t="s">
        <v>703</v>
      </c>
      <c r="C12" s="563"/>
      <c r="D12" s="563"/>
      <c r="E12" s="563"/>
      <c r="F12" s="563"/>
    </row>
    <row r="13" spans="1:7" ht="15.75">
      <c r="A13" s="571" t="s">
        <v>685</v>
      </c>
      <c r="B13" s="557" t="s">
        <v>702</v>
      </c>
      <c r="C13" s="563"/>
      <c r="D13" s="563"/>
      <c r="E13" s="563"/>
      <c r="F13" s="563"/>
    </row>
    <row r="14" spans="1:7" ht="15.75">
      <c r="A14" s="571" t="s">
        <v>686</v>
      </c>
      <c r="B14" s="557" t="s">
        <v>704</v>
      </c>
    </row>
    <row r="15" spans="1:7" ht="15.75">
      <c r="A15" s="571" t="s">
        <v>687</v>
      </c>
      <c r="B15" s="557" t="s">
        <v>705</v>
      </c>
      <c r="C15" s="563"/>
      <c r="D15" s="563"/>
      <c r="E15" s="563"/>
      <c r="F15" s="563"/>
    </row>
    <row r="16" spans="1:7" ht="15.75">
      <c r="A16" s="571" t="s">
        <v>688</v>
      </c>
      <c r="B16" s="557" t="s">
        <v>1254</v>
      </c>
      <c r="C16" s="563"/>
      <c r="D16" s="563"/>
      <c r="E16" s="563"/>
      <c r="F16" s="563"/>
    </row>
    <row r="17" spans="1:17" ht="15.75">
      <c r="A17" s="571" t="s">
        <v>689</v>
      </c>
      <c r="B17" s="557" t="s">
        <v>706</v>
      </c>
      <c r="C17" s="563"/>
      <c r="D17" s="563"/>
      <c r="E17" s="563"/>
      <c r="F17" s="563"/>
    </row>
    <row r="18" spans="1:17" ht="15.75">
      <c r="A18" s="571" t="s">
        <v>690</v>
      </c>
      <c r="B18" s="557" t="s">
        <v>707</v>
      </c>
      <c r="C18" s="563"/>
      <c r="D18" s="563"/>
      <c r="E18" s="563"/>
      <c r="F18" s="563"/>
    </row>
    <row r="19" spans="1:17" ht="15.75">
      <c r="A19" s="571" t="s">
        <v>691</v>
      </c>
      <c r="B19" s="555" t="s">
        <v>709</v>
      </c>
      <c r="C19" s="563"/>
      <c r="D19" s="563"/>
      <c r="E19" s="563"/>
      <c r="F19" s="563"/>
    </row>
    <row r="20" spans="1:17" ht="15.75">
      <c r="A20" s="571" t="s">
        <v>692</v>
      </c>
      <c r="B20" s="555" t="s">
        <v>710</v>
      </c>
      <c r="C20" s="563"/>
      <c r="D20" s="563"/>
      <c r="E20" s="563"/>
      <c r="F20" s="563"/>
    </row>
    <row r="21" spans="1:17" ht="15.75">
      <c r="A21" s="571" t="s">
        <v>693</v>
      </c>
      <c r="B21" s="555" t="s">
        <v>711</v>
      </c>
      <c r="C21" s="563"/>
      <c r="D21" s="563"/>
      <c r="E21" s="563"/>
      <c r="F21" s="563"/>
    </row>
    <row r="22" spans="1:17" ht="31.5">
      <c r="A22" s="571" t="s">
        <v>694</v>
      </c>
      <c r="B22" s="558" t="s">
        <v>348</v>
      </c>
      <c r="C22" s="567"/>
      <c r="D22" s="567"/>
      <c r="E22" s="567"/>
      <c r="F22" s="563"/>
    </row>
    <row r="23" spans="1:17" ht="31.5">
      <c r="A23" s="571" t="s">
        <v>695</v>
      </c>
      <c r="B23" s="558" t="s">
        <v>708</v>
      </c>
      <c r="C23" s="563"/>
      <c r="D23" s="563"/>
      <c r="E23" s="563"/>
      <c r="F23" s="563"/>
    </row>
    <row r="24" spans="1:17" ht="15.75">
      <c r="A24" s="571" t="s">
        <v>696</v>
      </c>
      <c r="B24" s="559" t="s">
        <v>665</v>
      </c>
      <c r="C24" s="568"/>
      <c r="D24" s="568"/>
      <c r="E24" s="568"/>
      <c r="F24" s="568"/>
      <c r="G24" s="568"/>
    </row>
    <row r="25" spans="1:17" ht="15.75">
      <c r="A25" s="571" t="s">
        <v>697</v>
      </c>
      <c r="B25" s="560" t="s">
        <v>485</v>
      </c>
      <c r="C25" s="569"/>
      <c r="D25" s="569"/>
      <c r="E25" s="569"/>
      <c r="F25" s="569"/>
      <c r="G25" s="569"/>
      <c r="H25" s="569"/>
      <c r="I25" s="569"/>
      <c r="J25" s="569"/>
      <c r="K25" s="569"/>
    </row>
    <row r="26" spans="1:17" ht="15.75">
      <c r="A26" s="1104" t="s">
        <v>1208</v>
      </c>
      <c r="B26" s="557" t="s">
        <v>1255</v>
      </c>
      <c r="C26" s="570"/>
      <c r="D26" s="570"/>
      <c r="E26" s="570"/>
      <c r="F26" s="570"/>
      <c r="G26" s="570"/>
      <c r="H26" s="570"/>
      <c r="I26" s="570"/>
      <c r="J26" s="570"/>
      <c r="K26" s="570"/>
      <c r="L26" s="570"/>
      <c r="M26" s="553"/>
      <c r="N26" s="553"/>
      <c r="O26" s="553"/>
      <c r="P26" s="553"/>
      <c r="Q26" s="553"/>
    </row>
    <row r="27" spans="1:17" ht="15.75">
      <c r="A27" s="1104" t="s">
        <v>1209</v>
      </c>
      <c r="B27" s="1105" t="s">
        <v>1198</v>
      </c>
    </row>
    <row r="28" spans="1:17" ht="15.75">
      <c r="A28" s="1104" t="s">
        <v>1210</v>
      </c>
      <c r="B28" s="1105" t="s">
        <v>1256</v>
      </c>
    </row>
    <row r="29" spans="1:17" ht="15.75">
      <c r="A29" s="1104" t="s">
        <v>1211</v>
      </c>
      <c r="B29" s="1105" t="s">
        <v>1257</v>
      </c>
    </row>
    <row r="30" spans="1:17" ht="15.75">
      <c r="A30" s="1104" t="s">
        <v>1197</v>
      </c>
      <c r="B30" s="1105" t="s">
        <v>1258</v>
      </c>
    </row>
    <row r="31" spans="1:17" ht="15.75">
      <c r="A31" s="1104" t="s">
        <v>1199</v>
      </c>
      <c r="B31" s="1105" t="s">
        <v>1202</v>
      </c>
    </row>
    <row r="32" spans="1:17" ht="15.75">
      <c r="A32" s="1104" t="s">
        <v>1200</v>
      </c>
      <c r="B32" s="1105" t="s">
        <v>1204</v>
      </c>
    </row>
    <row r="33" spans="1:2" ht="15.75">
      <c r="A33" s="1104" t="s">
        <v>1212</v>
      </c>
      <c r="B33" s="1105" t="s">
        <v>1205</v>
      </c>
    </row>
    <row r="34" spans="1:2" ht="15.75">
      <c r="A34" s="1104" t="s">
        <v>1213</v>
      </c>
      <c r="B34" s="1105" t="s">
        <v>1206</v>
      </c>
    </row>
    <row r="35" spans="1:2" ht="15.75">
      <c r="A35" s="1104" t="s">
        <v>1214</v>
      </c>
      <c r="B35" s="1105" t="s">
        <v>1207</v>
      </c>
    </row>
    <row r="36" spans="1:2" ht="31.5">
      <c r="A36" s="1104" t="s">
        <v>1201</v>
      </c>
      <c r="B36" s="1105" t="s">
        <v>1260</v>
      </c>
    </row>
    <row r="37" spans="1:2" ht="15.75">
      <c r="A37" s="1104" t="s">
        <v>1203</v>
      </c>
      <c r="B37" s="1105" t="s">
        <v>1261</v>
      </c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topLeftCell="A31" workbookViewId="0">
      <selection activeCell="B14" sqref="B14:C14"/>
    </sheetView>
  </sheetViews>
  <sheetFormatPr defaultRowHeight="15"/>
  <cols>
    <col min="1" max="1" width="9.140625" style="26"/>
    <col min="2" max="2" width="7.140625" style="27" customWidth="1"/>
    <col min="3" max="3" width="40.42578125" style="27" customWidth="1"/>
    <col min="4" max="4" width="12.5703125" style="66" customWidth="1"/>
    <col min="5" max="5" width="11.85546875" style="66" customWidth="1"/>
    <col min="6" max="6" width="10.28515625" style="66" bestFit="1" customWidth="1"/>
    <col min="7" max="16384" width="9.140625" style="1"/>
  </cols>
  <sheetData>
    <row r="1" spans="1:6" ht="12" customHeight="1">
      <c r="D1" s="1254" t="s">
        <v>404</v>
      </c>
      <c r="E1" s="1254"/>
      <c r="F1" s="1254"/>
    </row>
    <row r="2" spans="1:6" ht="24.75" customHeight="1">
      <c r="A2" s="1262" t="s">
        <v>0</v>
      </c>
      <c r="B2" s="1262" t="s">
        <v>181</v>
      </c>
      <c r="C2" s="1262"/>
      <c r="D2" s="1258" t="s">
        <v>177</v>
      </c>
      <c r="E2" s="1259"/>
      <c r="F2" s="1260"/>
    </row>
    <row r="3" spans="1:6" s="2" customFormat="1">
      <c r="A3" s="1262"/>
      <c r="B3" s="1262"/>
      <c r="C3" s="1262"/>
      <c r="D3" s="412" t="s">
        <v>178</v>
      </c>
      <c r="E3" s="711" t="s">
        <v>672</v>
      </c>
      <c r="F3" s="711" t="s">
        <v>745</v>
      </c>
    </row>
    <row r="4" spans="1:6" s="2" customFormat="1">
      <c r="A4" s="1262"/>
      <c r="B4" s="1262"/>
      <c r="C4" s="1262"/>
      <c r="D4" s="1261" t="s">
        <v>188</v>
      </c>
      <c r="E4" s="1261"/>
      <c r="F4" s="1261"/>
    </row>
    <row r="5" spans="1:6" ht="12" customHeight="1">
      <c r="A5" s="5" t="s">
        <v>27</v>
      </c>
      <c r="B5" s="1257" t="s">
        <v>175</v>
      </c>
      <c r="C5" s="1257"/>
      <c r="D5" s="651"/>
      <c r="E5" s="29"/>
      <c r="F5" s="29">
        <f>+D5+E5</f>
        <v>0</v>
      </c>
    </row>
    <row r="6" spans="1:6" ht="12" customHeight="1">
      <c r="A6" s="5" t="s">
        <v>34</v>
      </c>
      <c r="B6" s="1257" t="s">
        <v>174</v>
      </c>
      <c r="C6" s="1257"/>
      <c r="D6" s="651">
        <v>16332</v>
      </c>
      <c r="E6" s="61">
        <v>19272</v>
      </c>
      <c r="F6" s="61">
        <f>15495+769+655</f>
        <v>16919</v>
      </c>
    </row>
    <row r="7" spans="1:6" ht="12" customHeight="1">
      <c r="A7" s="6" t="s">
        <v>35</v>
      </c>
      <c r="B7" s="1256" t="s">
        <v>173</v>
      </c>
      <c r="C7" s="1256"/>
      <c r="D7" s="652">
        <f>SUM(D5:D6)</f>
        <v>16332</v>
      </c>
      <c r="E7" s="652">
        <f>SUM(E5:E6)</f>
        <v>19272</v>
      </c>
      <c r="F7" s="652">
        <f>SUM(F5:F6)</f>
        <v>16919</v>
      </c>
    </row>
    <row r="8" spans="1:6" ht="12" customHeight="1">
      <c r="A8" s="7"/>
      <c r="B8" s="8"/>
      <c r="C8" s="8"/>
      <c r="D8" s="30"/>
      <c r="E8" s="30"/>
      <c r="F8" s="31"/>
    </row>
    <row r="9" spans="1:6" ht="12" customHeight="1">
      <c r="A9" s="5" t="s">
        <v>36</v>
      </c>
      <c r="B9" s="1257" t="s">
        <v>172</v>
      </c>
      <c r="C9" s="1257"/>
      <c r="D9" s="525">
        <v>4519</v>
      </c>
      <c r="E9" s="61">
        <v>4832</v>
      </c>
      <c r="F9" s="61">
        <v>4793</v>
      </c>
    </row>
    <row r="10" spans="1:6" ht="12" customHeight="1">
      <c r="A10" s="188"/>
      <c r="B10" s="25"/>
      <c r="C10" s="11"/>
      <c r="D10" s="653"/>
      <c r="E10" s="189"/>
      <c r="F10" s="190"/>
    </row>
    <row r="11" spans="1:6" ht="12" customHeight="1">
      <c r="A11" s="12" t="s">
        <v>43</v>
      </c>
      <c r="B11" s="1255" t="s">
        <v>42</v>
      </c>
      <c r="C11" s="1255"/>
      <c r="D11" s="654"/>
      <c r="E11" s="32"/>
      <c r="F11" s="32">
        <f>+D11+E11</f>
        <v>0</v>
      </c>
    </row>
    <row r="12" spans="1:6" ht="12" customHeight="1">
      <c r="A12" s="3" t="s">
        <v>45</v>
      </c>
      <c r="B12" s="1253" t="s">
        <v>44</v>
      </c>
      <c r="C12" s="1253"/>
      <c r="D12" s="533"/>
      <c r="E12" s="29">
        <v>293</v>
      </c>
      <c r="F12" s="32">
        <v>341</v>
      </c>
    </row>
    <row r="13" spans="1:6" ht="12" customHeight="1">
      <c r="A13" s="3" t="s">
        <v>47</v>
      </c>
      <c r="B13" s="1253" t="s">
        <v>46</v>
      </c>
      <c r="C13" s="1253"/>
      <c r="D13" s="533"/>
      <c r="E13" s="29"/>
      <c r="F13" s="32">
        <f t="shared" ref="F13:F32" si="0">+D13+E13</f>
        <v>0</v>
      </c>
    </row>
    <row r="14" spans="1:6" s="49" customFormat="1" ht="12" customHeight="1">
      <c r="A14" s="5" t="s">
        <v>48</v>
      </c>
      <c r="B14" s="1257" t="s">
        <v>171</v>
      </c>
      <c r="C14" s="1257"/>
      <c r="D14" s="525">
        <f>SUM(D11:D13)</f>
        <v>0</v>
      </c>
      <c r="E14" s="525">
        <f t="shared" ref="E14:F14" si="1">SUM(E11:E13)</f>
        <v>293</v>
      </c>
      <c r="F14" s="525">
        <f t="shared" si="1"/>
        <v>341</v>
      </c>
    </row>
    <row r="15" spans="1:6" ht="12" customHeight="1">
      <c r="A15" s="3" t="s">
        <v>50</v>
      </c>
      <c r="B15" s="1253" t="s">
        <v>49</v>
      </c>
      <c r="C15" s="1253"/>
      <c r="D15" s="533"/>
      <c r="E15" s="29">
        <v>207</v>
      </c>
      <c r="F15" s="32">
        <v>207</v>
      </c>
    </row>
    <row r="16" spans="1:6" ht="12" customHeight="1">
      <c r="A16" s="3" t="s">
        <v>52</v>
      </c>
      <c r="B16" s="1253" t="s">
        <v>51</v>
      </c>
      <c r="C16" s="1253"/>
      <c r="D16" s="533">
        <v>500</v>
      </c>
      <c r="E16" s="29">
        <v>668</v>
      </c>
      <c r="F16" s="32">
        <v>676</v>
      </c>
    </row>
    <row r="17" spans="1:6" s="49" customFormat="1" ht="12" customHeight="1">
      <c r="A17" s="5" t="s">
        <v>53</v>
      </c>
      <c r="B17" s="1257" t="s">
        <v>170</v>
      </c>
      <c r="C17" s="1257"/>
      <c r="D17" s="525">
        <f>SUM(D15:D16)</f>
        <v>500</v>
      </c>
      <c r="E17" s="525">
        <f>SUM(E15:E16)</f>
        <v>875</v>
      </c>
      <c r="F17" s="525">
        <f>SUM(F15:F16)</f>
        <v>883</v>
      </c>
    </row>
    <row r="18" spans="1:6" ht="12" customHeight="1">
      <c r="A18" s="3" t="s">
        <v>55</v>
      </c>
      <c r="B18" s="1253" t="s">
        <v>54</v>
      </c>
      <c r="C18" s="1253"/>
      <c r="D18" s="533"/>
      <c r="E18" s="29"/>
      <c r="F18" s="32">
        <f t="shared" si="0"/>
        <v>0</v>
      </c>
    </row>
    <row r="19" spans="1:6" ht="12" customHeight="1">
      <c r="A19" s="3" t="s">
        <v>57</v>
      </c>
      <c r="B19" s="1253" t="s">
        <v>56</v>
      </c>
      <c r="C19" s="1253"/>
      <c r="D19" s="533"/>
      <c r="E19" s="29">
        <v>222</v>
      </c>
      <c r="F19" s="32">
        <v>210</v>
      </c>
    </row>
    <row r="20" spans="1:6" ht="12" customHeight="1">
      <c r="A20" s="3" t="s">
        <v>58</v>
      </c>
      <c r="B20" s="1253" t="s">
        <v>168</v>
      </c>
      <c r="C20" s="1253"/>
      <c r="D20" s="533"/>
      <c r="E20" s="29"/>
      <c r="F20" s="32">
        <v>0</v>
      </c>
    </row>
    <row r="21" spans="1:6" ht="12" customHeight="1">
      <c r="A21" s="3" t="s">
        <v>60</v>
      </c>
      <c r="B21" s="1253" t="s">
        <v>59</v>
      </c>
      <c r="C21" s="1253"/>
      <c r="D21" s="533"/>
      <c r="E21" s="29"/>
      <c r="F21" s="32">
        <f t="shared" si="0"/>
        <v>0</v>
      </c>
    </row>
    <row r="22" spans="1:6" ht="12" customHeight="1">
      <c r="A22" s="3" t="s">
        <v>61</v>
      </c>
      <c r="B22" s="1253" t="s">
        <v>167</v>
      </c>
      <c r="C22" s="1253"/>
      <c r="D22" s="533"/>
      <c r="E22" s="29"/>
      <c r="F22" s="32">
        <f t="shared" si="0"/>
        <v>0</v>
      </c>
    </row>
    <row r="23" spans="1:6" ht="12" customHeight="1">
      <c r="A23" s="3" t="s">
        <v>64</v>
      </c>
      <c r="B23" s="1253" t="s">
        <v>63</v>
      </c>
      <c r="C23" s="1253"/>
      <c r="D23" s="654">
        <v>500</v>
      </c>
      <c r="E23" s="29">
        <v>1312</v>
      </c>
      <c r="F23" s="32">
        <v>562</v>
      </c>
    </row>
    <row r="24" spans="1:6" ht="12" customHeight="1">
      <c r="A24" s="3" t="s">
        <v>66</v>
      </c>
      <c r="B24" s="1253" t="s">
        <v>65</v>
      </c>
      <c r="C24" s="1253"/>
      <c r="D24" s="533">
        <v>5525</v>
      </c>
      <c r="E24" s="29">
        <v>5518</v>
      </c>
      <c r="F24" s="32">
        <v>5116</v>
      </c>
    </row>
    <row r="25" spans="1:6" s="49" customFormat="1" ht="12" customHeight="1">
      <c r="A25" s="5" t="s">
        <v>67</v>
      </c>
      <c r="B25" s="1257" t="s">
        <v>157</v>
      </c>
      <c r="C25" s="1257"/>
      <c r="D25" s="525">
        <f>+D24+D23+D22+D21+D20+D19+D18</f>
        <v>6025</v>
      </c>
      <c r="E25" s="525">
        <f t="shared" ref="E25:F25" si="2">+E24+E23+E22+E21+E20+E19+E18</f>
        <v>7052</v>
      </c>
      <c r="F25" s="525">
        <f t="shared" si="2"/>
        <v>5888</v>
      </c>
    </row>
    <row r="26" spans="1:6" ht="12" customHeight="1">
      <c r="A26" s="3" t="s">
        <v>69</v>
      </c>
      <c r="B26" s="1253" t="s">
        <v>68</v>
      </c>
      <c r="C26" s="1253"/>
      <c r="D26" s="533">
        <v>500</v>
      </c>
      <c r="E26" s="29">
        <v>351</v>
      </c>
      <c r="F26" s="32">
        <v>79</v>
      </c>
    </row>
    <row r="27" spans="1:6" ht="12" customHeight="1">
      <c r="A27" s="3" t="s">
        <v>71</v>
      </c>
      <c r="B27" s="1253" t="s">
        <v>70</v>
      </c>
      <c r="C27" s="1253"/>
      <c r="D27" s="533"/>
      <c r="E27" s="29"/>
      <c r="F27" s="32">
        <f t="shared" si="0"/>
        <v>0</v>
      </c>
    </row>
    <row r="28" spans="1:6" ht="12" customHeight="1">
      <c r="A28" s="5" t="s">
        <v>72</v>
      </c>
      <c r="B28" s="1257" t="s">
        <v>156</v>
      </c>
      <c r="C28" s="1257"/>
      <c r="D28" s="525">
        <f>SUM(D26:D27)</f>
        <v>500</v>
      </c>
      <c r="E28" s="525">
        <f t="shared" ref="E28:F28" si="3">SUM(E26:E27)</f>
        <v>351</v>
      </c>
      <c r="F28" s="525">
        <f t="shared" si="3"/>
        <v>79</v>
      </c>
    </row>
    <row r="29" spans="1:6" ht="12" customHeight="1">
      <c r="A29" s="3" t="s">
        <v>74</v>
      </c>
      <c r="B29" s="1253" t="s">
        <v>73</v>
      </c>
      <c r="C29" s="1253"/>
      <c r="D29" s="533">
        <v>602</v>
      </c>
      <c r="E29" s="29">
        <v>796</v>
      </c>
      <c r="F29" s="32">
        <v>744</v>
      </c>
    </row>
    <row r="30" spans="1:6" ht="12" customHeight="1">
      <c r="A30" s="3" t="s">
        <v>76</v>
      </c>
      <c r="B30" s="1253" t="s">
        <v>75</v>
      </c>
      <c r="C30" s="1253"/>
      <c r="D30" s="533"/>
      <c r="E30" s="29"/>
      <c r="F30" s="32">
        <v>4536</v>
      </c>
    </row>
    <row r="31" spans="1:6" ht="12" customHeight="1">
      <c r="A31" s="3" t="s">
        <v>77</v>
      </c>
      <c r="B31" s="1253" t="s">
        <v>155</v>
      </c>
      <c r="C31" s="1253"/>
      <c r="D31" s="533"/>
      <c r="E31" s="29"/>
      <c r="F31" s="32">
        <f t="shared" si="0"/>
        <v>0</v>
      </c>
    </row>
    <row r="32" spans="1:6" ht="12" customHeight="1">
      <c r="A32" s="3" t="s">
        <v>78</v>
      </c>
      <c r="B32" s="1253" t="s">
        <v>154</v>
      </c>
      <c r="C32" s="1253"/>
      <c r="D32" s="533"/>
      <c r="E32" s="29"/>
      <c r="F32" s="32">
        <f t="shared" si="0"/>
        <v>0</v>
      </c>
    </row>
    <row r="33" spans="1:6" ht="12" customHeight="1">
      <c r="A33" s="3" t="s">
        <v>80</v>
      </c>
      <c r="B33" s="1253" t="s">
        <v>79</v>
      </c>
      <c r="C33" s="1253"/>
      <c r="D33" s="533">
        <v>50</v>
      </c>
      <c r="E33" s="29">
        <v>837</v>
      </c>
      <c r="F33" s="32">
        <v>712</v>
      </c>
    </row>
    <row r="34" spans="1:6" ht="12" customHeight="1">
      <c r="A34" s="5" t="s">
        <v>81</v>
      </c>
      <c r="B34" s="1257" t="s">
        <v>153</v>
      </c>
      <c r="C34" s="1257"/>
      <c r="D34" s="525">
        <f>SUM(D29:D33)</f>
        <v>652</v>
      </c>
      <c r="E34" s="525">
        <f t="shared" ref="E34:F34" si="4">SUM(E29:E33)</f>
        <v>1633</v>
      </c>
      <c r="F34" s="525">
        <f t="shared" si="4"/>
        <v>5992</v>
      </c>
    </row>
    <row r="35" spans="1:6" ht="12" customHeight="1">
      <c r="A35" s="6" t="s">
        <v>82</v>
      </c>
      <c r="B35" s="1256" t="s">
        <v>152</v>
      </c>
      <c r="C35" s="1256"/>
      <c r="D35" s="655">
        <f>+D34+D28+D25+D17+D14</f>
        <v>7677</v>
      </c>
      <c r="E35" s="655">
        <f t="shared" ref="E35:F35" si="5">+E34+E28+E25+E17+E14</f>
        <v>10204</v>
      </c>
      <c r="F35" s="655">
        <f t="shared" si="5"/>
        <v>13183</v>
      </c>
    </row>
    <row r="36" spans="1:6" ht="12" customHeight="1">
      <c r="A36" s="7"/>
      <c r="B36" s="8"/>
      <c r="C36" s="8"/>
      <c r="D36" s="656"/>
      <c r="E36" s="30"/>
      <c r="F36" s="31"/>
    </row>
    <row r="37" spans="1:6" ht="12" customHeight="1">
      <c r="A37" s="3" t="s">
        <v>97</v>
      </c>
      <c r="B37" s="1264" t="s">
        <v>96</v>
      </c>
      <c r="C37" s="1264"/>
      <c r="D37" s="533"/>
      <c r="E37" s="29"/>
      <c r="F37" s="29"/>
    </row>
    <row r="38" spans="1:6" ht="12" customHeight="1">
      <c r="A38" s="3" t="s">
        <v>99</v>
      </c>
      <c r="B38" s="1264" t="s">
        <v>183</v>
      </c>
      <c r="C38" s="1264"/>
      <c r="D38" s="533"/>
      <c r="E38" s="29"/>
      <c r="F38" s="29"/>
    </row>
    <row r="39" spans="1:6" ht="12" customHeight="1">
      <c r="A39" s="3" t="s">
        <v>102</v>
      </c>
      <c r="B39" s="1264" t="s">
        <v>166</v>
      </c>
      <c r="C39" s="1264"/>
      <c r="D39" s="533"/>
      <c r="E39" s="29"/>
      <c r="F39" s="29"/>
    </row>
    <row r="40" spans="1:6" ht="12" customHeight="1">
      <c r="A40" s="3" t="s">
        <v>104</v>
      </c>
      <c r="B40" s="1264" t="s">
        <v>182</v>
      </c>
      <c r="C40" s="1264"/>
      <c r="D40" s="533"/>
      <c r="E40" s="29"/>
      <c r="F40" s="29"/>
    </row>
    <row r="41" spans="1:6" ht="12" customHeight="1">
      <c r="A41" s="3" t="s">
        <v>106</v>
      </c>
      <c r="B41" s="1264" t="s">
        <v>165</v>
      </c>
      <c r="C41" s="1264"/>
      <c r="D41" s="533"/>
      <c r="E41" s="29"/>
      <c r="F41" s="29"/>
    </row>
    <row r="42" spans="1:6" ht="12" customHeight="1">
      <c r="A42" s="3" t="s">
        <v>712</v>
      </c>
      <c r="B42" s="1253" t="s">
        <v>107</v>
      </c>
      <c r="C42" s="1253"/>
      <c r="D42" s="533"/>
      <c r="E42" s="29"/>
      <c r="F42" s="29"/>
    </row>
    <row r="43" spans="1:6" ht="12" customHeight="1">
      <c r="A43" s="6" t="s">
        <v>109</v>
      </c>
      <c r="B43" s="1256" t="s">
        <v>164</v>
      </c>
      <c r="C43" s="1256"/>
      <c r="D43" s="655">
        <f>+D42+D41+D40+D39+D38+D37</f>
        <v>0</v>
      </c>
      <c r="E43" s="58"/>
      <c r="F43" s="58"/>
    </row>
    <row r="44" spans="1:6" ht="12" customHeight="1">
      <c r="A44" s="7"/>
      <c r="B44" s="8"/>
      <c r="C44" s="8"/>
      <c r="D44" s="656"/>
      <c r="E44" s="30"/>
      <c r="F44" s="31"/>
    </row>
    <row r="45" spans="1:6" ht="12" customHeight="1">
      <c r="A45" s="12" t="s">
        <v>111</v>
      </c>
      <c r="B45" s="1255" t="s">
        <v>110</v>
      </c>
      <c r="C45" s="1255"/>
      <c r="D45" s="654"/>
      <c r="E45" s="32"/>
      <c r="F45" s="32">
        <f>+D45+E45</f>
        <v>0</v>
      </c>
    </row>
    <row r="46" spans="1:6" ht="12" customHeight="1">
      <c r="A46" s="3" t="s">
        <v>112</v>
      </c>
      <c r="B46" s="1253" t="s">
        <v>163</v>
      </c>
      <c r="C46" s="1253"/>
      <c r="D46" s="533"/>
      <c r="E46" s="29"/>
      <c r="F46" s="32">
        <f t="shared" ref="F46:F50" si="6">+D46+E46</f>
        <v>0</v>
      </c>
    </row>
    <row r="47" spans="1:6" ht="12" customHeight="1">
      <c r="A47" s="3" t="s">
        <v>115</v>
      </c>
      <c r="B47" s="1253" t="s">
        <v>114</v>
      </c>
      <c r="C47" s="1253"/>
      <c r="D47" s="533"/>
      <c r="E47" s="29">
        <v>847</v>
      </c>
      <c r="F47" s="32">
        <v>612</v>
      </c>
    </row>
    <row r="48" spans="1:6" ht="12" customHeight="1">
      <c r="A48" s="3" t="s">
        <v>117</v>
      </c>
      <c r="B48" s="1253" t="s">
        <v>116</v>
      </c>
      <c r="C48" s="1253"/>
      <c r="D48" s="533"/>
      <c r="E48" s="29"/>
      <c r="F48" s="32">
        <f t="shared" si="6"/>
        <v>0</v>
      </c>
    </row>
    <row r="49" spans="1:6" ht="12" customHeight="1">
      <c r="A49" s="3" t="s">
        <v>119</v>
      </c>
      <c r="B49" s="1253" t="s">
        <v>118</v>
      </c>
      <c r="C49" s="1253"/>
      <c r="D49" s="533"/>
      <c r="E49" s="29">
        <v>200200</v>
      </c>
      <c r="F49" s="32">
        <v>200200</v>
      </c>
    </row>
    <row r="50" spans="1:6" ht="12" customHeight="1">
      <c r="A50" s="3" t="s">
        <v>121</v>
      </c>
      <c r="B50" s="1253" t="s">
        <v>120</v>
      </c>
      <c r="C50" s="1253"/>
      <c r="D50" s="533"/>
      <c r="E50" s="29"/>
      <c r="F50" s="32">
        <f t="shared" si="6"/>
        <v>0</v>
      </c>
    </row>
    <row r="51" spans="1:6" ht="12" customHeight="1">
      <c r="A51" s="3" t="s">
        <v>123</v>
      </c>
      <c r="B51" s="1253" t="s">
        <v>122</v>
      </c>
      <c r="C51" s="1253"/>
      <c r="D51" s="533"/>
      <c r="E51" s="29">
        <v>229</v>
      </c>
      <c r="F51" s="32">
        <v>165</v>
      </c>
    </row>
    <row r="52" spans="1:6" ht="12" customHeight="1">
      <c r="A52" s="6" t="s">
        <v>124</v>
      </c>
      <c r="B52" s="1256" t="s">
        <v>162</v>
      </c>
      <c r="C52" s="1256"/>
      <c r="D52" s="655">
        <f>+D51+D50+D49+D48+D47+D46+D45</f>
        <v>0</v>
      </c>
      <c r="E52" s="58">
        <f>+E51+E50+E49+E48+E47+E46+E45</f>
        <v>201276</v>
      </c>
      <c r="F52" s="58">
        <f>+F51+F50+F49+F48+F47+F46+F45</f>
        <v>200977</v>
      </c>
    </row>
    <row r="53" spans="1:6" ht="12" customHeight="1">
      <c r="A53" s="7"/>
      <c r="B53" s="8"/>
      <c r="C53" s="8"/>
      <c r="D53" s="656"/>
      <c r="E53" s="30"/>
      <c r="F53" s="31"/>
    </row>
    <row r="54" spans="1:6" ht="12" hidden="1" customHeight="1">
      <c r="A54" s="12" t="s">
        <v>126</v>
      </c>
      <c r="B54" s="1255" t="s">
        <v>125</v>
      </c>
      <c r="C54" s="1255"/>
      <c r="D54" s="654"/>
      <c r="E54" s="32"/>
      <c r="F54" s="32"/>
    </row>
    <row r="55" spans="1:6" ht="12" hidden="1" customHeight="1">
      <c r="A55" s="3" t="s">
        <v>128</v>
      </c>
      <c r="B55" s="1253" t="s">
        <v>127</v>
      </c>
      <c r="C55" s="1253"/>
      <c r="D55" s="533"/>
      <c r="E55" s="29"/>
      <c r="F55" s="29"/>
    </row>
    <row r="56" spans="1:6" ht="12" hidden="1" customHeight="1">
      <c r="A56" s="3" t="s">
        <v>130</v>
      </c>
      <c r="B56" s="1253" t="s">
        <v>129</v>
      </c>
      <c r="C56" s="1253"/>
      <c r="D56" s="533"/>
      <c r="E56" s="29"/>
      <c r="F56" s="29"/>
    </row>
    <row r="57" spans="1:6" ht="12" hidden="1" customHeight="1">
      <c r="A57" s="3" t="s">
        <v>132</v>
      </c>
      <c r="B57" s="1253" t="s">
        <v>131</v>
      </c>
      <c r="C57" s="1253"/>
      <c r="D57" s="533"/>
      <c r="E57" s="29"/>
      <c r="F57" s="29"/>
    </row>
    <row r="58" spans="1:6" ht="12" customHeight="1">
      <c r="A58" s="5" t="s">
        <v>133</v>
      </c>
      <c r="B58" s="1257" t="s">
        <v>161</v>
      </c>
      <c r="C58" s="1257"/>
      <c r="D58" s="533"/>
      <c r="E58" s="29"/>
      <c r="F58" s="29"/>
    </row>
    <row r="59" spans="1:6" ht="12" customHeight="1">
      <c r="A59" s="7"/>
      <c r="B59" s="15"/>
      <c r="C59" s="15"/>
      <c r="D59" s="656"/>
      <c r="E59" s="30"/>
      <c r="F59" s="31"/>
    </row>
    <row r="61" spans="1:6" ht="12" customHeight="1">
      <c r="A61" s="3" t="s">
        <v>826</v>
      </c>
      <c r="B61" s="1253" t="s">
        <v>390</v>
      </c>
      <c r="C61" s="1253"/>
      <c r="D61" s="533"/>
      <c r="E61" s="29"/>
      <c r="F61" s="29"/>
    </row>
    <row r="62" spans="1:6" ht="12" customHeight="1">
      <c r="A62" s="3" t="s">
        <v>134</v>
      </c>
      <c r="B62" s="1253" t="s">
        <v>160</v>
      </c>
      <c r="C62" s="1253"/>
      <c r="D62" s="533"/>
      <c r="E62" s="29"/>
      <c r="F62" s="29"/>
    </row>
    <row r="63" spans="1:6" ht="12" customHeight="1">
      <c r="A63" s="5" t="s">
        <v>135</v>
      </c>
      <c r="B63" s="1257" t="s">
        <v>159</v>
      </c>
      <c r="C63" s="1257"/>
      <c r="D63" s="525">
        <f>+D62+D61</f>
        <v>0</v>
      </c>
      <c r="E63" s="525">
        <f>SUM(E61:E62)</f>
        <v>0</v>
      </c>
      <c r="F63" s="525">
        <f>SUM(F61:F62)</f>
        <v>0</v>
      </c>
    </row>
    <row r="64" spans="1:6" ht="12" customHeight="1" thickBot="1">
      <c r="A64" s="50"/>
      <c r="B64" s="51"/>
      <c r="C64" s="51"/>
      <c r="D64" s="657"/>
      <c r="E64" s="340"/>
      <c r="F64" s="413"/>
    </row>
    <row r="65" spans="1:6" ht="12" customHeight="1" thickBot="1">
      <c r="A65" s="53" t="s">
        <v>136</v>
      </c>
      <c r="B65" s="1263" t="s">
        <v>158</v>
      </c>
      <c r="C65" s="1263"/>
      <c r="D65" s="658">
        <f>+D63+D58+D52+D43+D35+D9+D7</f>
        <v>28528</v>
      </c>
      <c r="E65" s="67">
        <f>+E63+E58+E52+E43+E35+E9+E7</f>
        <v>235584</v>
      </c>
      <c r="F65" s="67">
        <f>+F63+F58+F52+F43+F35+F9+F7</f>
        <v>235872</v>
      </c>
    </row>
  </sheetData>
  <mergeCells count="58">
    <mergeCell ref="B20:C20"/>
    <mergeCell ref="B46:C46"/>
    <mergeCell ref="B39:C39"/>
    <mergeCell ref="B38:C38"/>
    <mergeCell ref="B43:C43"/>
    <mergeCell ref="B45:C45"/>
    <mergeCell ref="B37:C37"/>
    <mergeCell ref="B40:C40"/>
    <mergeCell ref="B30:C30"/>
    <mergeCell ref="B27:C27"/>
    <mergeCell ref="B28:C28"/>
    <mergeCell ref="B23:C23"/>
    <mergeCell ref="B24:C24"/>
    <mergeCell ref="A2:A4"/>
    <mergeCell ref="B42:C42"/>
    <mergeCell ref="B41:C41"/>
    <mergeCell ref="B6:C6"/>
    <mergeCell ref="B35:C35"/>
    <mergeCell ref="B33:C33"/>
    <mergeCell ref="B31:C31"/>
    <mergeCell ref="B32:C32"/>
    <mergeCell ref="B25:C25"/>
    <mergeCell ref="B26:C26"/>
    <mergeCell ref="B21:C21"/>
    <mergeCell ref="B22:C22"/>
    <mergeCell ref="B17:C17"/>
    <mergeCell ref="B18:C18"/>
    <mergeCell ref="B34:C34"/>
    <mergeCell ref="B29:C29"/>
    <mergeCell ref="B54:C54"/>
    <mergeCell ref="B55:C55"/>
    <mergeCell ref="B49:C49"/>
    <mergeCell ref="B50:C50"/>
    <mergeCell ref="B47:C47"/>
    <mergeCell ref="B48:C48"/>
    <mergeCell ref="B51:C51"/>
    <mergeCell ref="B52:C52"/>
    <mergeCell ref="B63:C63"/>
    <mergeCell ref="B65:C65"/>
    <mergeCell ref="B62:C62"/>
    <mergeCell ref="B56:C56"/>
    <mergeCell ref="B57:C57"/>
    <mergeCell ref="B58:C58"/>
    <mergeCell ref="B61:C61"/>
    <mergeCell ref="B19:C19"/>
    <mergeCell ref="D1:F1"/>
    <mergeCell ref="B15:C15"/>
    <mergeCell ref="B16:C16"/>
    <mergeCell ref="B11:C11"/>
    <mergeCell ref="B12:C12"/>
    <mergeCell ref="B7:C7"/>
    <mergeCell ref="B9:C9"/>
    <mergeCell ref="B14:C14"/>
    <mergeCell ref="B13:C13"/>
    <mergeCell ref="B5:C5"/>
    <mergeCell ref="D2:F2"/>
    <mergeCell ref="D4:F4"/>
    <mergeCell ref="B2: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cellComments="asDisplayed" r:id="rId1"/>
  <headerFooter>
    <oddHeader>&amp;C&amp;"Times New Roman,Félkövér"&amp;12Martonvásár Város Önkormányzatának kiadásai 2015. 
Önkormányzati jogalkotás kormányzati funkció&amp;R&amp;"Times New Roman,Normál"&amp;10&amp;K000000 5/a. melléklet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6"/>
  <sheetViews>
    <sheetView view="pageLayout" topLeftCell="K50" workbookViewId="0">
      <selection activeCell="T21" sqref="T21"/>
    </sheetView>
  </sheetViews>
  <sheetFormatPr defaultRowHeight="15"/>
  <cols>
    <col min="1" max="1" width="8.140625" style="429" customWidth="1"/>
    <col min="2" max="2" width="7.140625" style="27" customWidth="1"/>
    <col min="3" max="3" width="31" style="27" customWidth="1"/>
    <col min="4" max="4" width="8.140625" style="18" customWidth="1"/>
    <col min="5" max="5" width="8.42578125" style="18" customWidth="1"/>
    <col min="6" max="6" width="8.140625" style="18" customWidth="1"/>
    <col min="7" max="7" width="7.5703125" style="18" customWidth="1"/>
    <col min="8" max="8" width="9.42578125" style="18" customWidth="1"/>
    <col min="9" max="12" width="8.140625" style="18" customWidth="1"/>
    <col min="13" max="13" width="7.85546875" style="18" customWidth="1"/>
    <col min="14" max="14" width="7.7109375" style="18" customWidth="1"/>
    <col min="15" max="15" width="7.85546875" style="18" customWidth="1"/>
    <col min="16" max="16" width="7.140625" style="18" customWidth="1"/>
    <col min="17" max="17" width="8" style="18" customWidth="1"/>
    <col min="18" max="18" width="7.5703125" style="18" customWidth="1"/>
    <col min="19" max="19" width="8" style="18" customWidth="1"/>
    <col min="20" max="20" width="7.85546875" style="18" customWidth="1"/>
    <col min="21" max="21" width="7.28515625" style="18" customWidth="1"/>
    <col min="25" max="16384" width="9.140625" style="18"/>
  </cols>
  <sheetData>
    <row r="1" spans="1:21" s="1" customFormat="1" ht="9.75" customHeight="1">
      <c r="A1" s="429"/>
      <c r="B1" s="27"/>
      <c r="C1" s="27"/>
      <c r="I1" s="824"/>
      <c r="S1" s="212" t="s">
        <v>404</v>
      </c>
      <c r="T1" s="212"/>
      <c r="U1" s="212"/>
    </row>
    <row r="2" spans="1:21" s="33" customFormat="1" ht="28.5" customHeight="1">
      <c r="A2" s="1262" t="s">
        <v>0</v>
      </c>
      <c r="B2" s="1262" t="s">
        <v>181</v>
      </c>
      <c r="C2" s="1262"/>
      <c r="D2" s="1265" t="s">
        <v>179</v>
      </c>
      <c r="E2" s="1265"/>
      <c r="F2" s="1265"/>
      <c r="G2" s="1265" t="s">
        <v>648</v>
      </c>
      <c r="H2" s="1265"/>
      <c r="I2" s="1265"/>
      <c r="J2" s="1266" t="s">
        <v>803</v>
      </c>
      <c r="K2" s="1267"/>
      <c r="L2" s="1268"/>
      <c r="M2" s="1265" t="s">
        <v>734</v>
      </c>
      <c r="N2" s="1265"/>
      <c r="O2" s="1265"/>
      <c r="P2" s="1265" t="s">
        <v>735</v>
      </c>
      <c r="Q2" s="1265"/>
      <c r="R2" s="1265"/>
      <c r="S2" s="1265" t="s">
        <v>736</v>
      </c>
      <c r="T2" s="1265"/>
      <c r="U2" s="1265"/>
    </row>
    <row r="3" spans="1:21" s="33" customFormat="1" ht="12.75" customHeight="1">
      <c r="A3" s="1262"/>
      <c r="B3" s="1262"/>
      <c r="C3" s="1262"/>
      <c r="D3" s="1265"/>
      <c r="E3" s="1265"/>
      <c r="F3" s="1265"/>
      <c r="G3" s="1265" t="s">
        <v>188</v>
      </c>
      <c r="H3" s="1265"/>
      <c r="I3" s="1265"/>
      <c r="J3" s="804"/>
      <c r="K3" s="804"/>
      <c r="L3" s="804"/>
      <c r="M3" s="1265" t="s">
        <v>188</v>
      </c>
      <c r="N3" s="1265"/>
      <c r="O3" s="1265"/>
      <c r="P3" s="1265" t="s">
        <v>188</v>
      </c>
      <c r="Q3" s="1265"/>
      <c r="R3" s="1265"/>
      <c r="S3" s="1265" t="s">
        <v>188</v>
      </c>
      <c r="T3" s="1265"/>
      <c r="U3" s="1265"/>
    </row>
    <row r="4" spans="1:21" s="17" customFormat="1" ht="25.5">
      <c r="A4" s="1262"/>
      <c r="B4" s="1262"/>
      <c r="C4" s="1262"/>
      <c r="D4" s="549" t="s">
        <v>178</v>
      </c>
      <c r="E4" s="550" t="s">
        <v>672</v>
      </c>
      <c r="F4" s="550" t="s">
        <v>745</v>
      </c>
      <c r="G4" s="549" t="s">
        <v>178</v>
      </c>
      <c r="H4" s="550" t="s">
        <v>672</v>
      </c>
      <c r="I4" s="550" t="s">
        <v>745</v>
      </c>
      <c r="J4" s="550" t="s">
        <v>178</v>
      </c>
      <c r="K4" s="550" t="s">
        <v>672</v>
      </c>
      <c r="L4" s="550" t="s">
        <v>745</v>
      </c>
      <c r="M4" s="549" t="s">
        <v>178</v>
      </c>
      <c r="N4" s="550" t="s">
        <v>672</v>
      </c>
      <c r="O4" s="550" t="s">
        <v>745</v>
      </c>
      <c r="P4" s="549" t="s">
        <v>178</v>
      </c>
      <c r="Q4" s="550" t="s">
        <v>672</v>
      </c>
      <c r="R4" s="550" t="s">
        <v>745</v>
      </c>
      <c r="S4" s="549" t="s">
        <v>178</v>
      </c>
      <c r="T4" s="550" t="s">
        <v>672</v>
      </c>
      <c r="U4" s="550" t="s">
        <v>745</v>
      </c>
    </row>
    <row r="5" spans="1:21" s="46" customFormat="1" ht="12.75" customHeight="1">
      <c r="A5" s="5" t="s">
        <v>27</v>
      </c>
      <c r="B5" s="1257" t="s">
        <v>175</v>
      </c>
      <c r="C5" s="1257"/>
      <c r="D5" s="98">
        <f t="shared" ref="D5:D9" si="0">+G5+M5+P5+S5</f>
        <v>0</v>
      </c>
      <c r="E5" s="61"/>
      <c r="F5" s="61"/>
      <c r="G5" s="61"/>
      <c r="H5" s="61"/>
      <c r="I5" s="29">
        <f>+G5+H5</f>
        <v>0</v>
      </c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1" s="46" customFormat="1" ht="12.75" customHeight="1">
      <c r="A6" s="5" t="s">
        <v>34</v>
      </c>
      <c r="B6" s="1257" t="s">
        <v>174</v>
      </c>
      <c r="C6" s="1257"/>
      <c r="D6" s="98">
        <f t="shared" si="0"/>
        <v>0</v>
      </c>
      <c r="E6" s="61"/>
      <c r="F6" s="61"/>
      <c r="G6" s="61"/>
      <c r="H6" s="61"/>
      <c r="I6" s="29">
        <f t="shared" ref="I6:I7" si="1">+G6+H6</f>
        <v>0</v>
      </c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</row>
    <row r="7" spans="1:21" s="46" customFormat="1" ht="12.75" customHeight="1">
      <c r="A7" s="6" t="s">
        <v>35</v>
      </c>
      <c r="B7" s="1256" t="s">
        <v>173</v>
      </c>
      <c r="C7" s="1256"/>
      <c r="D7" s="98">
        <f t="shared" si="0"/>
        <v>0</v>
      </c>
      <c r="E7" s="58">
        <f>+E6+E5</f>
        <v>0</v>
      </c>
      <c r="F7" s="58">
        <f>+F6+F5</f>
        <v>0</v>
      </c>
      <c r="G7" s="58"/>
      <c r="H7" s="58"/>
      <c r="I7" s="29">
        <f t="shared" si="1"/>
        <v>0</v>
      </c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</row>
    <row r="8" spans="1:21" ht="12" customHeight="1">
      <c r="A8" s="7"/>
      <c r="B8" s="8"/>
      <c r="C8" s="8"/>
      <c r="D8" s="28">
        <f t="shared" si="0"/>
        <v>0</v>
      </c>
      <c r="E8" s="30"/>
      <c r="F8" s="31"/>
      <c r="G8" s="30"/>
      <c r="H8" s="30"/>
      <c r="I8" s="31"/>
      <c r="J8" s="30"/>
      <c r="K8" s="30"/>
      <c r="L8" s="30"/>
      <c r="M8" s="30"/>
      <c r="N8" s="30"/>
      <c r="O8" s="31"/>
      <c r="P8" s="30"/>
      <c r="Q8" s="30"/>
      <c r="R8" s="31"/>
      <c r="S8" s="30"/>
      <c r="T8" s="30"/>
      <c r="U8" s="30"/>
    </row>
    <row r="9" spans="1:21" s="46" customFormat="1" ht="12.75" customHeight="1">
      <c r="A9" s="5" t="s">
        <v>36</v>
      </c>
      <c r="B9" s="1257" t="s">
        <v>172</v>
      </c>
      <c r="C9" s="1257"/>
      <c r="D9" s="98">
        <f t="shared" si="0"/>
        <v>0</v>
      </c>
      <c r="E9" s="57"/>
      <c r="F9" s="57"/>
      <c r="G9" s="57"/>
      <c r="H9" s="57"/>
      <c r="I9" s="32">
        <f>+G9+H9</f>
        <v>0</v>
      </c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ht="11.25" customHeight="1">
      <c r="A10" s="188"/>
      <c r="B10" s="25"/>
      <c r="C10" s="11"/>
      <c r="D10" s="336"/>
      <c r="E10" s="30"/>
      <c r="F10" s="31"/>
      <c r="G10" s="30"/>
      <c r="H10" s="30"/>
      <c r="I10" s="31"/>
      <c r="J10" s="30"/>
      <c r="K10" s="30"/>
      <c r="L10" s="30"/>
      <c r="M10" s="30"/>
      <c r="N10" s="30"/>
      <c r="O10" s="31"/>
      <c r="P10" s="30"/>
      <c r="Q10" s="30"/>
      <c r="R10" s="31"/>
      <c r="S10" s="30"/>
      <c r="T10" s="30"/>
      <c r="U10" s="30"/>
    </row>
    <row r="11" spans="1:21" ht="12.75" customHeight="1">
      <c r="A11" s="12" t="s">
        <v>43</v>
      </c>
      <c r="B11" s="1255" t="s">
        <v>42</v>
      </c>
      <c r="C11" s="1255"/>
      <c r="D11" s="28">
        <f>+G11+M11+P11+S11+J11</f>
        <v>0</v>
      </c>
      <c r="E11" s="28">
        <f t="shared" ref="E11:F26" si="2">+H11+N11+Q11+T11+K11</f>
        <v>0</v>
      </c>
      <c r="F11" s="28">
        <f t="shared" si="2"/>
        <v>0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</row>
    <row r="12" spans="1:21" ht="12.75" customHeight="1">
      <c r="A12" s="3" t="s">
        <v>45</v>
      </c>
      <c r="B12" s="1253" t="s">
        <v>44</v>
      </c>
      <c r="C12" s="1253"/>
      <c r="D12" s="28">
        <f t="shared" ref="D12:D35" si="3">+G12+M12+P12+S12+J12</f>
        <v>0</v>
      </c>
      <c r="E12" s="28">
        <f t="shared" si="2"/>
        <v>0</v>
      </c>
      <c r="F12" s="28">
        <f t="shared" si="2"/>
        <v>0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32"/>
    </row>
    <row r="13" spans="1:21" ht="12.75" customHeight="1">
      <c r="A13" s="3" t="s">
        <v>47</v>
      </c>
      <c r="B13" s="1253" t="s">
        <v>46</v>
      </c>
      <c r="C13" s="1253"/>
      <c r="D13" s="28">
        <f t="shared" si="3"/>
        <v>0</v>
      </c>
      <c r="E13" s="28">
        <f t="shared" si="2"/>
        <v>0</v>
      </c>
      <c r="F13" s="28">
        <f t="shared" si="2"/>
        <v>0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32">
        <f t="shared" ref="U13" si="4">+S13+T13</f>
        <v>0</v>
      </c>
    </row>
    <row r="14" spans="1:21" s="46" customFormat="1" ht="12.75" customHeight="1">
      <c r="A14" s="5" t="s">
        <v>48</v>
      </c>
      <c r="B14" s="1257" t="s">
        <v>171</v>
      </c>
      <c r="C14" s="1257"/>
      <c r="D14" s="28">
        <f t="shared" si="3"/>
        <v>0</v>
      </c>
      <c r="E14" s="28">
        <f t="shared" si="2"/>
        <v>0</v>
      </c>
      <c r="F14" s="28">
        <f t="shared" si="2"/>
        <v>0</v>
      </c>
      <c r="G14" s="61">
        <f>SUM(G11:G13)</f>
        <v>0</v>
      </c>
      <c r="H14" s="61">
        <f t="shared" ref="H14:R14" si="5">SUM(H11:H13)</f>
        <v>0</v>
      </c>
      <c r="I14" s="61">
        <f>+G14+H14</f>
        <v>0</v>
      </c>
      <c r="J14" s="61">
        <f t="shared" ref="J14:L14" si="6">+H14+I14</f>
        <v>0</v>
      </c>
      <c r="K14" s="61">
        <f t="shared" si="6"/>
        <v>0</v>
      </c>
      <c r="L14" s="61">
        <f t="shared" si="6"/>
        <v>0</v>
      </c>
      <c r="M14" s="61">
        <f t="shared" si="5"/>
        <v>0</v>
      </c>
      <c r="N14" s="61">
        <f t="shared" si="5"/>
        <v>0</v>
      </c>
      <c r="O14" s="61">
        <f>SUM(O11:O13)</f>
        <v>0</v>
      </c>
      <c r="P14" s="61">
        <f t="shared" si="5"/>
        <v>0</v>
      </c>
      <c r="Q14" s="61">
        <f t="shared" si="5"/>
        <v>0</v>
      </c>
      <c r="R14" s="61">
        <f t="shared" si="5"/>
        <v>0</v>
      </c>
      <c r="S14" s="61">
        <f>SUM(S11:S13)</f>
        <v>0</v>
      </c>
      <c r="T14" s="61">
        <f>SUM(T11:T13)</f>
        <v>0</v>
      </c>
      <c r="U14" s="61">
        <f>SUM(U11:U13)</f>
        <v>0</v>
      </c>
    </row>
    <row r="15" spans="1:21" ht="12.75" customHeight="1">
      <c r="A15" s="3" t="s">
        <v>50</v>
      </c>
      <c r="B15" s="1253" t="s">
        <v>49</v>
      </c>
      <c r="C15" s="1253"/>
      <c r="D15" s="28">
        <f t="shared" si="3"/>
        <v>0</v>
      </c>
      <c r="E15" s="28">
        <f t="shared" si="2"/>
        <v>0</v>
      </c>
      <c r="F15" s="28">
        <f t="shared" si="2"/>
        <v>0</v>
      </c>
      <c r="G15" s="29"/>
      <c r="H15" s="29"/>
      <c r="I15" s="29">
        <f t="shared" ref="I15:I28" si="7">+G15+H15</f>
        <v>0</v>
      </c>
      <c r="J15" s="61"/>
      <c r="K15" s="61"/>
      <c r="L15" s="61"/>
      <c r="M15" s="29"/>
      <c r="N15" s="29"/>
      <c r="O15" s="29"/>
      <c r="P15" s="29"/>
      <c r="Q15" s="29"/>
      <c r="R15" s="29"/>
      <c r="S15" s="29"/>
      <c r="T15" s="29"/>
      <c r="U15" s="29"/>
    </row>
    <row r="16" spans="1:21" ht="12.75" customHeight="1">
      <c r="A16" s="3" t="s">
        <v>52</v>
      </c>
      <c r="B16" s="1253" t="s">
        <v>51</v>
      </c>
      <c r="C16" s="1253"/>
      <c r="D16" s="28">
        <f t="shared" si="3"/>
        <v>0</v>
      </c>
      <c r="E16" s="28">
        <f t="shared" si="2"/>
        <v>0</v>
      </c>
      <c r="F16" s="28">
        <f t="shared" si="2"/>
        <v>0</v>
      </c>
      <c r="G16" s="29"/>
      <c r="H16" s="29"/>
      <c r="I16" s="29">
        <f t="shared" si="7"/>
        <v>0</v>
      </c>
      <c r="J16" s="61"/>
      <c r="K16" s="61"/>
      <c r="L16" s="61"/>
      <c r="M16" s="29"/>
      <c r="N16" s="29"/>
      <c r="O16" s="29"/>
      <c r="P16" s="29"/>
      <c r="Q16" s="29"/>
      <c r="R16" s="29"/>
      <c r="S16" s="29"/>
      <c r="T16" s="29"/>
      <c r="U16" s="29"/>
    </row>
    <row r="17" spans="1:21" s="46" customFormat="1" ht="12.75" customHeight="1">
      <c r="A17" s="5" t="s">
        <v>53</v>
      </c>
      <c r="B17" s="1257" t="s">
        <v>170</v>
      </c>
      <c r="C17" s="1257"/>
      <c r="D17" s="28">
        <f t="shared" si="3"/>
        <v>0</v>
      </c>
      <c r="E17" s="28">
        <f t="shared" si="2"/>
        <v>0</v>
      </c>
      <c r="F17" s="28">
        <f t="shared" si="2"/>
        <v>0</v>
      </c>
      <c r="G17" s="61">
        <f>+G15+G16</f>
        <v>0</v>
      </c>
      <c r="H17" s="61">
        <f t="shared" ref="H17:R17" si="8">+H15+H16</f>
        <v>0</v>
      </c>
      <c r="I17" s="61">
        <f t="shared" si="7"/>
        <v>0</v>
      </c>
      <c r="J17" s="61">
        <f t="shared" ref="J17" si="9">+H17+I17</f>
        <v>0</v>
      </c>
      <c r="K17" s="61">
        <f t="shared" ref="K17" si="10">+I17+J17</f>
        <v>0</v>
      </c>
      <c r="L17" s="61">
        <f t="shared" ref="L17" si="11">+J17+K17</f>
        <v>0</v>
      </c>
      <c r="M17" s="61">
        <f t="shared" si="8"/>
        <v>0</v>
      </c>
      <c r="N17" s="61">
        <f t="shared" si="8"/>
        <v>0</v>
      </c>
      <c r="O17" s="61">
        <f t="shared" si="8"/>
        <v>0</v>
      </c>
      <c r="P17" s="61">
        <f t="shared" si="8"/>
        <v>0</v>
      </c>
      <c r="Q17" s="61">
        <f t="shared" si="8"/>
        <v>0</v>
      </c>
      <c r="R17" s="61">
        <f t="shared" si="8"/>
        <v>0</v>
      </c>
      <c r="S17" s="61">
        <f>+S15+S16</f>
        <v>0</v>
      </c>
      <c r="T17" s="61">
        <f>+T15+T16</f>
        <v>0</v>
      </c>
      <c r="U17" s="61">
        <f>+U15+U16</f>
        <v>0</v>
      </c>
    </row>
    <row r="18" spans="1:21" ht="12.75" customHeight="1">
      <c r="A18" s="3" t="s">
        <v>55</v>
      </c>
      <c r="B18" s="1253" t="s">
        <v>54</v>
      </c>
      <c r="C18" s="1253"/>
      <c r="D18" s="28">
        <f t="shared" si="3"/>
        <v>0</v>
      </c>
      <c r="E18" s="28">
        <f t="shared" si="2"/>
        <v>0</v>
      </c>
      <c r="F18" s="28">
        <f t="shared" si="2"/>
        <v>0</v>
      </c>
      <c r="G18" s="29"/>
      <c r="H18" s="29"/>
      <c r="I18" s="29">
        <f t="shared" si="7"/>
        <v>0</v>
      </c>
      <c r="J18" s="61"/>
      <c r="K18" s="61"/>
      <c r="L18" s="61"/>
      <c r="M18" s="29"/>
      <c r="N18" s="29"/>
      <c r="O18" s="29"/>
      <c r="P18" s="29"/>
      <c r="Q18" s="29"/>
      <c r="R18" s="29"/>
      <c r="S18" s="29"/>
      <c r="T18" s="29"/>
      <c r="U18" s="29"/>
    </row>
    <row r="19" spans="1:21" ht="12.75" customHeight="1">
      <c r="A19" s="3" t="s">
        <v>57</v>
      </c>
      <c r="B19" s="1253" t="s">
        <v>56</v>
      </c>
      <c r="C19" s="1253"/>
      <c r="D19" s="28">
        <f t="shared" si="3"/>
        <v>0</v>
      </c>
      <c r="E19" s="28">
        <f t="shared" si="2"/>
        <v>0</v>
      </c>
      <c r="F19" s="28">
        <f t="shared" si="2"/>
        <v>0</v>
      </c>
      <c r="G19" s="29"/>
      <c r="H19" s="29"/>
      <c r="I19" s="29">
        <f t="shared" si="7"/>
        <v>0</v>
      </c>
      <c r="J19" s="61"/>
      <c r="K19" s="61"/>
      <c r="L19" s="61"/>
      <c r="M19" s="29"/>
      <c r="N19" s="29"/>
      <c r="O19" s="29"/>
      <c r="P19" s="29"/>
      <c r="Q19" s="29"/>
      <c r="R19" s="29"/>
      <c r="S19" s="29"/>
      <c r="T19" s="29"/>
      <c r="U19" s="29"/>
    </row>
    <row r="20" spans="1:21" ht="12.75" customHeight="1">
      <c r="A20" s="3" t="s">
        <v>58</v>
      </c>
      <c r="B20" s="1253" t="s">
        <v>168</v>
      </c>
      <c r="C20" s="1253"/>
      <c r="D20" s="28">
        <f t="shared" si="3"/>
        <v>0</v>
      </c>
      <c r="E20" s="28">
        <f t="shared" si="2"/>
        <v>0</v>
      </c>
      <c r="F20" s="28">
        <f t="shared" si="2"/>
        <v>0</v>
      </c>
      <c r="G20" s="29"/>
      <c r="H20" s="29"/>
      <c r="I20" s="29">
        <f t="shared" si="7"/>
        <v>0</v>
      </c>
      <c r="J20" s="61"/>
      <c r="K20" s="61"/>
      <c r="L20" s="61"/>
      <c r="M20" s="29"/>
      <c r="N20" s="29"/>
      <c r="O20" s="29"/>
      <c r="P20" s="29"/>
      <c r="Q20" s="29"/>
      <c r="R20" s="29"/>
      <c r="S20" s="29"/>
      <c r="T20" s="29"/>
      <c r="U20" s="29"/>
    </row>
    <row r="21" spans="1:21" ht="12.75" customHeight="1">
      <c r="A21" s="3" t="s">
        <v>60</v>
      </c>
      <c r="B21" s="1253" t="s">
        <v>59</v>
      </c>
      <c r="C21" s="1253"/>
      <c r="D21" s="28">
        <f t="shared" si="3"/>
        <v>0</v>
      </c>
      <c r="E21" s="28">
        <f t="shared" si="2"/>
        <v>1321</v>
      </c>
      <c r="F21" s="28">
        <f t="shared" si="2"/>
        <v>1321</v>
      </c>
      <c r="G21" s="29"/>
      <c r="H21" s="29"/>
      <c r="I21" s="29">
        <f t="shared" si="7"/>
        <v>0</v>
      </c>
      <c r="J21" s="61"/>
      <c r="K21" s="29">
        <v>1321</v>
      </c>
      <c r="L21" s="29">
        <v>1321</v>
      </c>
      <c r="M21" s="29"/>
      <c r="N21" s="29"/>
      <c r="O21" s="29"/>
      <c r="P21" s="29"/>
      <c r="Q21" s="29"/>
      <c r="R21" s="29"/>
      <c r="S21" s="29"/>
      <c r="T21" s="29"/>
      <c r="U21" s="29"/>
    </row>
    <row r="22" spans="1:21" ht="12.75" customHeight="1">
      <c r="A22" s="3" t="s">
        <v>61</v>
      </c>
      <c r="B22" s="1253" t="s">
        <v>167</v>
      </c>
      <c r="C22" s="1253"/>
      <c r="D22" s="28">
        <f t="shared" si="3"/>
        <v>0</v>
      </c>
      <c r="E22" s="28">
        <f t="shared" si="2"/>
        <v>0</v>
      </c>
      <c r="F22" s="28">
        <f t="shared" si="2"/>
        <v>0</v>
      </c>
      <c r="G22" s="29"/>
      <c r="H22" s="29"/>
      <c r="I22" s="29">
        <f t="shared" si="7"/>
        <v>0</v>
      </c>
      <c r="J22" s="61"/>
      <c r="K22" s="61"/>
      <c r="L22" s="61"/>
      <c r="M22" s="29"/>
      <c r="N22" s="29"/>
      <c r="O22" s="29"/>
      <c r="P22" s="29"/>
      <c r="Q22" s="29"/>
      <c r="R22" s="29"/>
      <c r="S22" s="29"/>
      <c r="T22" s="29"/>
      <c r="U22" s="29"/>
    </row>
    <row r="23" spans="1:21" ht="12.75" customHeight="1">
      <c r="A23" s="3" t="s">
        <v>64</v>
      </c>
      <c r="B23" s="1253" t="s">
        <v>63</v>
      </c>
      <c r="C23" s="1253"/>
      <c r="D23" s="28">
        <f t="shared" si="3"/>
        <v>0</v>
      </c>
      <c r="E23" s="28">
        <f t="shared" si="2"/>
        <v>0</v>
      </c>
      <c r="F23" s="28">
        <f t="shared" si="2"/>
        <v>0</v>
      </c>
      <c r="G23" s="29"/>
      <c r="H23" s="29"/>
      <c r="I23" s="29">
        <f t="shared" si="7"/>
        <v>0</v>
      </c>
      <c r="J23" s="61"/>
      <c r="K23" s="61"/>
      <c r="L23" s="61"/>
      <c r="M23" s="29"/>
      <c r="N23" s="29"/>
      <c r="O23" s="29"/>
      <c r="P23" s="29"/>
      <c r="Q23" s="29"/>
      <c r="R23" s="29"/>
      <c r="S23" s="29"/>
      <c r="T23" s="29"/>
      <c r="U23" s="29"/>
    </row>
    <row r="24" spans="1:21" ht="12.75" customHeight="1">
      <c r="A24" s="3" t="s">
        <v>66</v>
      </c>
      <c r="B24" s="1253" t="s">
        <v>65</v>
      </c>
      <c r="C24" s="1253"/>
      <c r="D24" s="28">
        <f t="shared" si="3"/>
        <v>0</v>
      </c>
      <c r="E24" s="28">
        <f t="shared" si="2"/>
        <v>0</v>
      </c>
      <c r="F24" s="28">
        <f t="shared" si="2"/>
        <v>0</v>
      </c>
      <c r="G24" s="29"/>
      <c r="H24" s="29"/>
      <c r="I24" s="29">
        <f t="shared" si="7"/>
        <v>0</v>
      </c>
      <c r="J24" s="61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1:21" s="46" customFormat="1" ht="12.75" customHeight="1">
      <c r="A25" s="5" t="s">
        <v>67</v>
      </c>
      <c r="B25" s="1257" t="s">
        <v>157</v>
      </c>
      <c r="C25" s="1257"/>
      <c r="D25" s="28">
        <f t="shared" si="3"/>
        <v>0</v>
      </c>
      <c r="E25" s="28">
        <f t="shared" si="2"/>
        <v>1321</v>
      </c>
      <c r="F25" s="28">
        <f t="shared" si="2"/>
        <v>1321</v>
      </c>
      <c r="G25" s="61">
        <f t="shared" ref="G25:U25" si="12">+G24+G23+G22+G21+G20+G19+G18</f>
        <v>0</v>
      </c>
      <c r="H25" s="61">
        <f t="shared" si="12"/>
        <v>0</v>
      </c>
      <c r="I25" s="61">
        <f t="shared" si="7"/>
        <v>0</v>
      </c>
      <c r="J25" s="61">
        <f>SUM(J18:J24)</f>
        <v>0</v>
      </c>
      <c r="K25" s="61">
        <f t="shared" ref="K25:L25" si="13">SUM(K18:K24)</f>
        <v>1321</v>
      </c>
      <c r="L25" s="61">
        <f t="shared" si="13"/>
        <v>1321</v>
      </c>
      <c r="M25" s="61">
        <f t="shared" si="12"/>
        <v>0</v>
      </c>
      <c r="N25" s="61">
        <f t="shared" si="12"/>
        <v>0</v>
      </c>
      <c r="O25" s="61">
        <f t="shared" si="12"/>
        <v>0</v>
      </c>
      <c r="P25" s="61">
        <f t="shared" si="12"/>
        <v>0</v>
      </c>
      <c r="Q25" s="61">
        <f t="shared" si="12"/>
        <v>0</v>
      </c>
      <c r="R25" s="61"/>
      <c r="S25" s="61">
        <f t="shared" si="12"/>
        <v>0</v>
      </c>
      <c r="T25" s="61">
        <f t="shared" si="12"/>
        <v>0</v>
      </c>
      <c r="U25" s="61">
        <f t="shared" si="12"/>
        <v>0</v>
      </c>
    </row>
    <row r="26" spans="1:21" ht="12.75" customHeight="1">
      <c r="A26" s="3" t="s">
        <v>69</v>
      </c>
      <c r="B26" s="1253" t="s">
        <v>68</v>
      </c>
      <c r="C26" s="1253"/>
      <c r="D26" s="28">
        <f t="shared" si="3"/>
        <v>0</v>
      </c>
      <c r="E26" s="28">
        <f t="shared" si="2"/>
        <v>0</v>
      </c>
      <c r="F26" s="28">
        <f t="shared" si="2"/>
        <v>0</v>
      </c>
      <c r="G26" s="29"/>
      <c r="H26" s="29"/>
      <c r="I26" s="29">
        <f t="shared" si="7"/>
        <v>0</v>
      </c>
      <c r="J26" s="61"/>
      <c r="K26" s="61"/>
      <c r="L26" s="61"/>
      <c r="M26" s="29"/>
      <c r="N26" s="29"/>
      <c r="O26" s="29"/>
      <c r="P26" s="29"/>
      <c r="Q26" s="29"/>
      <c r="R26" s="29"/>
      <c r="S26" s="29"/>
      <c r="T26" s="29"/>
      <c r="U26" s="29"/>
    </row>
    <row r="27" spans="1:21" ht="12.75" customHeight="1">
      <c r="A27" s="3" t="s">
        <v>71</v>
      </c>
      <c r="B27" s="1253" t="s">
        <v>70</v>
      </c>
      <c r="C27" s="1253"/>
      <c r="D27" s="28">
        <f t="shared" si="3"/>
        <v>0</v>
      </c>
      <c r="E27" s="28">
        <f t="shared" ref="E27:E35" si="14">+H27+N27+Q27+T27+K27</f>
        <v>0</v>
      </c>
      <c r="F27" s="28">
        <f t="shared" ref="F27:F35" si="15">+I27+O27+R27+U27+L27</f>
        <v>0</v>
      </c>
      <c r="G27" s="29"/>
      <c r="H27" s="29"/>
      <c r="I27" s="29">
        <f t="shared" si="7"/>
        <v>0</v>
      </c>
      <c r="J27" s="61"/>
      <c r="K27" s="61"/>
      <c r="L27" s="61"/>
      <c r="M27" s="29"/>
      <c r="N27" s="29"/>
      <c r="O27" s="29"/>
      <c r="P27" s="29"/>
      <c r="Q27" s="29"/>
      <c r="R27" s="29"/>
      <c r="S27" s="29"/>
      <c r="T27" s="29"/>
      <c r="U27" s="29"/>
    </row>
    <row r="28" spans="1:21" s="46" customFormat="1" ht="12.75" customHeight="1">
      <c r="A28" s="5" t="s">
        <v>72</v>
      </c>
      <c r="B28" s="1257" t="s">
        <v>156</v>
      </c>
      <c r="C28" s="1257"/>
      <c r="D28" s="28">
        <f t="shared" si="3"/>
        <v>0</v>
      </c>
      <c r="E28" s="28">
        <f t="shared" si="14"/>
        <v>0</v>
      </c>
      <c r="F28" s="28">
        <f t="shared" si="15"/>
        <v>0</v>
      </c>
      <c r="G28" s="61">
        <f>SUM(G26:G27)</f>
        <v>0</v>
      </c>
      <c r="H28" s="61">
        <f t="shared" ref="H28:R28" si="16">SUM(H26:H27)</f>
        <v>0</v>
      </c>
      <c r="I28" s="61">
        <f t="shared" si="7"/>
        <v>0</v>
      </c>
      <c r="J28" s="61">
        <f t="shared" ref="J28" si="17">+H28+I28</f>
        <v>0</v>
      </c>
      <c r="K28" s="61">
        <f t="shared" ref="K28" si="18">+I28+J28</f>
        <v>0</v>
      </c>
      <c r="L28" s="61">
        <f t="shared" ref="L28" si="19">+J28+K28</f>
        <v>0</v>
      </c>
      <c r="M28" s="61">
        <f t="shared" si="16"/>
        <v>0</v>
      </c>
      <c r="N28" s="61">
        <f t="shared" si="16"/>
        <v>0</v>
      </c>
      <c r="O28" s="61">
        <f t="shared" si="16"/>
        <v>0</v>
      </c>
      <c r="P28" s="61">
        <f t="shared" si="16"/>
        <v>0</v>
      </c>
      <c r="Q28" s="61">
        <f t="shared" si="16"/>
        <v>0</v>
      </c>
      <c r="R28" s="61">
        <f t="shared" si="16"/>
        <v>0</v>
      </c>
      <c r="S28" s="61">
        <f>SUM(S26:S27)</f>
        <v>0</v>
      </c>
      <c r="T28" s="61">
        <f>SUM(T26:T27)</f>
        <v>0</v>
      </c>
      <c r="U28" s="61">
        <f>SUM(U26:U27)</f>
        <v>0</v>
      </c>
    </row>
    <row r="29" spans="1:21" ht="12.75" customHeight="1">
      <c r="A29" s="3" t="s">
        <v>74</v>
      </c>
      <c r="B29" s="1253" t="s">
        <v>73</v>
      </c>
      <c r="C29" s="1253"/>
      <c r="D29" s="28">
        <f t="shared" si="3"/>
        <v>0</v>
      </c>
      <c r="E29" s="28">
        <f t="shared" si="14"/>
        <v>357</v>
      </c>
      <c r="F29" s="28">
        <f t="shared" si="15"/>
        <v>357</v>
      </c>
      <c r="G29" s="29"/>
      <c r="H29" s="29"/>
      <c r="I29" s="29">
        <f>+G29+H29</f>
        <v>0</v>
      </c>
      <c r="J29" s="29"/>
      <c r="K29" s="29">
        <v>357</v>
      </c>
      <c r="L29" s="29">
        <v>357</v>
      </c>
      <c r="M29" s="29"/>
      <c r="N29" s="29"/>
      <c r="O29" s="29">
        <f>+M29+N29</f>
        <v>0</v>
      </c>
      <c r="P29" s="29"/>
      <c r="Q29" s="29"/>
      <c r="R29" s="29"/>
      <c r="S29" s="29"/>
      <c r="T29" s="29">
        <v>0</v>
      </c>
      <c r="U29" s="29">
        <v>0</v>
      </c>
    </row>
    <row r="30" spans="1:21" ht="12.75" customHeight="1">
      <c r="A30" s="3" t="s">
        <v>76</v>
      </c>
      <c r="B30" s="1253" t="s">
        <v>75</v>
      </c>
      <c r="C30" s="1253"/>
      <c r="D30" s="28">
        <f t="shared" si="3"/>
        <v>42520</v>
      </c>
      <c r="E30" s="28">
        <f t="shared" si="14"/>
        <v>1559</v>
      </c>
      <c r="F30" s="28">
        <f t="shared" si="15"/>
        <v>1559</v>
      </c>
      <c r="G30" s="29">
        <v>42520</v>
      </c>
      <c r="H30" s="29">
        <v>1559</v>
      </c>
      <c r="I30" s="29">
        <v>1559</v>
      </c>
      <c r="J30" s="29"/>
      <c r="K30" s="29"/>
      <c r="L30" s="29"/>
      <c r="M30" s="29"/>
      <c r="N30" s="29"/>
      <c r="O30" s="29">
        <f t="shared" ref="O30:O32" si="20">+M30+N30</f>
        <v>0</v>
      </c>
      <c r="P30" s="29"/>
      <c r="Q30" s="29"/>
      <c r="R30" s="29"/>
      <c r="S30" s="29"/>
      <c r="T30" s="29"/>
      <c r="U30" s="29">
        <f t="shared" ref="U30:U33" si="21">+S30+T30</f>
        <v>0</v>
      </c>
    </row>
    <row r="31" spans="1:21" ht="12.75" customHeight="1">
      <c r="A31" s="3" t="s">
        <v>77</v>
      </c>
      <c r="B31" s="1253" t="s">
        <v>155</v>
      </c>
      <c r="C31" s="1253"/>
      <c r="D31" s="28">
        <f t="shared" si="3"/>
        <v>0</v>
      </c>
      <c r="E31" s="28">
        <f t="shared" si="14"/>
        <v>0</v>
      </c>
      <c r="F31" s="28">
        <f t="shared" si="15"/>
        <v>0</v>
      </c>
      <c r="G31" s="29"/>
      <c r="H31" s="29"/>
      <c r="I31" s="29">
        <f t="shared" ref="I31:I33" si="22">+G31+H31</f>
        <v>0</v>
      </c>
      <c r="J31" s="29"/>
      <c r="K31" s="29"/>
      <c r="L31" s="29"/>
      <c r="M31" s="29"/>
      <c r="N31" s="29"/>
      <c r="O31" s="29">
        <f t="shared" si="20"/>
        <v>0</v>
      </c>
      <c r="P31" s="29"/>
      <c r="Q31" s="29"/>
      <c r="R31" s="29"/>
      <c r="S31" s="29"/>
      <c r="T31" s="29"/>
      <c r="U31" s="29">
        <f t="shared" si="21"/>
        <v>0</v>
      </c>
    </row>
    <row r="32" spans="1:21" ht="12.75" customHeight="1">
      <c r="A32" s="3" t="s">
        <v>78</v>
      </c>
      <c r="B32" s="1253" t="s">
        <v>154</v>
      </c>
      <c r="C32" s="1253"/>
      <c r="D32" s="28">
        <f t="shared" si="3"/>
        <v>0</v>
      </c>
      <c r="E32" s="28">
        <f t="shared" si="14"/>
        <v>0</v>
      </c>
      <c r="F32" s="28">
        <f t="shared" si="15"/>
        <v>0</v>
      </c>
      <c r="G32" s="29"/>
      <c r="H32" s="29"/>
      <c r="I32" s="29">
        <f t="shared" si="22"/>
        <v>0</v>
      </c>
      <c r="J32" s="29"/>
      <c r="K32" s="29"/>
      <c r="L32" s="29"/>
      <c r="M32" s="29"/>
      <c r="N32" s="29"/>
      <c r="O32" s="29">
        <f t="shared" si="20"/>
        <v>0</v>
      </c>
      <c r="P32" s="29"/>
      <c r="Q32" s="29"/>
      <c r="R32" s="29"/>
      <c r="S32" s="29"/>
      <c r="T32" s="29"/>
      <c r="U32" s="29">
        <f t="shared" si="21"/>
        <v>0</v>
      </c>
    </row>
    <row r="33" spans="1:21" ht="12.75" customHeight="1">
      <c r="A33" s="3" t="s">
        <v>80</v>
      </c>
      <c r="B33" s="1253" t="s">
        <v>79</v>
      </c>
      <c r="C33" s="1253"/>
      <c r="D33" s="28">
        <f t="shared" si="3"/>
        <v>0</v>
      </c>
      <c r="E33" s="28">
        <f t="shared" si="14"/>
        <v>630</v>
      </c>
      <c r="F33" s="28">
        <f t="shared" si="15"/>
        <v>887</v>
      </c>
      <c r="G33" s="29"/>
      <c r="H33" s="29"/>
      <c r="I33" s="29">
        <f t="shared" si="22"/>
        <v>0</v>
      </c>
      <c r="J33" s="29"/>
      <c r="K33" s="29">
        <v>28</v>
      </c>
      <c r="L33" s="29">
        <v>28</v>
      </c>
      <c r="M33" s="29"/>
      <c r="N33" s="29">
        <v>602</v>
      </c>
      <c r="O33" s="29">
        <v>859</v>
      </c>
      <c r="P33" s="29"/>
      <c r="Q33" s="29"/>
      <c r="R33" s="29"/>
      <c r="S33" s="29"/>
      <c r="T33" s="29"/>
      <c r="U33" s="29">
        <f t="shared" si="21"/>
        <v>0</v>
      </c>
    </row>
    <row r="34" spans="1:21" s="46" customFormat="1" ht="12.75" customHeight="1">
      <c r="A34" s="5" t="s">
        <v>81</v>
      </c>
      <c r="B34" s="1257" t="s">
        <v>153</v>
      </c>
      <c r="C34" s="1257"/>
      <c r="D34" s="28">
        <f t="shared" si="3"/>
        <v>42520</v>
      </c>
      <c r="E34" s="28">
        <f t="shared" si="14"/>
        <v>2546</v>
      </c>
      <c r="F34" s="28">
        <f t="shared" si="15"/>
        <v>2803</v>
      </c>
      <c r="G34" s="61">
        <f>SUM(G29:G33)</f>
        <v>42520</v>
      </c>
      <c r="H34" s="61">
        <f>SUM(H29:H33)</f>
        <v>1559</v>
      </c>
      <c r="I34" s="61">
        <f t="shared" ref="I34:Q34" si="23">SUM(I29:I33)</f>
        <v>1559</v>
      </c>
      <c r="J34" s="61">
        <f>SUM(J29:J33)</f>
        <v>0</v>
      </c>
      <c r="K34" s="61">
        <f t="shared" ref="K34:L34" si="24">SUM(K29:K33)</f>
        <v>385</v>
      </c>
      <c r="L34" s="61">
        <f t="shared" si="24"/>
        <v>385</v>
      </c>
      <c r="M34" s="61">
        <f t="shared" si="23"/>
        <v>0</v>
      </c>
      <c r="N34" s="61">
        <f t="shared" si="23"/>
        <v>602</v>
      </c>
      <c r="O34" s="61">
        <f t="shared" si="23"/>
        <v>859</v>
      </c>
      <c r="P34" s="61">
        <f t="shared" si="23"/>
        <v>0</v>
      </c>
      <c r="Q34" s="61">
        <f t="shared" si="23"/>
        <v>0</v>
      </c>
      <c r="R34" s="61">
        <f>SUM(R29:R33)</f>
        <v>0</v>
      </c>
      <c r="S34" s="61">
        <f>SUM(S29:S33)</f>
        <v>0</v>
      </c>
      <c r="T34" s="61">
        <f>SUM(T29:T33)</f>
        <v>0</v>
      </c>
      <c r="U34" s="61">
        <f>SUM(U29:U33)</f>
        <v>0</v>
      </c>
    </row>
    <row r="35" spans="1:21" s="46" customFormat="1" ht="12.75" customHeight="1">
      <c r="A35" s="6" t="s">
        <v>82</v>
      </c>
      <c r="B35" s="1256" t="s">
        <v>152</v>
      </c>
      <c r="C35" s="1256"/>
      <c r="D35" s="28">
        <f t="shared" si="3"/>
        <v>42520</v>
      </c>
      <c r="E35" s="28">
        <f t="shared" si="14"/>
        <v>3867</v>
      </c>
      <c r="F35" s="28">
        <f t="shared" si="15"/>
        <v>4124</v>
      </c>
      <c r="G35" s="58">
        <f t="shared" ref="G35:T35" si="25">+G34+G28+G25+G17+G14</f>
        <v>42520</v>
      </c>
      <c r="H35" s="58">
        <f t="shared" si="25"/>
        <v>1559</v>
      </c>
      <c r="I35" s="58">
        <f t="shared" si="25"/>
        <v>1559</v>
      </c>
      <c r="J35" s="58">
        <f t="shared" ref="J35:L35" si="26">+J34+J28+J25+J17+J14</f>
        <v>0</v>
      </c>
      <c r="K35" s="58">
        <f t="shared" si="26"/>
        <v>1706</v>
      </c>
      <c r="L35" s="58">
        <f t="shared" si="26"/>
        <v>1706</v>
      </c>
      <c r="M35" s="58">
        <f t="shared" si="25"/>
        <v>0</v>
      </c>
      <c r="N35" s="58">
        <f t="shared" si="25"/>
        <v>602</v>
      </c>
      <c r="O35" s="58">
        <f t="shared" si="25"/>
        <v>859</v>
      </c>
      <c r="P35" s="58">
        <f t="shared" si="25"/>
        <v>0</v>
      </c>
      <c r="Q35" s="58">
        <f t="shared" si="25"/>
        <v>0</v>
      </c>
      <c r="R35" s="58">
        <f t="shared" si="25"/>
        <v>0</v>
      </c>
      <c r="S35" s="58">
        <f t="shared" si="25"/>
        <v>0</v>
      </c>
      <c r="T35" s="58">
        <f t="shared" si="25"/>
        <v>0</v>
      </c>
      <c r="U35" s="58">
        <f>+U34+U28+U25+U17+U14</f>
        <v>0</v>
      </c>
    </row>
    <row r="36" spans="1:21" ht="11.25" customHeight="1">
      <c r="A36" s="337"/>
      <c r="B36" s="338"/>
      <c r="C36" s="338"/>
      <c r="D36" s="339"/>
      <c r="E36" s="340"/>
      <c r="F36" s="98">
        <f t="shared" ref="F36:F65" si="27">+I36+O36+R36+U36</f>
        <v>0</v>
      </c>
      <c r="G36" s="340"/>
      <c r="H36" s="340"/>
      <c r="I36" s="340"/>
      <c r="J36" s="340"/>
      <c r="K36" s="340"/>
      <c r="L36" s="340"/>
      <c r="M36" s="340"/>
      <c r="N36" s="340"/>
      <c r="O36" s="340"/>
      <c r="P36" s="340"/>
      <c r="Q36" s="340"/>
      <c r="R36" s="340"/>
      <c r="S36" s="340"/>
      <c r="T36" s="340"/>
      <c r="U36" s="340"/>
    </row>
    <row r="37" spans="1:21" ht="12" customHeight="1">
      <c r="A37" s="7"/>
      <c r="B37" s="1269"/>
      <c r="C37" s="1269"/>
      <c r="D37" s="28"/>
      <c r="E37" s="30"/>
      <c r="F37" s="98">
        <f t="shared" si="27"/>
        <v>0</v>
      </c>
      <c r="G37" s="30"/>
      <c r="H37" s="30"/>
      <c r="I37" s="31"/>
      <c r="J37" s="30"/>
      <c r="K37" s="30"/>
      <c r="L37" s="30"/>
      <c r="M37" s="30"/>
      <c r="N37" s="30"/>
      <c r="O37" s="31"/>
      <c r="P37" s="30"/>
      <c r="Q37" s="30"/>
      <c r="R37" s="31"/>
      <c r="S37" s="30"/>
      <c r="T37" s="30"/>
      <c r="U37" s="30"/>
    </row>
    <row r="38" spans="1:21" ht="12.75" hidden="1" customHeight="1">
      <c r="A38" s="3" t="s">
        <v>97</v>
      </c>
      <c r="B38" s="1264" t="s">
        <v>96</v>
      </c>
      <c r="C38" s="1264"/>
      <c r="D38" s="28"/>
      <c r="E38" s="29"/>
      <c r="F38" s="98">
        <f t="shared" si="27"/>
        <v>0</v>
      </c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</row>
    <row r="39" spans="1:21" ht="12.75" hidden="1" customHeight="1">
      <c r="A39" s="3" t="s">
        <v>99</v>
      </c>
      <c r="B39" s="1264" t="s">
        <v>98</v>
      </c>
      <c r="C39" s="1264"/>
      <c r="D39" s="28"/>
      <c r="E39" s="29"/>
      <c r="F39" s="98">
        <f t="shared" si="27"/>
        <v>0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</row>
    <row r="40" spans="1:21" ht="23.25" hidden="1" customHeight="1">
      <c r="A40" s="3" t="s">
        <v>102</v>
      </c>
      <c r="B40" s="1264" t="s">
        <v>166</v>
      </c>
      <c r="C40" s="1264"/>
      <c r="D40" s="28"/>
      <c r="E40" s="29"/>
      <c r="F40" s="98">
        <f t="shared" si="27"/>
        <v>0</v>
      </c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</row>
    <row r="41" spans="1:21" ht="25.5" hidden="1" customHeight="1">
      <c r="A41" s="3" t="s">
        <v>104</v>
      </c>
      <c r="B41" s="1264" t="s">
        <v>103</v>
      </c>
      <c r="C41" s="1264"/>
      <c r="D41" s="28"/>
      <c r="E41" s="29"/>
      <c r="F41" s="98">
        <f t="shared" si="27"/>
        <v>0</v>
      </c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</row>
    <row r="42" spans="1:21" ht="27" hidden="1" customHeight="1">
      <c r="A42" s="3" t="s">
        <v>106</v>
      </c>
      <c r="B42" s="1264" t="s">
        <v>165</v>
      </c>
      <c r="C42" s="1264"/>
      <c r="D42" s="28"/>
      <c r="E42" s="29"/>
      <c r="F42" s="98">
        <f t="shared" si="27"/>
        <v>0</v>
      </c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</row>
    <row r="43" spans="1:21" ht="12.75" hidden="1" customHeight="1">
      <c r="A43" s="3" t="s">
        <v>108</v>
      </c>
      <c r="B43" s="1253" t="s">
        <v>107</v>
      </c>
      <c r="C43" s="1253"/>
      <c r="D43" s="28"/>
      <c r="E43" s="29"/>
      <c r="F43" s="98">
        <f t="shared" si="27"/>
        <v>0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</row>
    <row r="44" spans="1:21" s="46" customFormat="1" ht="12.75" customHeight="1">
      <c r="A44" s="5" t="s">
        <v>109</v>
      </c>
      <c r="B44" s="1257" t="s">
        <v>164</v>
      </c>
      <c r="C44" s="1257"/>
      <c r="D44" s="28"/>
      <c r="E44" s="61"/>
      <c r="F44" s="98">
        <f t="shared" si="27"/>
        <v>0</v>
      </c>
      <c r="G44" s="61"/>
      <c r="H44" s="61"/>
      <c r="I44" s="29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</row>
    <row r="45" spans="1:21" ht="12" customHeight="1">
      <c r="A45" s="7"/>
      <c r="B45" s="8"/>
      <c r="C45" s="8"/>
      <c r="D45" s="28"/>
      <c r="E45" s="30"/>
      <c r="F45" s="98">
        <f t="shared" si="27"/>
        <v>0</v>
      </c>
      <c r="G45" s="30"/>
      <c r="H45" s="30"/>
      <c r="I45" s="31"/>
      <c r="J45" s="30"/>
      <c r="K45" s="30"/>
      <c r="L45" s="30"/>
      <c r="M45" s="30"/>
      <c r="N45" s="30"/>
      <c r="O45" s="31"/>
      <c r="P45" s="30"/>
      <c r="Q45" s="30"/>
      <c r="R45" s="31"/>
      <c r="S45" s="30"/>
      <c r="T45" s="30"/>
      <c r="U45" s="30"/>
    </row>
    <row r="46" spans="1:21" ht="12.75" customHeight="1">
      <c r="A46" s="12" t="s">
        <v>111</v>
      </c>
      <c r="B46" s="1255" t="s">
        <v>110</v>
      </c>
      <c r="C46" s="1255"/>
      <c r="D46" s="28">
        <f t="shared" ref="D46:D52" si="28">+G46+M46+P46+S46</f>
        <v>0</v>
      </c>
      <c r="E46" s="32">
        <f>+H46+N46+Q46+T46+K46</f>
        <v>1500</v>
      </c>
      <c r="F46" s="98">
        <f>+I46+O46+R46+U46+L46</f>
        <v>1500</v>
      </c>
      <c r="G46" s="32"/>
      <c r="H46" s="32">
        <v>1500</v>
      </c>
      <c r="I46" s="32">
        <v>1500</v>
      </c>
      <c r="J46" s="32"/>
      <c r="K46" s="32"/>
      <c r="L46" s="32"/>
      <c r="M46" s="32"/>
      <c r="N46" s="32"/>
      <c r="O46" s="32">
        <f>+M46+N46</f>
        <v>0</v>
      </c>
      <c r="P46" s="32"/>
      <c r="Q46" s="32"/>
      <c r="R46" s="32"/>
      <c r="S46" s="32"/>
      <c r="T46" s="32"/>
      <c r="U46" s="32">
        <f>+S46+T46</f>
        <v>0</v>
      </c>
    </row>
    <row r="47" spans="1:21" ht="12.75" customHeight="1">
      <c r="A47" s="3" t="s">
        <v>112</v>
      </c>
      <c r="B47" s="1253" t="s">
        <v>163</v>
      </c>
      <c r="C47" s="1253"/>
      <c r="D47" s="28">
        <f t="shared" si="28"/>
        <v>157480</v>
      </c>
      <c r="E47" s="32">
        <f t="shared" ref="E47:E53" si="29">+H47+N47+Q47+T47+K47</f>
        <v>12331</v>
      </c>
      <c r="F47" s="98">
        <f t="shared" ref="F47:F53" si="30">+I47+O47+R47+U47+L47</f>
        <v>12330</v>
      </c>
      <c r="G47" s="29">
        <v>157480</v>
      </c>
      <c r="H47" s="29">
        <v>11731</v>
      </c>
      <c r="I47" s="32">
        <v>11730</v>
      </c>
      <c r="J47" s="32"/>
      <c r="K47" s="32"/>
      <c r="L47" s="32"/>
      <c r="M47" s="29"/>
      <c r="N47" s="29">
        <v>600</v>
      </c>
      <c r="O47" s="32">
        <v>600</v>
      </c>
      <c r="P47" s="29"/>
      <c r="Q47" s="29"/>
      <c r="R47" s="32"/>
      <c r="S47" s="32"/>
      <c r="T47" s="32"/>
      <c r="U47" s="32">
        <f t="shared" ref="U47:U51" si="31">+S47+T47</f>
        <v>0</v>
      </c>
    </row>
    <row r="48" spans="1:21" ht="12.75" customHeight="1">
      <c r="A48" s="3" t="s">
        <v>115</v>
      </c>
      <c r="B48" s="1253" t="s">
        <v>114</v>
      </c>
      <c r="C48" s="1253"/>
      <c r="D48" s="28">
        <f t="shared" si="28"/>
        <v>0</v>
      </c>
      <c r="E48" s="32">
        <f t="shared" si="29"/>
        <v>0</v>
      </c>
      <c r="F48" s="98">
        <f t="shared" si="30"/>
        <v>0</v>
      </c>
      <c r="G48" s="29"/>
      <c r="H48" s="29"/>
      <c r="I48" s="32">
        <f t="shared" ref="I48:I51" si="32">+G48+H48</f>
        <v>0</v>
      </c>
      <c r="J48" s="32"/>
      <c r="K48" s="32"/>
      <c r="L48" s="32"/>
      <c r="M48" s="29"/>
      <c r="N48" s="29"/>
      <c r="O48" s="32">
        <f t="shared" ref="O48:O50" si="33">+M48+N48</f>
        <v>0</v>
      </c>
      <c r="P48" s="29"/>
      <c r="Q48" s="29"/>
      <c r="R48" s="32"/>
      <c r="S48" s="32"/>
      <c r="T48" s="32"/>
      <c r="U48" s="32">
        <f t="shared" si="31"/>
        <v>0</v>
      </c>
    </row>
    <row r="49" spans="1:23" ht="12.75" customHeight="1">
      <c r="A49" s="3" t="s">
        <v>117</v>
      </c>
      <c r="B49" s="1253" t="s">
        <v>116</v>
      </c>
      <c r="C49" s="1253"/>
      <c r="D49" s="28">
        <f t="shared" si="28"/>
        <v>0</v>
      </c>
      <c r="E49" s="32">
        <f t="shared" si="29"/>
        <v>8021</v>
      </c>
      <c r="F49" s="98">
        <f t="shared" si="30"/>
        <v>5912</v>
      </c>
      <c r="G49" s="29"/>
      <c r="H49" s="29">
        <v>2206</v>
      </c>
      <c r="I49" s="32">
        <v>0</v>
      </c>
      <c r="J49" s="32"/>
      <c r="K49" s="32"/>
      <c r="L49" s="32"/>
      <c r="M49" s="29"/>
      <c r="N49" s="29"/>
      <c r="O49" s="32"/>
      <c r="P49" s="29"/>
      <c r="Q49" s="29">
        <v>815</v>
      </c>
      <c r="R49" s="32">
        <v>912</v>
      </c>
      <c r="S49" s="32"/>
      <c r="T49" s="32">
        <v>5000</v>
      </c>
      <c r="U49" s="32">
        <v>5000</v>
      </c>
    </row>
    <row r="50" spans="1:23" ht="12.75" customHeight="1">
      <c r="A50" s="3" t="s">
        <v>119</v>
      </c>
      <c r="B50" s="1253" t="s">
        <v>118</v>
      </c>
      <c r="C50" s="1253"/>
      <c r="D50" s="28">
        <f t="shared" si="28"/>
        <v>0</v>
      </c>
      <c r="E50" s="32">
        <f t="shared" si="29"/>
        <v>0</v>
      </c>
      <c r="F50" s="98">
        <f t="shared" si="30"/>
        <v>0</v>
      </c>
      <c r="G50" s="29"/>
      <c r="H50" s="29"/>
      <c r="I50" s="32">
        <f t="shared" si="32"/>
        <v>0</v>
      </c>
      <c r="J50" s="32"/>
      <c r="K50" s="32"/>
      <c r="L50" s="32"/>
      <c r="M50" s="29"/>
      <c r="N50" s="29"/>
      <c r="O50" s="32">
        <f t="shared" si="33"/>
        <v>0</v>
      </c>
      <c r="P50" s="29"/>
      <c r="Q50" s="29"/>
      <c r="R50" s="32"/>
      <c r="S50" s="32"/>
      <c r="T50" s="32"/>
      <c r="U50" s="32">
        <f t="shared" si="31"/>
        <v>0</v>
      </c>
    </row>
    <row r="51" spans="1:23" ht="12.75" customHeight="1">
      <c r="A51" s="3" t="s">
        <v>121</v>
      </c>
      <c r="B51" s="1253" t="s">
        <v>120</v>
      </c>
      <c r="C51" s="1253"/>
      <c r="D51" s="28">
        <f t="shared" si="28"/>
        <v>0</v>
      </c>
      <c r="E51" s="32">
        <f t="shared" si="29"/>
        <v>0</v>
      </c>
      <c r="F51" s="98">
        <f t="shared" si="30"/>
        <v>0</v>
      </c>
      <c r="G51" s="29"/>
      <c r="H51" s="29"/>
      <c r="I51" s="32">
        <f t="shared" si="32"/>
        <v>0</v>
      </c>
      <c r="J51" s="32"/>
      <c r="K51" s="32"/>
      <c r="L51" s="32"/>
      <c r="M51" s="29"/>
      <c r="N51" s="29"/>
      <c r="O51" s="32"/>
      <c r="P51" s="29"/>
      <c r="Q51" s="29"/>
      <c r="R51" s="32"/>
      <c r="S51" s="32"/>
      <c r="T51" s="32"/>
      <c r="U51" s="32">
        <f t="shared" si="31"/>
        <v>0</v>
      </c>
    </row>
    <row r="52" spans="1:23" ht="12.75" customHeight="1">
      <c r="A52" s="3" t="s">
        <v>123</v>
      </c>
      <c r="B52" s="1253" t="s">
        <v>122</v>
      </c>
      <c r="C52" s="1253"/>
      <c r="D52" s="28">
        <f t="shared" si="28"/>
        <v>0</v>
      </c>
      <c r="E52" s="32">
        <f t="shared" si="29"/>
        <v>4279</v>
      </c>
      <c r="F52" s="98">
        <f t="shared" si="30"/>
        <v>3711</v>
      </c>
      <c r="G52" s="29"/>
      <c r="H52" s="29">
        <v>2607</v>
      </c>
      <c r="I52" s="32">
        <v>2013</v>
      </c>
      <c r="J52" s="32"/>
      <c r="K52" s="32"/>
      <c r="L52" s="32"/>
      <c r="M52" s="29"/>
      <c r="N52" s="29">
        <v>162</v>
      </c>
      <c r="O52" s="32">
        <v>162</v>
      </c>
      <c r="P52" s="29"/>
      <c r="Q52" s="29">
        <f>322-162</f>
        <v>160</v>
      </c>
      <c r="R52" s="32">
        <v>186</v>
      </c>
      <c r="S52" s="32"/>
      <c r="T52" s="32">
        <v>1350</v>
      </c>
      <c r="U52" s="32">
        <v>1350</v>
      </c>
    </row>
    <row r="53" spans="1:23" s="46" customFormat="1" ht="12.75" customHeight="1">
      <c r="A53" s="6" t="s">
        <v>124</v>
      </c>
      <c r="B53" s="1256" t="s">
        <v>162</v>
      </c>
      <c r="C53" s="1256"/>
      <c r="D53" s="58">
        <f t="shared" ref="D53:U53" si="34">+D52+D51+D50+D49+D48+D47+D46</f>
        <v>157480</v>
      </c>
      <c r="E53" s="57">
        <f t="shared" si="29"/>
        <v>26131</v>
      </c>
      <c r="F53" s="98">
        <f t="shared" si="30"/>
        <v>23453</v>
      </c>
      <c r="G53" s="58">
        <f t="shared" si="34"/>
        <v>157480</v>
      </c>
      <c r="H53" s="58">
        <f t="shared" si="34"/>
        <v>18044</v>
      </c>
      <c r="I53" s="58">
        <f t="shared" si="34"/>
        <v>15243</v>
      </c>
      <c r="J53" s="58"/>
      <c r="K53" s="58">
        <f t="shared" si="34"/>
        <v>0</v>
      </c>
      <c r="L53" s="58">
        <f t="shared" si="34"/>
        <v>0</v>
      </c>
      <c r="M53" s="58">
        <f t="shared" si="34"/>
        <v>0</v>
      </c>
      <c r="N53" s="58">
        <f t="shared" si="34"/>
        <v>762</v>
      </c>
      <c r="O53" s="58">
        <f t="shared" si="34"/>
        <v>762</v>
      </c>
      <c r="P53" s="58">
        <f t="shared" si="34"/>
        <v>0</v>
      </c>
      <c r="Q53" s="58">
        <f t="shared" si="34"/>
        <v>975</v>
      </c>
      <c r="R53" s="58">
        <f t="shared" si="34"/>
        <v>1098</v>
      </c>
      <c r="S53" s="58">
        <f t="shared" si="34"/>
        <v>0</v>
      </c>
      <c r="T53" s="58">
        <f t="shared" si="34"/>
        <v>6350</v>
      </c>
      <c r="U53" s="58">
        <f t="shared" si="34"/>
        <v>6350</v>
      </c>
    </row>
    <row r="54" spans="1:23">
      <c r="A54" s="7"/>
      <c r="B54" s="8"/>
      <c r="C54" s="8"/>
      <c r="D54" s="30"/>
      <c r="E54" s="30"/>
      <c r="F54" s="98">
        <f t="shared" si="27"/>
        <v>0</v>
      </c>
      <c r="G54" s="30"/>
      <c r="H54" s="30"/>
      <c r="I54" s="31"/>
      <c r="J54" s="30"/>
      <c r="K54" s="30"/>
      <c r="L54" s="30"/>
      <c r="M54" s="30"/>
      <c r="N54" s="30"/>
      <c r="O54" s="31"/>
      <c r="P54" s="30"/>
      <c r="Q54" s="30"/>
      <c r="R54" s="31"/>
      <c r="S54" s="30"/>
      <c r="T54" s="30"/>
      <c r="U54" s="30"/>
    </row>
    <row r="55" spans="1:23" ht="12.75" customHeight="1">
      <c r="A55" s="3" t="s">
        <v>126</v>
      </c>
      <c r="B55" s="1253" t="s">
        <v>125</v>
      </c>
      <c r="C55" s="1253"/>
      <c r="D55" s="29">
        <f>+G55+M55+P55+S55</f>
        <v>0</v>
      </c>
      <c r="E55" s="29">
        <f>+H55+N55+Q55+T55+K55</f>
        <v>6875</v>
      </c>
      <c r="F55" s="98">
        <f>+I55+O55+R55+U55+L55</f>
        <v>6875</v>
      </c>
      <c r="G55" s="29"/>
      <c r="H55" s="29">
        <v>6560</v>
      </c>
      <c r="I55" s="29">
        <v>6560</v>
      </c>
      <c r="J55" s="29"/>
      <c r="K55" s="29"/>
      <c r="L55" s="29"/>
      <c r="M55" s="29"/>
      <c r="N55" s="29">
        <v>315</v>
      </c>
      <c r="O55" s="29">
        <v>315</v>
      </c>
      <c r="P55" s="29"/>
      <c r="Q55" s="29"/>
      <c r="R55" s="29"/>
      <c r="S55" s="29"/>
      <c r="T55" s="29"/>
      <c r="U55" s="29"/>
    </row>
    <row r="56" spans="1:23" ht="12.75" customHeight="1">
      <c r="A56" s="3" t="s">
        <v>128</v>
      </c>
      <c r="B56" s="1253" t="s">
        <v>127</v>
      </c>
      <c r="C56" s="1253"/>
      <c r="D56" s="29">
        <f t="shared" ref="D56:D58" si="35">+G56+M56+P56+S56</f>
        <v>0</v>
      </c>
      <c r="E56" s="29">
        <f t="shared" ref="E56:E58" si="36">+H56+N56+Q56+T56+K56</f>
        <v>0</v>
      </c>
      <c r="F56" s="98">
        <f t="shared" si="27"/>
        <v>0</v>
      </c>
      <c r="G56" s="29"/>
      <c r="H56" s="29"/>
      <c r="I56" s="29"/>
      <c r="J56" s="29"/>
      <c r="K56" s="29"/>
      <c r="L56" s="29"/>
      <c r="M56" s="29"/>
      <c r="N56" s="29"/>
      <c r="O56" s="29">
        <f t="shared" ref="O56:O57" si="37">+N56+M56</f>
        <v>0</v>
      </c>
      <c r="P56" s="29"/>
      <c r="Q56" s="29"/>
      <c r="R56" s="29"/>
      <c r="S56" s="29"/>
      <c r="T56" s="29"/>
      <c r="U56" s="29"/>
    </row>
    <row r="57" spans="1:23" ht="12.75" customHeight="1">
      <c r="A57" s="3" t="s">
        <v>130</v>
      </c>
      <c r="B57" s="1253" t="s">
        <v>129</v>
      </c>
      <c r="C57" s="1253"/>
      <c r="D57" s="29">
        <f t="shared" si="35"/>
        <v>0</v>
      </c>
      <c r="E57" s="29">
        <f t="shared" si="36"/>
        <v>0</v>
      </c>
      <c r="F57" s="98">
        <f t="shared" si="27"/>
        <v>0</v>
      </c>
      <c r="G57" s="29"/>
      <c r="H57" s="29"/>
      <c r="I57" s="29"/>
      <c r="J57" s="29"/>
      <c r="K57" s="29"/>
      <c r="L57" s="29"/>
      <c r="M57" s="29"/>
      <c r="N57" s="29"/>
      <c r="O57" s="29">
        <f t="shared" si="37"/>
        <v>0</v>
      </c>
      <c r="P57" s="29"/>
      <c r="Q57" s="29"/>
      <c r="R57" s="29"/>
      <c r="S57" s="29"/>
      <c r="T57" s="29"/>
      <c r="U57" s="29"/>
    </row>
    <row r="58" spans="1:23" ht="12.75" customHeight="1">
      <c r="A58" s="3" t="s">
        <v>132</v>
      </c>
      <c r="B58" s="1253" t="s">
        <v>131</v>
      </c>
      <c r="C58" s="1253"/>
      <c r="D58" s="29">
        <f t="shared" si="35"/>
        <v>0</v>
      </c>
      <c r="E58" s="29">
        <f t="shared" si="36"/>
        <v>1857</v>
      </c>
      <c r="F58" s="98">
        <f t="shared" si="27"/>
        <v>1857</v>
      </c>
      <c r="G58" s="29"/>
      <c r="H58" s="29">
        <v>1772</v>
      </c>
      <c r="I58" s="29">
        <v>1772</v>
      </c>
      <c r="J58" s="29"/>
      <c r="K58" s="29"/>
      <c r="L58" s="29"/>
      <c r="M58" s="29"/>
      <c r="N58" s="29">
        <v>85</v>
      </c>
      <c r="O58" s="29">
        <v>85</v>
      </c>
      <c r="P58" s="29"/>
      <c r="Q58" s="29"/>
      <c r="R58" s="29"/>
      <c r="S58" s="29"/>
      <c r="T58" s="29"/>
      <c r="U58" s="29"/>
    </row>
    <row r="59" spans="1:23" s="46" customFormat="1" ht="12.75" customHeight="1">
      <c r="A59" s="6" t="s">
        <v>133</v>
      </c>
      <c r="B59" s="1256" t="s">
        <v>161</v>
      </c>
      <c r="C59" s="1256"/>
      <c r="D59" s="58">
        <f>SUM(D55:D58)</f>
        <v>0</v>
      </c>
      <c r="E59" s="58">
        <f t="shared" ref="E59:U59" si="38">SUM(E55:E58)</f>
        <v>8732</v>
      </c>
      <c r="F59" s="98">
        <f>SUM(F55:F58)</f>
        <v>8732</v>
      </c>
      <c r="G59" s="58">
        <f t="shared" si="38"/>
        <v>0</v>
      </c>
      <c r="H59" s="58">
        <f t="shared" si="38"/>
        <v>8332</v>
      </c>
      <c r="I59" s="443">
        <f t="shared" si="38"/>
        <v>8332</v>
      </c>
      <c r="J59" s="58"/>
      <c r="K59" s="58">
        <f>SUM(K55:K58)</f>
        <v>0</v>
      </c>
      <c r="L59" s="58">
        <f>SUM(L55:L58)</f>
        <v>0</v>
      </c>
      <c r="M59" s="58">
        <f t="shared" si="38"/>
        <v>0</v>
      </c>
      <c r="N59" s="58">
        <f t="shared" si="38"/>
        <v>400</v>
      </c>
      <c r="O59" s="58">
        <f t="shared" si="38"/>
        <v>400</v>
      </c>
      <c r="P59" s="58">
        <f t="shared" si="38"/>
        <v>0</v>
      </c>
      <c r="Q59" s="58">
        <f t="shared" si="38"/>
        <v>0</v>
      </c>
      <c r="R59" s="58">
        <f t="shared" si="38"/>
        <v>0</v>
      </c>
      <c r="S59" s="58">
        <f t="shared" si="38"/>
        <v>0</v>
      </c>
      <c r="T59" s="58">
        <f t="shared" si="38"/>
        <v>0</v>
      </c>
      <c r="U59" s="58">
        <f t="shared" si="38"/>
        <v>0</v>
      </c>
    </row>
    <row r="60" spans="1:23">
      <c r="A60" s="7"/>
      <c r="B60" s="8"/>
      <c r="C60" s="8"/>
      <c r="D60" s="30"/>
      <c r="E60" s="30"/>
      <c r="F60" s="98">
        <f t="shared" si="27"/>
        <v>0</v>
      </c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W60" s="224"/>
    </row>
    <row r="61" spans="1:23">
      <c r="A61" s="188" t="s">
        <v>389</v>
      </c>
      <c r="B61" s="1255" t="s">
        <v>390</v>
      </c>
      <c r="C61" s="1255"/>
      <c r="D61" s="29">
        <f>+G61+M61+P61+S61</f>
        <v>0</v>
      </c>
      <c r="E61" s="29"/>
      <c r="F61" s="98">
        <f t="shared" si="27"/>
        <v>0</v>
      </c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</row>
    <row r="62" spans="1:23">
      <c r="A62" s="188" t="s">
        <v>405</v>
      </c>
      <c r="B62" s="1270" t="s">
        <v>406</v>
      </c>
      <c r="C62" s="1271"/>
      <c r="D62" s="29">
        <f>+G62+M62+P62+S62</f>
        <v>0</v>
      </c>
      <c r="E62" s="29"/>
      <c r="F62" s="98">
        <f t="shared" si="27"/>
        <v>0</v>
      </c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</row>
    <row r="63" spans="1:23" ht="12.75" customHeight="1">
      <c r="A63" s="12" t="s">
        <v>134</v>
      </c>
      <c r="B63" s="1255" t="s">
        <v>407</v>
      </c>
      <c r="C63" s="1255"/>
      <c r="D63" s="29">
        <f>+G63+M63+P63+S63</f>
        <v>0</v>
      </c>
      <c r="E63" s="29"/>
      <c r="F63" s="98">
        <f t="shared" si="27"/>
        <v>0</v>
      </c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</row>
    <row r="64" spans="1:23" s="46" customFormat="1" ht="12.75" customHeight="1">
      <c r="A64" s="14" t="s">
        <v>135</v>
      </c>
      <c r="B64" s="1272" t="s">
        <v>159</v>
      </c>
      <c r="C64" s="1272"/>
      <c r="D64" s="56">
        <f>SUM(D61:D63)</f>
        <v>0</v>
      </c>
      <c r="E64" s="56">
        <f>SUM(E61:E63)</f>
        <v>0</v>
      </c>
      <c r="F64" s="98">
        <f t="shared" si="27"/>
        <v>0</v>
      </c>
      <c r="G64" s="56">
        <f t="shared" ref="G64:U64" si="39">SUM(G61:G63)</f>
        <v>0</v>
      </c>
      <c r="H64" s="56">
        <f t="shared" si="39"/>
        <v>0</v>
      </c>
      <c r="I64" s="825">
        <f t="shared" si="39"/>
        <v>0</v>
      </c>
      <c r="J64" s="56"/>
      <c r="K64" s="56"/>
      <c r="L64" s="56"/>
      <c r="M64" s="56">
        <f t="shared" si="39"/>
        <v>0</v>
      </c>
      <c r="N64" s="56">
        <f t="shared" si="39"/>
        <v>0</v>
      </c>
      <c r="O64" s="56">
        <f t="shared" si="39"/>
        <v>0</v>
      </c>
      <c r="P64" s="56">
        <f t="shared" si="39"/>
        <v>0</v>
      </c>
      <c r="Q64" s="56">
        <f t="shared" si="39"/>
        <v>0</v>
      </c>
      <c r="R64" s="56">
        <f t="shared" si="39"/>
        <v>0</v>
      </c>
      <c r="S64" s="56">
        <f t="shared" si="39"/>
        <v>0</v>
      </c>
      <c r="T64" s="56">
        <f t="shared" si="39"/>
        <v>0</v>
      </c>
      <c r="U64" s="56">
        <f t="shared" si="39"/>
        <v>0</v>
      </c>
    </row>
    <row r="65" spans="1:21">
      <c r="A65" s="7"/>
      <c r="B65" s="15"/>
      <c r="C65" s="15"/>
      <c r="D65" s="30"/>
      <c r="E65" s="30"/>
      <c r="F65" s="98">
        <f t="shared" si="27"/>
        <v>0</v>
      </c>
      <c r="G65" s="30"/>
      <c r="H65" s="30"/>
      <c r="I65" s="31"/>
      <c r="J65" s="30"/>
      <c r="K65" s="30"/>
      <c r="L65" s="30"/>
      <c r="M65" s="30"/>
      <c r="N65" s="30"/>
      <c r="O65" s="31"/>
      <c r="P65" s="30"/>
      <c r="Q65" s="30"/>
      <c r="R65" s="31"/>
      <c r="S65" s="30"/>
      <c r="T65" s="30"/>
      <c r="U65" s="30"/>
    </row>
    <row r="66" spans="1:21" s="46" customFormat="1" ht="12.75" customHeight="1">
      <c r="A66" s="16" t="s">
        <v>136</v>
      </c>
      <c r="B66" s="1273" t="s">
        <v>158</v>
      </c>
      <c r="C66" s="1273"/>
      <c r="D66" s="57">
        <f>+D64+D59+D53+D44+D35+D9+D7</f>
        <v>200000</v>
      </c>
      <c r="E66" s="57">
        <f t="shared" ref="E66:U66" si="40">+E64+E59+E53+E44+E35+E9+E7</f>
        <v>38730</v>
      </c>
      <c r="F66" s="98">
        <f>F35+F53+F59+F64</f>
        <v>36309</v>
      </c>
      <c r="G66" s="57">
        <f t="shared" si="40"/>
        <v>200000</v>
      </c>
      <c r="H66" s="57">
        <f t="shared" si="40"/>
        <v>27935</v>
      </c>
      <c r="I66" s="32">
        <f t="shared" si="40"/>
        <v>25134</v>
      </c>
      <c r="J66" s="57">
        <f>+J64+J59+J53+J35+J44+J9+J7</f>
        <v>0</v>
      </c>
      <c r="K66" s="57">
        <f t="shared" ref="K66:L66" si="41">+K64+K59+K53+K35+K44+K9+K7</f>
        <v>1706</v>
      </c>
      <c r="L66" s="57">
        <f t="shared" si="41"/>
        <v>1706</v>
      </c>
      <c r="M66" s="57">
        <f t="shared" si="40"/>
        <v>0</v>
      </c>
      <c r="N66" s="57">
        <f t="shared" si="40"/>
        <v>1764</v>
      </c>
      <c r="O66" s="57">
        <f t="shared" si="40"/>
        <v>2021</v>
      </c>
      <c r="P66" s="57">
        <f t="shared" si="40"/>
        <v>0</v>
      </c>
      <c r="Q66" s="57">
        <f t="shared" si="40"/>
        <v>975</v>
      </c>
      <c r="R66" s="57">
        <f t="shared" si="40"/>
        <v>1098</v>
      </c>
      <c r="S66" s="57">
        <f t="shared" si="40"/>
        <v>0</v>
      </c>
      <c r="T66" s="57">
        <f t="shared" si="40"/>
        <v>6350</v>
      </c>
      <c r="U66" s="57">
        <f t="shared" si="40"/>
        <v>6350</v>
      </c>
    </row>
  </sheetData>
  <mergeCells count="68">
    <mergeCell ref="B61:C61"/>
    <mergeCell ref="B62:C62"/>
    <mergeCell ref="B63:C63"/>
    <mergeCell ref="B64:C64"/>
    <mergeCell ref="B66:C66"/>
    <mergeCell ref="B59:C59"/>
    <mergeCell ref="B47:C47"/>
    <mergeCell ref="B48:C48"/>
    <mergeCell ref="B49:C49"/>
    <mergeCell ref="B50:C50"/>
    <mergeCell ref="B51:C51"/>
    <mergeCell ref="B52:C52"/>
    <mergeCell ref="B53:C53"/>
    <mergeCell ref="B55:C55"/>
    <mergeCell ref="B56:C56"/>
    <mergeCell ref="B57:C57"/>
    <mergeCell ref="B58:C58"/>
    <mergeCell ref="B46:C46"/>
    <mergeCell ref="B33:C33"/>
    <mergeCell ref="B34:C34"/>
    <mergeCell ref="B35:C35"/>
    <mergeCell ref="B37:C37"/>
    <mergeCell ref="B38:C38"/>
    <mergeCell ref="B39:C39"/>
    <mergeCell ref="B40:C40"/>
    <mergeCell ref="B41:C41"/>
    <mergeCell ref="B42:C42"/>
    <mergeCell ref="B43:C43"/>
    <mergeCell ref="B44:C44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20:C20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M2:O2"/>
    <mergeCell ref="P2:R2"/>
    <mergeCell ref="S2:U2"/>
    <mergeCell ref="D3:F3"/>
    <mergeCell ref="G3:I3"/>
    <mergeCell ref="M3:O3"/>
    <mergeCell ref="P3:R3"/>
    <mergeCell ref="S3:U3"/>
    <mergeCell ref="J2:L2"/>
    <mergeCell ref="B6:C6"/>
    <mergeCell ref="A2:A4"/>
    <mergeCell ref="B2:C4"/>
    <mergeCell ref="D2:F2"/>
    <mergeCell ref="G2:I2"/>
    <mergeCell ref="B5:C5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74" fitToHeight="0" orientation="landscape" cellComments="asDisplayed" r:id="rId1"/>
  <headerFooter>
    <oddHeader>&amp;C&amp;"Times New Roman,Félkövér"&amp;12Martonvásár Város Önkormányzatának kiadásai 2015. Városfejlesztési feladatok saját forrásból&amp;R&amp;"Times New Roman,Normál"&amp;10 5/b.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6"/>
  <sheetViews>
    <sheetView view="pageLayout" topLeftCell="E1" workbookViewId="0">
      <selection activeCell="G2" sqref="G2:I2"/>
    </sheetView>
  </sheetViews>
  <sheetFormatPr defaultRowHeight="15"/>
  <cols>
    <col min="1" max="1" width="8.140625" style="26" customWidth="1"/>
    <col min="2" max="2" width="7.140625" style="27" customWidth="1"/>
    <col min="3" max="3" width="31" style="27" customWidth="1"/>
    <col min="4" max="4" width="8.140625" style="18" customWidth="1"/>
    <col min="5" max="5" width="8.42578125" style="18" customWidth="1"/>
    <col min="6" max="6" width="8.140625" style="18" customWidth="1"/>
    <col min="7" max="7" width="7.5703125" style="18" customWidth="1"/>
    <col min="8" max="8" width="7.140625" style="18" customWidth="1"/>
    <col min="9" max="9" width="8.140625" style="18" customWidth="1"/>
    <col min="10" max="10" width="7.85546875" style="18" customWidth="1"/>
    <col min="11" max="11" width="7.7109375" style="18" customWidth="1"/>
    <col min="12" max="12" width="7.85546875" style="18" customWidth="1"/>
    <col min="13" max="13" width="7.140625" style="18" customWidth="1"/>
    <col min="14" max="14" width="8" style="18" customWidth="1"/>
    <col min="15" max="15" width="7.5703125" style="18" customWidth="1"/>
    <col min="16" max="16" width="8" style="18" customWidth="1"/>
    <col min="17" max="17" width="7.85546875" style="18" customWidth="1"/>
    <col min="18" max="18" width="7.28515625" style="18" customWidth="1"/>
    <col min="22" max="16384" width="9.140625" style="18"/>
  </cols>
  <sheetData>
    <row r="1" spans="1:18" s="1" customFormat="1" ht="9.75" customHeight="1">
      <c r="A1" s="26"/>
      <c r="B1" s="27"/>
      <c r="C1" s="27"/>
      <c r="P1" s="212" t="s">
        <v>404</v>
      </c>
      <c r="Q1" s="212"/>
      <c r="R1" s="212"/>
    </row>
    <row r="2" spans="1:18" s="33" customFormat="1" ht="28.5" customHeight="1">
      <c r="A2" s="1262" t="s">
        <v>0</v>
      </c>
      <c r="B2" s="1262" t="s">
        <v>181</v>
      </c>
      <c r="C2" s="1262"/>
      <c r="D2" s="1265" t="s">
        <v>179</v>
      </c>
      <c r="E2" s="1265"/>
      <c r="F2" s="1265"/>
      <c r="G2" s="1265"/>
      <c r="H2" s="1265"/>
      <c r="I2" s="1265"/>
      <c r="J2" s="1265"/>
      <c r="K2" s="1265"/>
      <c r="L2" s="1265"/>
      <c r="M2" s="1265"/>
      <c r="N2" s="1265"/>
      <c r="O2" s="1265"/>
      <c r="P2" s="1265"/>
      <c r="Q2" s="1265"/>
      <c r="R2" s="1265"/>
    </row>
    <row r="3" spans="1:18" s="33" customFormat="1" ht="12.75">
      <c r="A3" s="1262"/>
      <c r="B3" s="1262"/>
      <c r="C3" s="1262"/>
      <c r="D3" s="1265"/>
      <c r="E3" s="1265"/>
      <c r="F3" s="1265"/>
      <c r="G3" s="1265" t="s">
        <v>296</v>
      </c>
      <c r="H3" s="1265"/>
      <c r="I3" s="1265"/>
      <c r="J3" s="1265" t="s">
        <v>296</v>
      </c>
      <c r="K3" s="1265"/>
      <c r="L3" s="1265"/>
      <c r="M3" s="1265" t="s">
        <v>296</v>
      </c>
      <c r="N3" s="1265"/>
      <c r="O3" s="1265"/>
      <c r="P3" s="1265" t="s">
        <v>296</v>
      </c>
      <c r="Q3" s="1265"/>
      <c r="R3" s="1265"/>
    </row>
    <row r="4" spans="1:18" s="17" customFormat="1" ht="25.5">
      <c r="A4" s="1262"/>
      <c r="B4" s="1262"/>
      <c r="C4" s="1262"/>
      <c r="D4" s="549" t="s">
        <v>178</v>
      </c>
      <c r="E4" s="549" t="s">
        <v>671</v>
      </c>
      <c r="F4" s="549" t="s">
        <v>673</v>
      </c>
      <c r="G4" s="549" t="s">
        <v>178</v>
      </c>
      <c r="H4" s="549" t="s">
        <v>671</v>
      </c>
      <c r="I4" s="549" t="s">
        <v>673</v>
      </c>
      <c r="J4" s="549" t="s">
        <v>178</v>
      </c>
      <c r="K4" s="549" t="s">
        <v>671</v>
      </c>
      <c r="L4" s="549" t="s">
        <v>673</v>
      </c>
      <c r="M4" s="549" t="s">
        <v>178</v>
      </c>
      <c r="N4" s="549" t="s">
        <v>671</v>
      </c>
      <c r="O4" s="549" t="s">
        <v>673</v>
      </c>
      <c r="P4" s="549" t="s">
        <v>178</v>
      </c>
      <c r="Q4" s="549" t="s">
        <v>671</v>
      </c>
      <c r="R4" s="549" t="s">
        <v>673</v>
      </c>
    </row>
    <row r="5" spans="1:18" s="46" customFormat="1" ht="12.75" customHeight="1">
      <c r="A5" s="5" t="s">
        <v>27</v>
      </c>
      <c r="B5" s="1257" t="s">
        <v>175</v>
      </c>
      <c r="C5" s="1257"/>
      <c r="D5" s="98">
        <f t="shared" ref="D5:D9" si="0">+G5+J5+M5+P5</f>
        <v>0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18" s="46" customFormat="1" ht="12.75" customHeight="1">
      <c r="A6" s="5" t="s">
        <v>34</v>
      </c>
      <c r="B6" s="1257" t="s">
        <v>174</v>
      </c>
      <c r="C6" s="1257"/>
      <c r="D6" s="98">
        <f t="shared" si="0"/>
        <v>0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</row>
    <row r="7" spans="1:18" s="46" customFormat="1" ht="12.75" customHeight="1">
      <c r="A7" s="6" t="s">
        <v>35</v>
      </c>
      <c r="B7" s="1256" t="s">
        <v>173</v>
      </c>
      <c r="C7" s="1256"/>
      <c r="D7" s="98">
        <f t="shared" si="0"/>
        <v>0</v>
      </c>
      <c r="E7" s="58">
        <f>+E6+E5</f>
        <v>0</v>
      </c>
      <c r="F7" s="58">
        <f>+F6+F5</f>
        <v>0</v>
      </c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1:18" ht="12" customHeight="1">
      <c r="A8" s="7"/>
      <c r="B8" s="8"/>
      <c r="C8" s="8"/>
      <c r="D8" s="28">
        <f t="shared" si="0"/>
        <v>0</v>
      </c>
      <c r="E8" s="30"/>
      <c r="F8" s="31"/>
      <c r="G8" s="30"/>
      <c r="H8" s="30"/>
      <c r="I8" s="31"/>
      <c r="J8" s="30"/>
      <c r="K8" s="30"/>
      <c r="L8" s="31"/>
      <c r="M8" s="30"/>
      <c r="N8" s="30"/>
      <c r="O8" s="31"/>
      <c r="P8" s="30"/>
      <c r="Q8" s="30"/>
      <c r="R8" s="30"/>
    </row>
    <row r="9" spans="1:18" s="46" customFormat="1" ht="12.75" customHeight="1">
      <c r="A9" s="5" t="s">
        <v>36</v>
      </c>
      <c r="B9" s="1257" t="s">
        <v>172</v>
      </c>
      <c r="C9" s="1257"/>
      <c r="D9" s="98">
        <f t="shared" si="0"/>
        <v>0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</row>
    <row r="10" spans="1:18" ht="11.25" customHeight="1">
      <c r="A10" s="188"/>
      <c r="B10" s="25"/>
      <c r="C10" s="11"/>
      <c r="D10" s="336"/>
      <c r="E10" s="30"/>
      <c r="F10" s="31"/>
      <c r="G10" s="30"/>
      <c r="H10" s="30"/>
      <c r="I10" s="31"/>
      <c r="J10" s="30"/>
      <c r="K10" s="30"/>
      <c r="L10" s="31"/>
      <c r="M10" s="30"/>
      <c r="N10" s="30"/>
      <c r="O10" s="31"/>
      <c r="P10" s="30"/>
      <c r="Q10" s="30"/>
      <c r="R10" s="30"/>
    </row>
    <row r="11" spans="1:18" ht="12.75" customHeight="1">
      <c r="A11" s="12" t="s">
        <v>43</v>
      </c>
      <c r="B11" s="1255" t="s">
        <v>42</v>
      </c>
      <c r="C11" s="1255"/>
      <c r="D11" s="28">
        <f t="shared" ref="D11:D35" si="1">+G11+J11+M11+P11</f>
        <v>0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</row>
    <row r="12" spans="1:18" ht="12.75" customHeight="1">
      <c r="A12" s="3" t="s">
        <v>45</v>
      </c>
      <c r="B12" s="1253" t="s">
        <v>44</v>
      </c>
      <c r="C12" s="1253"/>
      <c r="D12" s="28">
        <f t="shared" si="1"/>
        <v>0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</row>
    <row r="13" spans="1:18" ht="12.75" customHeight="1">
      <c r="A13" s="3" t="s">
        <v>47</v>
      </c>
      <c r="B13" s="1253" t="s">
        <v>46</v>
      </c>
      <c r="C13" s="1253"/>
      <c r="D13" s="28">
        <f t="shared" si="1"/>
        <v>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spans="1:18" s="46" customFormat="1" ht="12.75" customHeight="1">
      <c r="A14" s="5" t="s">
        <v>48</v>
      </c>
      <c r="B14" s="1257" t="s">
        <v>171</v>
      </c>
      <c r="C14" s="1257"/>
      <c r="D14" s="98">
        <f t="shared" si="1"/>
        <v>0</v>
      </c>
      <c r="E14" s="61">
        <f>SUM(E11:E13)</f>
        <v>0</v>
      </c>
      <c r="F14" s="61">
        <f>SUM(F11:F13)</f>
        <v>0</v>
      </c>
      <c r="G14" s="61">
        <f>SUM(G11:G13)</f>
        <v>0</v>
      </c>
      <c r="H14" s="61">
        <f t="shared" ref="H14:O14" si="2">SUM(H11:H13)</f>
        <v>0</v>
      </c>
      <c r="I14" s="61">
        <f t="shared" si="2"/>
        <v>0</v>
      </c>
      <c r="J14" s="61">
        <f t="shared" si="2"/>
        <v>0</v>
      </c>
      <c r="K14" s="61">
        <f t="shared" si="2"/>
        <v>0</v>
      </c>
      <c r="L14" s="61">
        <f t="shared" si="2"/>
        <v>0</v>
      </c>
      <c r="M14" s="61">
        <f t="shared" si="2"/>
        <v>0</v>
      </c>
      <c r="N14" s="61">
        <f t="shared" si="2"/>
        <v>0</v>
      </c>
      <c r="O14" s="61">
        <f t="shared" si="2"/>
        <v>0</v>
      </c>
      <c r="P14" s="61">
        <f>SUM(P11:P13)</f>
        <v>0</v>
      </c>
      <c r="Q14" s="61">
        <f>SUM(Q11:Q13)</f>
        <v>0</v>
      </c>
      <c r="R14" s="61">
        <f>SUM(R11:R13)</f>
        <v>0</v>
      </c>
    </row>
    <row r="15" spans="1:18" ht="12.75" customHeight="1">
      <c r="A15" s="3" t="s">
        <v>50</v>
      </c>
      <c r="B15" s="1253" t="s">
        <v>49</v>
      </c>
      <c r="C15" s="1253"/>
      <c r="D15" s="28">
        <f t="shared" si="1"/>
        <v>0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</row>
    <row r="16" spans="1:18" ht="12.75" customHeight="1">
      <c r="A16" s="3" t="s">
        <v>52</v>
      </c>
      <c r="B16" s="1253" t="s">
        <v>51</v>
      </c>
      <c r="C16" s="1253"/>
      <c r="D16" s="28">
        <f t="shared" si="1"/>
        <v>0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</row>
    <row r="17" spans="1:18" s="46" customFormat="1" ht="12.75" customHeight="1">
      <c r="A17" s="5" t="s">
        <v>53</v>
      </c>
      <c r="B17" s="1257" t="s">
        <v>170</v>
      </c>
      <c r="C17" s="1257"/>
      <c r="D17" s="98">
        <f t="shared" si="1"/>
        <v>0</v>
      </c>
      <c r="E17" s="61">
        <f>+E15+E16</f>
        <v>0</v>
      </c>
      <c r="F17" s="61">
        <f>+F15+F16</f>
        <v>0</v>
      </c>
      <c r="G17" s="61">
        <f>+G15+G16</f>
        <v>0</v>
      </c>
      <c r="H17" s="61">
        <f t="shared" ref="H17:O17" si="3">+H15+H16</f>
        <v>0</v>
      </c>
      <c r="I17" s="61">
        <f t="shared" si="3"/>
        <v>0</v>
      </c>
      <c r="J17" s="61">
        <f t="shared" si="3"/>
        <v>0</v>
      </c>
      <c r="K17" s="61">
        <f t="shared" si="3"/>
        <v>0</v>
      </c>
      <c r="L17" s="61">
        <f t="shared" si="3"/>
        <v>0</v>
      </c>
      <c r="M17" s="61">
        <f t="shared" si="3"/>
        <v>0</v>
      </c>
      <c r="N17" s="61">
        <f t="shared" si="3"/>
        <v>0</v>
      </c>
      <c r="O17" s="61">
        <f t="shared" si="3"/>
        <v>0</v>
      </c>
      <c r="P17" s="61">
        <f>+P15+P16</f>
        <v>0</v>
      </c>
      <c r="Q17" s="61">
        <f>+Q15+Q16</f>
        <v>0</v>
      </c>
      <c r="R17" s="61">
        <f>+R15+R16</f>
        <v>0</v>
      </c>
    </row>
    <row r="18" spans="1:18" ht="12.75" customHeight="1">
      <c r="A18" s="3" t="s">
        <v>55</v>
      </c>
      <c r="B18" s="1253" t="s">
        <v>54</v>
      </c>
      <c r="C18" s="1253"/>
      <c r="D18" s="28">
        <f t="shared" si="1"/>
        <v>0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</row>
    <row r="19" spans="1:18" ht="12.75" customHeight="1">
      <c r="A19" s="3" t="s">
        <v>57</v>
      </c>
      <c r="B19" s="1253" t="s">
        <v>56</v>
      </c>
      <c r="C19" s="1253"/>
      <c r="D19" s="28">
        <f t="shared" si="1"/>
        <v>0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spans="1:18" ht="12.75" customHeight="1">
      <c r="A20" s="3" t="s">
        <v>58</v>
      </c>
      <c r="B20" s="1253" t="s">
        <v>168</v>
      </c>
      <c r="C20" s="1253"/>
      <c r="D20" s="28">
        <f t="shared" si="1"/>
        <v>0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</row>
    <row r="21" spans="1:18" ht="12.75" customHeight="1">
      <c r="A21" s="3" t="s">
        <v>60</v>
      </c>
      <c r="B21" s="1253" t="s">
        <v>59</v>
      </c>
      <c r="C21" s="1253"/>
      <c r="D21" s="28">
        <f t="shared" si="1"/>
        <v>0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</row>
    <row r="22" spans="1:18" ht="12.75" customHeight="1">
      <c r="A22" s="3" t="s">
        <v>61</v>
      </c>
      <c r="B22" s="1253" t="s">
        <v>167</v>
      </c>
      <c r="C22" s="1253"/>
      <c r="D22" s="28">
        <f t="shared" si="1"/>
        <v>0</v>
      </c>
      <c r="E22" s="28">
        <f t="shared" ref="E22" si="4">+H22+K22+N22+Q22</f>
        <v>0</v>
      </c>
      <c r="F22" s="28">
        <f t="shared" ref="F22" si="5">+I22+L22+O22+R22</f>
        <v>0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</row>
    <row r="23" spans="1:18" ht="12.75" customHeight="1">
      <c r="A23" s="3" t="s">
        <v>64</v>
      </c>
      <c r="B23" s="1253" t="s">
        <v>63</v>
      </c>
      <c r="C23" s="1253"/>
      <c r="D23" s="28">
        <f t="shared" si="1"/>
        <v>0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</row>
    <row r="24" spans="1:18" ht="12.75" customHeight="1">
      <c r="A24" s="3" t="s">
        <v>66</v>
      </c>
      <c r="B24" s="1253" t="s">
        <v>65</v>
      </c>
      <c r="C24" s="1253"/>
      <c r="D24" s="28">
        <f t="shared" si="1"/>
        <v>0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</row>
    <row r="25" spans="1:18" s="46" customFormat="1" ht="12.75" customHeight="1">
      <c r="A25" s="5" t="s">
        <v>67</v>
      </c>
      <c r="B25" s="1257" t="s">
        <v>157</v>
      </c>
      <c r="C25" s="1257"/>
      <c r="D25" s="98">
        <f t="shared" si="1"/>
        <v>0</v>
      </c>
      <c r="E25" s="61">
        <f t="shared" ref="E25:R25" si="6">+E24+E23+E22+E21+E20+E19+E18</f>
        <v>0</v>
      </c>
      <c r="F25" s="61">
        <f t="shared" si="6"/>
        <v>0</v>
      </c>
      <c r="G25" s="61">
        <f t="shared" si="6"/>
        <v>0</v>
      </c>
      <c r="H25" s="61">
        <f t="shared" si="6"/>
        <v>0</v>
      </c>
      <c r="I25" s="61">
        <f t="shared" si="6"/>
        <v>0</v>
      </c>
      <c r="J25" s="61">
        <f t="shared" si="6"/>
        <v>0</v>
      </c>
      <c r="K25" s="61">
        <f t="shared" si="6"/>
        <v>0</v>
      </c>
      <c r="L25" s="61">
        <f t="shared" si="6"/>
        <v>0</v>
      </c>
      <c r="M25" s="61">
        <f t="shared" si="6"/>
        <v>0</v>
      </c>
      <c r="N25" s="61">
        <f t="shared" si="6"/>
        <v>0</v>
      </c>
      <c r="O25" s="61">
        <f t="shared" si="6"/>
        <v>0</v>
      </c>
      <c r="P25" s="61">
        <f t="shared" si="6"/>
        <v>0</v>
      </c>
      <c r="Q25" s="61">
        <f t="shared" si="6"/>
        <v>0</v>
      </c>
      <c r="R25" s="61">
        <f t="shared" si="6"/>
        <v>0</v>
      </c>
    </row>
    <row r="26" spans="1:18" ht="12.75" customHeight="1">
      <c r="A26" s="3" t="s">
        <v>69</v>
      </c>
      <c r="B26" s="1253" t="s">
        <v>68</v>
      </c>
      <c r="C26" s="1253"/>
      <c r="D26" s="28">
        <f t="shared" si="1"/>
        <v>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</row>
    <row r="27" spans="1:18" ht="12.75" customHeight="1">
      <c r="A27" s="3" t="s">
        <v>71</v>
      </c>
      <c r="B27" s="1253" t="s">
        <v>70</v>
      </c>
      <c r="C27" s="1253"/>
      <c r="D27" s="28">
        <f t="shared" si="1"/>
        <v>0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</row>
    <row r="28" spans="1:18" s="46" customFormat="1" ht="12.75" customHeight="1">
      <c r="A28" s="5" t="s">
        <v>72</v>
      </c>
      <c r="B28" s="1257" t="s">
        <v>156</v>
      </c>
      <c r="C28" s="1257"/>
      <c r="D28" s="98">
        <f t="shared" si="1"/>
        <v>0</v>
      </c>
      <c r="E28" s="61"/>
      <c r="F28" s="61"/>
      <c r="G28" s="61">
        <f>SUM(G26:G27)</f>
        <v>0</v>
      </c>
      <c r="H28" s="61">
        <f t="shared" ref="H28:O28" si="7">SUM(H26:H27)</f>
        <v>0</v>
      </c>
      <c r="I28" s="61">
        <f t="shared" si="7"/>
        <v>0</v>
      </c>
      <c r="J28" s="61">
        <f t="shared" si="7"/>
        <v>0</v>
      </c>
      <c r="K28" s="61">
        <f t="shared" si="7"/>
        <v>0</v>
      </c>
      <c r="L28" s="61">
        <f t="shared" si="7"/>
        <v>0</v>
      </c>
      <c r="M28" s="61">
        <f t="shared" si="7"/>
        <v>0</v>
      </c>
      <c r="N28" s="61">
        <f t="shared" si="7"/>
        <v>0</v>
      </c>
      <c r="O28" s="61">
        <f t="shared" si="7"/>
        <v>0</v>
      </c>
      <c r="P28" s="61">
        <f>SUM(P26:P27)</f>
        <v>0</v>
      </c>
      <c r="Q28" s="61">
        <f>SUM(Q26:Q27)</f>
        <v>0</v>
      </c>
      <c r="R28" s="61">
        <f>SUM(R26:R27)</f>
        <v>0</v>
      </c>
    </row>
    <row r="29" spans="1:18" ht="12.75" customHeight="1">
      <c r="A29" s="3" t="s">
        <v>74</v>
      </c>
      <c r="B29" s="1253" t="s">
        <v>73</v>
      </c>
      <c r="C29" s="1253"/>
      <c r="D29" s="28">
        <f t="shared" si="1"/>
        <v>0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ht="12.75" customHeight="1">
      <c r="A30" s="3" t="s">
        <v>76</v>
      </c>
      <c r="B30" s="1253" t="s">
        <v>75</v>
      </c>
      <c r="C30" s="1253"/>
      <c r="D30" s="28">
        <f t="shared" si="1"/>
        <v>0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</row>
    <row r="31" spans="1:18" ht="12.75" customHeight="1">
      <c r="A31" s="3" t="s">
        <v>77</v>
      </c>
      <c r="B31" s="1253" t="s">
        <v>155</v>
      </c>
      <c r="C31" s="1253"/>
      <c r="D31" s="28">
        <f t="shared" si="1"/>
        <v>0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ht="12.75" customHeight="1">
      <c r="A32" s="3" t="s">
        <v>78</v>
      </c>
      <c r="B32" s="1253" t="s">
        <v>154</v>
      </c>
      <c r="C32" s="1253"/>
      <c r="D32" s="28">
        <f t="shared" si="1"/>
        <v>0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</row>
    <row r="33" spans="1:18" ht="12.75" customHeight="1">
      <c r="A33" s="3" t="s">
        <v>80</v>
      </c>
      <c r="B33" s="1253" t="s">
        <v>79</v>
      </c>
      <c r="C33" s="1253"/>
      <c r="D33" s="28">
        <f t="shared" si="1"/>
        <v>0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</row>
    <row r="34" spans="1:18" s="46" customFormat="1" ht="12.75" customHeight="1">
      <c r="A34" s="5" t="s">
        <v>81</v>
      </c>
      <c r="B34" s="1257" t="s">
        <v>153</v>
      </c>
      <c r="C34" s="1257"/>
      <c r="D34" s="98">
        <f t="shared" si="1"/>
        <v>0</v>
      </c>
      <c r="E34" s="61"/>
      <c r="F34" s="61"/>
      <c r="G34" s="61">
        <f>SUM(G29:G33)</f>
        <v>0</v>
      </c>
      <c r="H34" s="61">
        <f t="shared" ref="H34:O34" si="8">SUM(H29:H33)</f>
        <v>0</v>
      </c>
      <c r="I34" s="61">
        <f t="shared" si="8"/>
        <v>0</v>
      </c>
      <c r="J34" s="61">
        <f t="shared" si="8"/>
        <v>0</v>
      </c>
      <c r="K34" s="61">
        <f t="shared" si="8"/>
        <v>0</v>
      </c>
      <c r="L34" s="61">
        <f t="shared" si="8"/>
        <v>0</v>
      </c>
      <c r="M34" s="61">
        <f t="shared" si="8"/>
        <v>0</v>
      </c>
      <c r="N34" s="61">
        <f t="shared" si="8"/>
        <v>0</v>
      </c>
      <c r="O34" s="61">
        <f t="shared" si="8"/>
        <v>0</v>
      </c>
      <c r="P34" s="61">
        <f>SUM(P29:P33)</f>
        <v>0</v>
      </c>
      <c r="Q34" s="61">
        <f>SUM(Q29:Q33)</f>
        <v>0</v>
      </c>
      <c r="R34" s="61">
        <f>SUM(R29:R33)</f>
        <v>0</v>
      </c>
    </row>
    <row r="35" spans="1:18" s="46" customFormat="1" ht="12.75" customHeight="1">
      <c r="A35" s="6" t="s">
        <v>82</v>
      </c>
      <c r="B35" s="1256" t="s">
        <v>152</v>
      </c>
      <c r="C35" s="1256"/>
      <c r="D35" s="98">
        <f t="shared" si="1"/>
        <v>0</v>
      </c>
      <c r="E35" s="58">
        <f t="shared" ref="E35:R35" si="9">+E34+E28+E25+E17+E14</f>
        <v>0</v>
      </c>
      <c r="F35" s="58">
        <f t="shared" si="9"/>
        <v>0</v>
      </c>
      <c r="G35" s="58">
        <f t="shared" si="9"/>
        <v>0</v>
      </c>
      <c r="H35" s="58">
        <f t="shared" si="9"/>
        <v>0</v>
      </c>
      <c r="I35" s="58">
        <f t="shared" si="9"/>
        <v>0</v>
      </c>
      <c r="J35" s="58">
        <f t="shared" si="9"/>
        <v>0</v>
      </c>
      <c r="K35" s="58">
        <f t="shared" si="9"/>
        <v>0</v>
      </c>
      <c r="L35" s="58">
        <f t="shared" si="9"/>
        <v>0</v>
      </c>
      <c r="M35" s="58">
        <f t="shared" si="9"/>
        <v>0</v>
      </c>
      <c r="N35" s="58">
        <f t="shared" si="9"/>
        <v>0</v>
      </c>
      <c r="O35" s="58">
        <f t="shared" si="9"/>
        <v>0</v>
      </c>
      <c r="P35" s="58">
        <f t="shared" si="9"/>
        <v>0</v>
      </c>
      <c r="Q35" s="58">
        <f t="shared" si="9"/>
        <v>0</v>
      </c>
      <c r="R35" s="58">
        <f t="shared" si="9"/>
        <v>0</v>
      </c>
    </row>
    <row r="36" spans="1:18" ht="11.25" customHeight="1">
      <c r="A36" s="337"/>
      <c r="B36" s="338"/>
      <c r="C36" s="338"/>
      <c r="D36" s="339"/>
      <c r="E36" s="340"/>
      <c r="F36" s="340"/>
      <c r="G36" s="340"/>
      <c r="H36" s="340"/>
      <c r="I36" s="340"/>
      <c r="J36" s="340"/>
      <c r="K36" s="340"/>
      <c r="L36" s="340"/>
      <c r="M36" s="340"/>
      <c r="N36" s="340"/>
      <c r="O36" s="340"/>
      <c r="P36" s="340"/>
      <c r="Q36" s="340"/>
      <c r="R36" s="340"/>
    </row>
    <row r="37" spans="1:18" ht="12" customHeight="1">
      <c r="A37" s="7"/>
      <c r="B37" s="1269"/>
      <c r="C37" s="1269"/>
      <c r="D37" s="28"/>
      <c r="E37" s="30"/>
      <c r="F37" s="31"/>
      <c r="G37" s="30"/>
      <c r="H37" s="30"/>
      <c r="I37" s="31"/>
      <c r="J37" s="30"/>
      <c r="K37" s="30"/>
      <c r="L37" s="31"/>
      <c r="M37" s="30"/>
      <c r="N37" s="30"/>
      <c r="O37" s="31"/>
      <c r="P37" s="30"/>
      <c r="Q37" s="30"/>
      <c r="R37" s="30"/>
    </row>
    <row r="38" spans="1:18" ht="12.75" hidden="1" customHeight="1">
      <c r="A38" s="3" t="s">
        <v>97</v>
      </c>
      <c r="B38" s="1264" t="s">
        <v>96</v>
      </c>
      <c r="C38" s="1264"/>
      <c r="D38" s="28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</row>
    <row r="39" spans="1:18" ht="12.75" hidden="1" customHeight="1">
      <c r="A39" s="3" t="s">
        <v>99</v>
      </c>
      <c r="B39" s="1264" t="s">
        <v>98</v>
      </c>
      <c r="C39" s="1264"/>
      <c r="D39" s="28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</row>
    <row r="40" spans="1:18" ht="23.25" hidden="1" customHeight="1">
      <c r="A40" s="3" t="s">
        <v>102</v>
      </c>
      <c r="B40" s="1264" t="s">
        <v>166</v>
      </c>
      <c r="C40" s="1264"/>
      <c r="D40" s="28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</row>
    <row r="41" spans="1:18" ht="25.5" hidden="1" customHeight="1">
      <c r="A41" s="3" t="s">
        <v>104</v>
      </c>
      <c r="B41" s="1264" t="s">
        <v>103</v>
      </c>
      <c r="C41" s="1264"/>
      <c r="D41" s="28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</row>
    <row r="42" spans="1:18" ht="27" hidden="1" customHeight="1">
      <c r="A42" s="3" t="s">
        <v>106</v>
      </c>
      <c r="B42" s="1264" t="s">
        <v>165</v>
      </c>
      <c r="C42" s="1264"/>
      <c r="D42" s="28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</row>
    <row r="43" spans="1:18" ht="12.75" hidden="1" customHeight="1">
      <c r="A43" s="3" t="s">
        <v>108</v>
      </c>
      <c r="B43" s="1253" t="s">
        <v>107</v>
      </c>
      <c r="C43" s="1253"/>
      <c r="D43" s="28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</row>
    <row r="44" spans="1:18" s="46" customFormat="1" ht="12.75" customHeight="1">
      <c r="A44" s="5" t="s">
        <v>109</v>
      </c>
      <c r="B44" s="1257" t="s">
        <v>164</v>
      </c>
      <c r="C44" s="1257"/>
      <c r="D44" s="28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</row>
    <row r="45" spans="1:18" ht="12" customHeight="1">
      <c r="A45" s="7"/>
      <c r="B45" s="8"/>
      <c r="C45" s="8"/>
      <c r="D45" s="28"/>
      <c r="E45" s="30"/>
      <c r="F45" s="31"/>
      <c r="G45" s="30"/>
      <c r="H45" s="30"/>
      <c r="I45" s="31"/>
      <c r="J45" s="30"/>
      <c r="K45" s="30"/>
      <c r="L45" s="31"/>
      <c r="M45" s="30"/>
      <c r="N45" s="30"/>
      <c r="O45" s="31"/>
      <c r="P45" s="30"/>
      <c r="Q45" s="30"/>
      <c r="R45" s="30"/>
    </row>
    <row r="46" spans="1:18" ht="12.75" hidden="1" customHeight="1">
      <c r="A46" s="12" t="s">
        <v>111</v>
      </c>
      <c r="B46" s="1255" t="s">
        <v>110</v>
      </c>
      <c r="C46" s="1255"/>
      <c r="D46" s="28">
        <f t="shared" ref="D46:D52" si="10">+G46+J46+M46+P46</f>
        <v>0</v>
      </c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</row>
    <row r="47" spans="1:18" ht="12.75" hidden="1" customHeight="1">
      <c r="A47" s="3" t="s">
        <v>112</v>
      </c>
      <c r="B47" s="1253" t="s">
        <v>163</v>
      </c>
      <c r="C47" s="1253"/>
      <c r="D47" s="28">
        <f t="shared" si="10"/>
        <v>0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32"/>
      <c r="Q47" s="32"/>
      <c r="R47" s="32"/>
    </row>
    <row r="48" spans="1:18" ht="12.75" hidden="1" customHeight="1">
      <c r="A48" s="3" t="s">
        <v>115</v>
      </c>
      <c r="B48" s="1253" t="s">
        <v>114</v>
      </c>
      <c r="C48" s="1253"/>
      <c r="D48" s="28">
        <f t="shared" si="10"/>
        <v>0</v>
      </c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32"/>
      <c r="Q48" s="32"/>
      <c r="R48" s="32"/>
    </row>
    <row r="49" spans="1:20" ht="12.75" hidden="1" customHeight="1">
      <c r="A49" s="3" t="s">
        <v>117</v>
      </c>
      <c r="B49" s="1253" t="s">
        <v>116</v>
      </c>
      <c r="C49" s="1253"/>
      <c r="D49" s="28">
        <f t="shared" si="10"/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32"/>
      <c r="Q49" s="32"/>
      <c r="R49" s="32"/>
    </row>
    <row r="50" spans="1:20" ht="12.75" hidden="1" customHeight="1">
      <c r="A50" s="3" t="s">
        <v>119</v>
      </c>
      <c r="B50" s="1253" t="s">
        <v>118</v>
      </c>
      <c r="C50" s="1253"/>
      <c r="D50" s="28">
        <f t="shared" si="10"/>
        <v>0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32"/>
      <c r="Q50" s="32"/>
      <c r="R50" s="32"/>
    </row>
    <row r="51" spans="1:20" ht="12.75" hidden="1" customHeight="1">
      <c r="A51" s="3" t="s">
        <v>121</v>
      </c>
      <c r="B51" s="1253" t="s">
        <v>120</v>
      </c>
      <c r="C51" s="1253"/>
      <c r="D51" s="28">
        <f t="shared" si="10"/>
        <v>0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32"/>
      <c r="Q51" s="32"/>
      <c r="R51" s="32"/>
    </row>
    <row r="52" spans="1:20" ht="12.75" hidden="1" customHeight="1">
      <c r="A52" s="3" t="s">
        <v>123</v>
      </c>
      <c r="B52" s="1253" t="s">
        <v>122</v>
      </c>
      <c r="C52" s="1253"/>
      <c r="D52" s="28">
        <f t="shared" si="10"/>
        <v>0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32"/>
      <c r="Q52" s="32"/>
      <c r="R52" s="32"/>
    </row>
    <row r="53" spans="1:20" s="46" customFormat="1" ht="12.75" customHeight="1">
      <c r="A53" s="6" t="s">
        <v>124</v>
      </c>
      <c r="B53" s="1256" t="s">
        <v>162</v>
      </c>
      <c r="C53" s="1256"/>
      <c r="D53" s="58">
        <f t="shared" ref="D53:R53" si="11">+D52+D51+D50+D49+D48+D47+D46</f>
        <v>0</v>
      </c>
      <c r="E53" s="58">
        <f t="shared" si="11"/>
        <v>0</v>
      </c>
      <c r="F53" s="58">
        <f t="shared" si="11"/>
        <v>0</v>
      </c>
      <c r="G53" s="58">
        <f t="shared" si="11"/>
        <v>0</v>
      </c>
      <c r="H53" s="58">
        <f t="shared" si="11"/>
        <v>0</v>
      </c>
      <c r="I53" s="58">
        <f t="shared" si="11"/>
        <v>0</v>
      </c>
      <c r="J53" s="58">
        <f t="shared" si="11"/>
        <v>0</v>
      </c>
      <c r="K53" s="58">
        <f t="shared" si="11"/>
        <v>0</v>
      </c>
      <c r="L53" s="58">
        <f t="shared" si="11"/>
        <v>0</v>
      </c>
      <c r="M53" s="58">
        <f t="shared" si="11"/>
        <v>0</v>
      </c>
      <c r="N53" s="58">
        <f t="shared" si="11"/>
        <v>0</v>
      </c>
      <c r="O53" s="58">
        <f t="shared" si="11"/>
        <v>0</v>
      </c>
      <c r="P53" s="58">
        <f t="shared" si="11"/>
        <v>0</v>
      </c>
      <c r="Q53" s="58">
        <f t="shared" si="11"/>
        <v>0</v>
      </c>
      <c r="R53" s="58">
        <f t="shared" si="11"/>
        <v>0</v>
      </c>
    </row>
    <row r="54" spans="1:20">
      <c r="A54" s="7"/>
      <c r="B54" s="8"/>
      <c r="C54" s="8"/>
      <c r="D54" s="30"/>
      <c r="E54" s="30"/>
      <c r="F54" s="31"/>
      <c r="G54" s="30"/>
      <c r="H54" s="30"/>
      <c r="I54" s="31"/>
      <c r="J54" s="30"/>
      <c r="K54" s="30"/>
      <c r="L54" s="31"/>
      <c r="M54" s="30"/>
      <c r="N54" s="30"/>
      <c r="O54" s="31"/>
      <c r="P54" s="30"/>
      <c r="Q54" s="30"/>
      <c r="R54" s="30"/>
    </row>
    <row r="55" spans="1:20" ht="12.75" hidden="1" customHeight="1">
      <c r="A55" s="3" t="s">
        <v>126</v>
      </c>
      <c r="B55" s="1253" t="s">
        <v>125</v>
      </c>
      <c r="C55" s="1253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</row>
    <row r="56" spans="1:20" ht="12.75" hidden="1" customHeight="1">
      <c r="A56" s="3" t="s">
        <v>128</v>
      </c>
      <c r="B56" s="1253" t="s">
        <v>127</v>
      </c>
      <c r="C56" s="1253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</row>
    <row r="57" spans="1:20" ht="12.75" hidden="1" customHeight="1">
      <c r="A57" s="3" t="s">
        <v>130</v>
      </c>
      <c r="B57" s="1253" t="s">
        <v>129</v>
      </c>
      <c r="C57" s="1253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</row>
    <row r="58" spans="1:20" ht="12.75" hidden="1" customHeight="1">
      <c r="A58" s="3" t="s">
        <v>132</v>
      </c>
      <c r="B58" s="1253" t="s">
        <v>131</v>
      </c>
      <c r="C58" s="1253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</row>
    <row r="59" spans="1:20" s="46" customFormat="1" ht="12.75" customHeight="1">
      <c r="A59" s="6" t="s">
        <v>133</v>
      </c>
      <c r="B59" s="1256" t="s">
        <v>161</v>
      </c>
      <c r="C59" s="1256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</row>
    <row r="60" spans="1:20">
      <c r="A60" s="7"/>
      <c r="B60" s="8"/>
      <c r="C60" s="8"/>
      <c r="D60" s="30"/>
      <c r="E60" s="30"/>
      <c r="F60" s="31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T60" s="224"/>
    </row>
    <row r="61" spans="1:20" hidden="1">
      <c r="A61" s="188" t="s">
        <v>389</v>
      </c>
      <c r="B61" s="1255" t="s">
        <v>390</v>
      </c>
      <c r="C61" s="1255"/>
      <c r="D61" s="29">
        <f>+G61+J61+M61+P61</f>
        <v>0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</row>
    <row r="62" spans="1:20" hidden="1">
      <c r="A62" s="188" t="s">
        <v>405</v>
      </c>
      <c r="B62" s="1270" t="s">
        <v>406</v>
      </c>
      <c r="C62" s="1271"/>
      <c r="D62" s="29">
        <f>+G62+J62+M62+P62</f>
        <v>0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</row>
    <row r="63" spans="1:20" ht="12.75" hidden="1" customHeight="1">
      <c r="A63" s="12" t="s">
        <v>134</v>
      </c>
      <c r="B63" s="1255" t="s">
        <v>407</v>
      </c>
      <c r="C63" s="1255"/>
      <c r="D63" s="29">
        <f>+G63+J63+M63+P63</f>
        <v>0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20" s="46" customFormat="1" ht="12.75" customHeight="1">
      <c r="A64" s="14" t="s">
        <v>135</v>
      </c>
      <c r="B64" s="1272" t="s">
        <v>159</v>
      </c>
      <c r="C64" s="1272"/>
      <c r="D64" s="56">
        <f>SUM(D61:D63)</f>
        <v>0</v>
      </c>
      <c r="E64" s="56">
        <f t="shared" ref="E64:R64" si="12">SUM(E61:E63)</f>
        <v>0</v>
      </c>
      <c r="F64" s="56">
        <f t="shared" si="12"/>
        <v>0</v>
      </c>
      <c r="G64" s="56">
        <f t="shared" si="12"/>
        <v>0</v>
      </c>
      <c r="H64" s="56">
        <f t="shared" si="12"/>
        <v>0</v>
      </c>
      <c r="I64" s="56">
        <f t="shared" si="12"/>
        <v>0</v>
      </c>
      <c r="J64" s="56">
        <f t="shared" si="12"/>
        <v>0</v>
      </c>
      <c r="K64" s="56">
        <f t="shared" si="12"/>
        <v>0</v>
      </c>
      <c r="L64" s="56">
        <f t="shared" si="12"/>
        <v>0</v>
      </c>
      <c r="M64" s="56">
        <f t="shared" si="12"/>
        <v>0</v>
      </c>
      <c r="N64" s="56">
        <f t="shared" si="12"/>
        <v>0</v>
      </c>
      <c r="O64" s="56">
        <f t="shared" si="12"/>
        <v>0</v>
      </c>
      <c r="P64" s="56">
        <f t="shared" si="12"/>
        <v>0</v>
      </c>
      <c r="Q64" s="56">
        <f t="shared" si="12"/>
        <v>0</v>
      </c>
      <c r="R64" s="56">
        <f t="shared" si="12"/>
        <v>0</v>
      </c>
    </row>
    <row r="65" spans="1:18">
      <c r="A65" s="7"/>
      <c r="B65" s="15"/>
      <c r="C65" s="15"/>
      <c r="D65" s="30"/>
      <c r="E65" s="30"/>
      <c r="F65" s="31"/>
      <c r="G65" s="30"/>
      <c r="H65" s="30"/>
      <c r="I65" s="31"/>
      <c r="J65" s="30"/>
      <c r="K65" s="30"/>
      <c r="L65" s="31"/>
      <c r="M65" s="30"/>
      <c r="N65" s="30"/>
      <c r="O65" s="31"/>
      <c r="P65" s="30"/>
      <c r="Q65" s="30"/>
      <c r="R65" s="30"/>
    </row>
    <row r="66" spans="1:18" s="46" customFormat="1" ht="12.75" customHeight="1">
      <c r="A66" s="16" t="s">
        <v>136</v>
      </c>
      <c r="B66" s="1273" t="s">
        <v>158</v>
      </c>
      <c r="C66" s="1273"/>
      <c r="D66" s="57">
        <f>+D64+D59+D53+D44+D35+D9+D7</f>
        <v>0</v>
      </c>
      <c r="E66" s="57">
        <f t="shared" ref="E66:R66" si="13">+E64+E59+E53+E44+E35+E9+E7</f>
        <v>0</v>
      </c>
      <c r="F66" s="57">
        <f t="shared" si="13"/>
        <v>0</v>
      </c>
      <c r="G66" s="57">
        <f t="shared" si="13"/>
        <v>0</v>
      </c>
      <c r="H66" s="57">
        <f t="shared" si="13"/>
        <v>0</v>
      </c>
      <c r="I66" s="57">
        <f t="shared" si="13"/>
        <v>0</v>
      </c>
      <c r="J66" s="57">
        <f t="shared" si="13"/>
        <v>0</v>
      </c>
      <c r="K66" s="57">
        <f t="shared" si="13"/>
        <v>0</v>
      </c>
      <c r="L66" s="57">
        <f t="shared" si="13"/>
        <v>0</v>
      </c>
      <c r="M66" s="57">
        <f t="shared" si="13"/>
        <v>0</v>
      </c>
      <c r="N66" s="57">
        <f t="shared" si="13"/>
        <v>0</v>
      </c>
      <c r="O66" s="57">
        <f t="shared" si="13"/>
        <v>0</v>
      </c>
      <c r="P66" s="57">
        <f t="shared" si="13"/>
        <v>0</v>
      </c>
      <c r="Q66" s="57">
        <f t="shared" si="13"/>
        <v>0</v>
      </c>
      <c r="R66" s="57">
        <f t="shared" si="13"/>
        <v>0</v>
      </c>
    </row>
  </sheetData>
  <mergeCells count="67">
    <mergeCell ref="D2:F2"/>
    <mergeCell ref="A2:A4"/>
    <mergeCell ref="B2:C4"/>
    <mergeCell ref="G2:I2"/>
    <mergeCell ref="J2:L2"/>
    <mergeCell ref="D3:F3"/>
    <mergeCell ref="M2:O2"/>
    <mergeCell ref="P2:R2"/>
    <mergeCell ref="G3:I3"/>
    <mergeCell ref="J3:L3"/>
    <mergeCell ref="M3:O3"/>
    <mergeCell ref="P3:R3"/>
    <mergeCell ref="B13:C13"/>
    <mergeCell ref="B5:C5"/>
    <mergeCell ref="B6:C6"/>
    <mergeCell ref="B7:C7"/>
    <mergeCell ref="B9:C9"/>
    <mergeCell ref="B11:C11"/>
    <mergeCell ref="B12:C12"/>
    <mergeCell ref="B35:C35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6:C26"/>
    <mergeCell ref="B27:C27"/>
    <mergeCell ref="B24:C24"/>
    <mergeCell ref="B28:C28"/>
    <mergeCell ref="B37:C37"/>
    <mergeCell ref="B52:C52"/>
    <mergeCell ref="B53:C53"/>
    <mergeCell ref="B41:C41"/>
    <mergeCell ref="B49:C49"/>
    <mergeCell ref="B50:C50"/>
    <mergeCell ref="B51:C51"/>
    <mergeCell ref="B38:C38"/>
    <mergeCell ref="B39:C39"/>
    <mergeCell ref="B40:C40"/>
    <mergeCell ref="B29:C29"/>
    <mergeCell ref="B32:C32"/>
    <mergeCell ref="B33:C33"/>
    <mergeCell ref="B34:C34"/>
    <mergeCell ref="B30:C30"/>
    <mergeCell ref="B31:C31"/>
    <mergeCell ref="B66:C66"/>
    <mergeCell ref="B56:C56"/>
    <mergeCell ref="B57:C57"/>
    <mergeCell ref="B58:C58"/>
    <mergeCell ref="B59:C59"/>
    <mergeCell ref="B63:C63"/>
    <mergeCell ref="B64:C64"/>
    <mergeCell ref="B62:C62"/>
    <mergeCell ref="B61:C61"/>
    <mergeCell ref="B55:C55"/>
    <mergeCell ref="B42:C42"/>
    <mergeCell ref="B43:C43"/>
    <mergeCell ref="B44:C44"/>
    <mergeCell ref="B46:C46"/>
    <mergeCell ref="B47:C47"/>
    <mergeCell ref="B48:C48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75" orientation="landscape" cellComments="asDisplayed" r:id="rId1"/>
  <headerFooter>
    <oddHeader>&amp;C&amp;"Times New Roman,Félkövér"&amp;12Martonvásár Város Önkormányzatának kiadásai 2015. Városfejlesztési feladatok EU forrásból&amp;R&amp;"Times New Roman,Normál"&amp;10 5/c.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8"/>
  <sheetViews>
    <sheetView view="pageLayout" topLeftCell="E1" workbookViewId="0">
      <selection activeCell="T4" sqref="T4"/>
    </sheetView>
  </sheetViews>
  <sheetFormatPr defaultRowHeight="12.75"/>
  <cols>
    <col min="1" max="1" width="7.28515625" style="26" customWidth="1"/>
    <col min="2" max="2" width="7.140625" style="27" customWidth="1"/>
    <col min="3" max="3" width="32" style="27" customWidth="1"/>
    <col min="4" max="7" width="7.7109375" style="18" customWidth="1"/>
    <col min="8" max="8" width="6.7109375" style="18" customWidth="1"/>
    <col min="9" max="9" width="7.42578125" style="18" customWidth="1"/>
    <col min="10" max="10" width="7.28515625" style="18" customWidth="1"/>
    <col min="11" max="11" width="7.7109375" style="18" customWidth="1"/>
    <col min="12" max="12" width="7" style="18" customWidth="1"/>
    <col min="13" max="13" width="7.7109375" style="18" customWidth="1"/>
    <col min="14" max="14" width="7.42578125" style="18" customWidth="1"/>
    <col min="15" max="16" width="7.7109375" style="18" customWidth="1"/>
    <col min="17" max="17" width="6.7109375" style="18" customWidth="1"/>
    <col min="18" max="19" width="7.7109375" style="18" customWidth="1"/>
    <col min="20" max="20" width="6.85546875" style="18" customWidth="1"/>
    <col min="21" max="21" width="7.140625" style="18" customWidth="1"/>
    <col min="22" max="16384" width="9.140625" style="18"/>
  </cols>
  <sheetData>
    <row r="1" spans="1:21" s="1" customFormat="1" ht="15">
      <c r="A1" s="26"/>
      <c r="B1" s="27"/>
      <c r="C1" s="27"/>
      <c r="S1" s="1276" t="s">
        <v>404</v>
      </c>
      <c r="T1" s="1276"/>
      <c r="U1" s="1276"/>
    </row>
    <row r="2" spans="1:21" s="33" customFormat="1" ht="33.75" customHeight="1">
      <c r="A2" s="1262" t="s">
        <v>0</v>
      </c>
      <c r="B2" s="1262" t="s">
        <v>181</v>
      </c>
      <c r="C2" s="1262"/>
      <c r="D2" s="1265" t="s">
        <v>179</v>
      </c>
      <c r="E2" s="1265"/>
      <c r="F2" s="1265"/>
      <c r="G2" s="1265" t="s">
        <v>185</v>
      </c>
      <c r="H2" s="1265"/>
      <c r="I2" s="1265"/>
      <c r="J2" s="1265" t="s">
        <v>186</v>
      </c>
      <c r="K2" s="1265"/>
      <c r="L2" s="1265"/>
      <c r="M2" s="1274" t="s">
        <v>187</v>
      </c>
      <c r="N2" s="1274"/>
      <c r="O2" s="1274"/>
      <c r="P2" s="1274" t="s">
        <v>190</v>
      </c>
      <c r="Q2" s="1274"/>
      <c r="R2" s="1274"/>
      <c r="S2" s="1274" t="s">
        <v>191</v>
      </c>
      <c r="T2" s="1274"/>
      <c r="U2" s="1274"/>
    </row>
    <row r="3" spans="1:21" s="33" customFormat="1">
      <c r="A3" s="1262"/>
      <c r="B3" s="1262"/>
      <c r="C3" s="1262"/>
      <c r="D3" s="198"/>
      <c r="E3" s="198"/>
      <c r="F3" s="198"/>
      <c r="G3" s="1265" t="s">
        <v>188</v>
      </c>
      <c r="H3" s="1265"/>
      <c r="I3" s="1265"/>
      <c r="J3" s="1265" t="s">
        <v>188</v>
      </c>
      <c r="K3" s="1265"/>
      <c r="L3" s="1265"/>
      <c r="M3" s="1265" t="s">
        <v>189</v>
      </c>
      <c r="N3" s="1265"/>
      <c r="O3" s="1265"/>
      <c r="P3" s="1265" t="s">
        <v>189</v>
      </c>
      <c r="Q3" s="1265"/>
      <c r="R3" s="1265"/>
      <c r="S3" s="1265" t="s">
        <v>189</v>
      </c>
      <c r="T3" s="1265"/>
      <c r="U3" s="1265"/>
    </row>
    <row r="4" spans="1:21" s="17" customFormat="1" ht="25.5">
      <c r="A4" s="1262"/>
      <c r="B4" s="1262"/>
      <c r="C4" s="1262"/>
      <c r="D4" s="549" t="s">
        <v>178</v>
      </c>
      <c r="E4" s="550" t="s">
        <v>672</v>
      </c>
      <c r="F4" s="550" t="s">
        <v>745</v>
      </c>
      <c r="G4" s="549" t="s">
        <v>178</v>
      </c>
      <c r="H4" s="550" t="s">
        <v>672</v>
      </c>
      <c r="I4" s="550" t="s">
        <v>745</v>
      </c>
      <c r="J4" s="549" t="s">
        <v>178</v>
      </c>
      <c r="K4" s="550" t="s">
        <v>672</v>
      </c>
      <c r="L4" s="550" t="s">
        <v>745</v>
      </c>
      <c r="M4" s="549" t="s">
        <v>178</v>
      </c>
      <c r="N4" s="550" t="s">
        <v>672</v>
      </c>
      <c r="O4" s="550" t="s">
        <v>745</v>
      </c>
      <c r="P4" s="549" t="s">
        <v>178</v>
      </c>
      <c r="Q4" s="550" t="s">
        <v>672</v>
      </c>
      <c r="R4" s="550" t="s">
        <v>745</v>
      </c>
      <c r="S4" s="549" t="s">
        <v>178</v>
      </c>
      <c r="T4" s="550" t="s">
        <v>672</v>
      </c>
      <c r="U4" s="550" t="s">
        <v>745</v>
      </c>
    </row>
    <row r="5" spans="1:21" s="46" customFormat="1" ht="12" customHeight="1">
      <c r="A5" s="5" t="s">
        <v>27</v>
      </c>
      <c r="B5" s="1257" t="s">
        <v>175</v>
      </c>
      <c r="C5" s="1257"/>
      <c r="D5" s="61">
        <f>+G5+J5+M5+P5+S5</f>
        <v>8687</v>
      </c>
      <c r="E5" s="61">
        <f t="shared" ref="E5:F6" si="0">+H5+K5+N5+Q5+T5</f>
        <v>7111</v>
      </c>
      <c r="F5" s="61">
        <f t="shared" si="0"/>
        <v>7101</v>
      </c>
      <c r="G5" s="61">
        <v>6199</v>
      </c>
      <c r="H5" s="61">
        <f>7068+35</f>
        <v>7103</v>
      </c>
      <c r="I5" s="61">
        <f>7066+35</f>
        <v>7101</v>
      </c>
      <c r="J5" s="61">
        <v>2488</v>
      </c>
      <c r="K5" s="61">
        <v>8</v>
      </c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1" s="46" customFormat="1" ht="12" customHeight="1">
      <c r="A6" s="5" t="s">
        <v>34</v>
      </c>
      <c r="B6" s="1257" t="s">
        <v>174</v>
      </c>
      <c r="C6" s="1257"/>
      <c r="D6" s="61">
        <f>+G6+J6+M6+P6+S6</f>
        <v>0</v>
      </c>
      <c r="E6" s="61">
        <f t="shared" si="0"/>
        <v>2744</v>
      </c>
      <c r="F6" s="61">
        <f t="shared" si="0"/>
        <v>2733</v>
      </c>
      <c r="G6" s="61">
        <v>0</v>
      </c>
      <c r="H6" s="61">
        <v>0</v>
      </c>
      <c r="I6" s="61"/>
      <c r="J6" s="61">
        <v>0</v>
      </c>
      <c r="K6" s="61">
        <v>2459</v>
      </c>
      <c r="L6" s="61">
        <v>2459</v>
      </c>
      <c r="M6" s="61"/>
      <c r="N6" s="61">
        <v>285</v>
      </c>
      <c r="O6" s="61">
        <v>274</v>
      </c>
      <c r="P6" s="61"/>
      <c r="Q6" s="61"/>
      <c r="R6" s="61"/>
      <c r="S6" s="61"/>
      <c r="T6" s="61"/>
      <c r="U6" s="61"/>
    </row>
    <row r="7" spans="1:21" s="46" customFormat="1" ht="12" customHeight="1">
      <c r="A7" s="6" t="s">
        <v>35</v>
      </c>
      <c r="B7" s="1256" t="s">
        <v>173</v>
      </c>
      <c r="C7" s="1256"/>
      <c r="D7" s="58">
        <f>+D6+D5</f>
        <v>8687</v>
      </c>
      <c r="E7" s="58">
        <f t="shared" ref="E7:F7" si="1">+E6+E5</f>
        <v>9855</v>
      </c>
      <c r="F7" s="58">
        <f t="shared" si="1"/>
        <v>9834</v>
      </c>
      <c r="G7" s="58">
        <f>+G5+G6</f>
        <v>6199</v>
      </c>
      <c r="H7" s="58">
        <f t="shared" ref="H7:L7" si="2">+H5+H6</f>
        <v>7103</v>
      </c>
      <c r="I7" s="58">
        <f t="shared" si="2"/>
        <v>7101</v>
      </c>
      <c r="J7" s="58">
        <f t="shared" si="2"/>
        <v>2488</v>
      </c>
      <c r="K7" s="58">
        <f t="shared" si="2"/>
        <v>2467</v>
      </c>
      <c r="L7" s="58">
        <f t="shared" si="2"/>
        <v>2459</v>
      </c>
      <c r="M7" s="58">
        <f>SUM(M5:M6)</f>
        <v>0</v>
      </c>
      <c r="N7" s="58">
        <f t="shared" ref="N7:O7" si="3">SUM(N5:N6)</f>
        <v>285</v>
      </c>
      <c r="O7" s="58">
        <f t="shared" si="3"/>
        <v>274</v>
      </c>
      <c r="P7" s="58"/>
      <c r="Q7" s="58"/>
      <c r="R7" s="58"/>
      <c r="S7" s="58"/>
      <c r="T7" s="58"/>
      <c r="U7" s="58"/>
    </row>
    <row r="8" spans="1:21" ht="12" customHeight="1">
      <c r="A8" s="7"/>
      <c r="B8" s="8"/>
      <c r="C8" s="8"/>
      <c r="D8" s="28"/>
      <c r="E8" s="30"/>
      <c r="F8" s="31"/>
      <c r="G8" s="30"/>
      <c r="H8" s="30"/>
      <c r="I8" s="31"/>
      <c r="J8" s="30"/>
      <c r="K8" s="30"/>
      <c r="L8" s="31"/>
      <c r="M8" s="30"/>
      <c r="N8" s="30"/>
      <c r="O8" s="31"/>
      <c r="P8" s="30"/>
      <c r="Q8" s="30"/>
      <c r="R8" s="31"/>
      <c r="S8" s="30"/>
      <c r="T8" s="30"/>
      <c r="U8" s="31"/>
    </row>
    <row r="9" spans="1:21" s="46" customFormat="1" ht="12" customHeight="1">
      <c r="A9" s="9" t="s">
        <v>36</v>
      </c>
      <c r="B9" s="1256" t="s">
        <v>172</v>
      </c>
      <c r="C9" s="1256"/>
      <c r="D9" s="28">
        <f>+G9+J9+M9+P9+S9</f>
        <v>2367</v>
      </c>
      <c r="E9" s="28">
        <f t="shared" ref="E9:F9" si="4">+H9+K9+N9+Q9+T9</f>
        <v>2660</v>
      </c>
      <c r="F9" s="28">
        <f t="shared" si="4"/>
        <v>2620</v>
      </c>
      <c r="G9" s="57">
        <v>1688</v>
      </c>
      <c r="H9" s="57">
        <f>1882+23+26</f>
        <v>1931</v>
      </c>
      <c r="I9" s="57">
        <f>1882+20+23</f>
        <v>1925</v>
      </c>
      <c r="J9" s="57">
        <v>679</v>
      </c>
      <c r="K9" s="57">
        <f>594+3+50+13</f>
        <v>660</v>
      </c>
      <c r="L9" s="57">
        <f>591+50</f>
        <v>641</v>
      </c>
      <c r="M9" s="57"/>
      <c r="N9" s="57">
        <v>69</v>
      </c>
      <c r="O9" s="57">
        <v>54</v>
      </c>
      <c r="P9" s="57"/>
      <c r="Q9" s="57"/>
      <c r="R9" s="57"/>
      <c r="S9" s="57"/>
      <c r="T9" s="57"/>
      <c r="U9" s="57"/>
    </row>
    <row r="10" spans="1:21" s="42" customFormat="1" ht="11.25" customHeight="1">
      <c r="A10" s="342"/>
      <c r="B10" s="343"/>
      <c r="C10" s="344"/>
      <c r="D10" s="339"/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</row>
    <row r="11" spans="1:21" ht="12" customHeight="1">
      <c r="A11" s="3" t="s">
        <v>43</v>
      </c>
      <c r="B11" s="1253" t="s">
        <v>42</v>
      </c>
      <c r="C11" s="1253"/>
      <c r="D11" s="29">
        <f t="shared" ref="D11:F34" si="5">+G11+J11+M11+P11+S11</f>
        <v>30</v>
      </c>
      <c r="E11" s="29">
        <f>+H11+K11+N11+Q11+T11</f>
        <v>36</v>
      </c>
      <c r="F11" s="29">
        <f>+I11+L11+O11+R11+U11</f>
        <v>36</v>
      </c>
      <c r="G11" s="29">
        <v>30</v>
      </c>
      <c r="H11" s="29">
        <v>36</v>
      </c>
      <c r="I11" s="29">
        <v>36</v>
      </c>
      <c r="J11" s="29"/>
      <c r="K11" s="29"/>
      <c r="L11" s="29">
        <f>+J11+K11</f>
        <v>0</v>
      </c>
      <c r="M11" s="29"/>
      <c r="N11" s="29"/>
      <c r="O11" s="29">
        <f>+M11+N11</f>
        <v>0</v>
      </c>
      <c r="P11" s="29"/>
      <c r="Q11" s="29"/>
      <c r="R11" s="29">
        <f>+P11+Q11</f>
        <v>0</v>
      </c>
      <c r="S11" s="29"/>
      <c r="T11" s="29"/>
      <c r="U11" s="29">
        <f>+S11+T11</f>
        <v>0</v>
      </c>
    </row>
    <row r="12" spans="1:21" ht="12" customHeight="1">
      <c r="A12" s="3" t="s">
        <v>45</v>
      </c>
      <c r="B12" s="1253" t="s">
        <v>44</v>
      </c>
      <c r="C12" s="1253"/>
      <c r="D12" s="29">
        <f t="shared" si="5"/>
        <v>60</v>
      </c>
      <c r="E12" s="29">
        <f t="shared" ref="E12:E34" si="6">+H12+K12+N12+Q12+T12</f>
        <v>208</v>
      </c>
      <c r="F12" s="29">
        <f t="shared" si="5"/>
        <v>144</v>
      </c>
      <c r="G12" s="29">
        <v>60</v>
      </c>
      <c r="H12" s="29">
        <v>129</v>
      </c>
      <c r="I12" s="29">
        <v>129</v>
      </c>
      <c r="J12" s="29"/>
      <c r="K12" s="29"/>
      <c r="L12" s="29">
        <f t="shared" ref="L12:L13" si="7">+J12+K12</f>
        <v>0</v>
      </c>
      <c r="M12" s="29"/>
      <c r="N12" s="29">
        <v>79</v>
      </c>
      <c r="O12" s="29">
        <v>15</v>
      </c>
      <c r="P12" s="29"/>
      <c r="Q12" s="29"/>
      <c r="R12" s="29">
        <f t="shared" ref="R12:R34" si="8">+P12+Q12</f>
        <v>0</v>
      </c>
      <c r="S12" s="29"/>
      <c r="T12" s="29"/>
      <c r="U12" s="29">
        <f t="shared" ref="U12:U34" si="9">+S12+T12</f>
        <v>0</v>
      </c>
    </row>
    <row r="13" spans="1:21" ht="12" customHeight="1">
      <c r="A13" s="3" t="s">
        <v>47</v>
      </c>
      <c r="B13" s="1253" t="s">
        <v>46</v>
      </c>
      <c r="C13" s="1253"/>
      <c r="D13" s="29">
        <f t="shared" si="5"/>
        <v>0</v>
      </c>
      <c r="E13" s="29">
        <f t="shared" si="6"/>
        <v>0</v>
      </c>
      <c r="F13" s="29">
        <f t="shared" si="5"/>
        <v>0</v>
      </c>
      <c r="G13" s="29"/>
      <c r="H13" s="29"/>
      <c r="I13" s="29">
        <f t="shared" ref="I13:I33" si="10">+H13+G13</f>
        <v>0</v>
      </c>
      <c r="J13" s="29"/>
      <c r="K13" s="29"/>
      <c r="L13" s="29">
        <f t="shared" si="7"/>
        <v>0</v>
      </c>
      <c r="M13" s="29"/>
      <c r="N13" s="29"/>
      <c r="O13" s="29">
        <f t="shared" ref="O13:O38" si="11">+M13+N13</f>
        <v>0</v>
      </c>
      <c r="P13" s="29"/>
      <c r="Q13" s="29"/>
      <c r="R13" s="29">
        <f t="shared" si="8"/>
        <v>0</v>
      </c>
      <c r="S13" s="29"/>
      <c r="T13" s="29"/>
      <c r="U13" s="29">
        <f t="shared" si="9"/>
        <v>0</v>
      </c>
    </row>
    <row r="14" spans="1:21" s="46" customFormat="1" ht="12" customHeight="1">
      <c r="A14" s="5" t="s">
        <v>48</v>
      </c>
      <c r="B14" s="1257" t="s">
        <v>171</v>
      </c>
      <c r="C14" s="1257"/>
      <c r="D14" s="57">
        <f t="shared" si="5"/>
        <v>90</v>
      </c>
      <c r="E14" s="29">
        <f t="shared" si="6"/>
        <v>244</v>
      </c>
      <c r="F14" s="29">
        <f t="shared" si="5"/>
        <v>180</v>
      </c>
      <c r="G14" s="61">
        <f>SUM(G11:G13)</f>
        <v>90</v>
      </c>
      <c r="H14" s="61">
        <f t="shared" ref="H14:T14" si="12">SUM(H11:H13)</f>
        <v>165</v>
      </c>
      <c r="I14" s="61">
        <f t="shared" si="12"/>
        <v>165</v>
      </c>
      <c r="J14" s="61">
        <f t="shared" si="12"/>
        <v>0</v>
      </c>
      <c r="K14" s="61">
        <f t="shared" si="12"/>
        <v>0</v>
      </c>
      <c r="L14" s="61">
        <f t="shared" si="12"/>
        <v>0</v>
      </c>
      <c r="M14" s="61">
        <f t="shared" si="12"/>
        <v>0</v>
      </c>
      <c r="N14" s="61">
        <f t="shared" si="12"/>
        <v>79</v>
      </c>
      <c r="O14" s="61">
        <f t="shared" si="12"/>
        <v>15</v>
      </c>
      <c r="P14" s="61">
        <f t="shared" si="12"/>
        <v>0</v>
      </c>
      <c r="Q14" s="61">
        <f t="shared" si="12"/>
        <v>0</v>
      </c>
      <c r="R14" s="29">
        <f t="shared" si="8"/>
        <v>0</v>
      </c>
      <c r="S14" s="61">
        <f t="shared" si="12"/>
        <v>0</v>
      </c>
      <c r="T14" s="61">
        <f t="shared" si="12"/>
        <v>0</v>
      </c>
      <c r="U14" s="29">
        <f t="shared" si="9"/>
        <v>0</v>
      </c>
    </row>
    <row r="15" spans="1:21" ht="12" customHeight="1">
      <c r="A15" s="3" t="s">
        <v>50</v>
      </c>
      <c r="B15" s="1253" t="s">
        <v>49</v>
      </c>
      <c r="C15" s="1253"/>
      <c r="D15" s="32">
        <f t="shared" si="5"/>
        <v>75</v>
      </c>
      <c r="E15" s="29">
        <f t="shared" si="6"/>
        <v>75</v>
      </c>
      <c r="F15" s="29">
        <f t="shared" si="5"/>
        <v>54</v>
      </c>
      <c r="G15" s="29"/>
      <c r="H15" s="29"/>
      <c r="I15" s="29">
        <f t="shared" si="10"/>
        <v>0</v>
      </c>
      <c r="J15" s="29"/>
      <c r="K15" s="29"/>
      <c r="L15" s="29"/>
      <c r="M15" s="29">
        <v>75</v>
      </c>
      <c r="N15" s="29">
        <v>75</v>
      </c>
      <c r="O15" s="29">
        <v>54</v>
      </c>
      <c r="P15" s="29"/>
      <c r="Q15" s="29"/>
      <c r="R15" s="29">
        <f t="shared" si="8"/>
        <v>0</v>
      </c>
      <c r="S15" s="29"/>
      <c r="T15" s="29"/>
      <c r="U15" s="29">
        <f t="shared" si="9"/>
        <v>0</v>
      </c>
    </row>
    <row r="16" spans="1:21" ht="12" customHeight="1">
      <c r="A16" s="3" t="s">
        <v>52</v>
      </c>
      <c r="B16" s="1253" t="s">
        <v>51</v>
      </c>
      <c r="C16" s="1253"/>
      <c r="D16" s="32">
        <f t="shared" si="5"/>
        <v>165</v>
      </c>
      <c r="E16" s="29">
        <f t="shared" si="6"/>
        <v>132</v>
      </c>
      <c r="F16" s="29">
        <f t="shared" si="5"/>
        <v>118</v>
      </c>
      <c r="G16" s="29">
        <v>120</v>
      </c>
      <c r="H16" s="29">
        <v>87</v>
      </c>
      <c r="I16" s="29">
        <v>87</v>
      </c>
      <c r="J16" s="29"/>
      <c r="K16" s="29"/>
      <c r="L16" s="29"/>
      <c r="M16" s="29">
        <v>45</v>
      </c>
      <c r="N16" s="29">
        <v>45</v>
      </c>
      <c r="O16" s="29">
        <v>31</v>
      </c>
      <c r="P16" s="29"/>
      <c r="Q16" s="29"/>
      <c r="R16" s="29">
        <f t="shared" si="8"/>
        <v>0</v>
      </c>
      <c r="S16" s="29"/>
      <c r="T16" s="29"/>
      <c r="U16" s="29">
        <f t="shared" si="9"/>
        <v>0</v>
      </c>
    </row>
    <row r="17" spans="1:21" s="46" customFormat="1" ht="12" customHeight="1">
      <c r="A17" s="5" t="s">
        <v>53</v>
      </c>
      <c r="B17" s="1257" t="s">
        <v>170</v>
      </c>
      <c r="C17" s="1257"/>
      <c r="D17" s="57">
        <f t="shared" si="5"/>
        <v>240</v>
      </c>
      <c r="E17" s="29">
        <f t="shared" si="6"/>
        <v>207</v>
      </c>
      <c r="F17" s="29">
        <f t="shared" si="5"/>
        <v>172</v>
      </c>
      <c r="G17" s="61">
        <f>+G15+G16</f>
        <v>120</v>
      </c>
      <c r="H17" s="61">
        <f t="shared" ref="H17:T17" si="13">+H15+H16</f>
        <v>87</v>
      </c>
      <c r="I17" s="61">
        <f t="shared" si="13"/>
        <v>87</v>
      </c>
      <c r="J17" s="61">
        <f t="shared" si="13"/>
        <v>0</v>
      </c>
      <c r="K17" s="61">
        <f t="shared" si="13"/>
        <v>0</v>
      </c>
      <c r="L17" s="61">
        <f t="shared" si="13"/>
        <v>0</v>
      </c>
      <c r="M17" s="61">
        <f t="shared" si="13"/>
        <v>120</v>
      </c>
      <c r="N17" s="61">
        <f t="shared" si="13"/>
        <v>120</v>
      </c>
      <c r="O17" s="61">
        <f>+O15+O16</f>
        <v>85</v>
      </c>
      <c r="P17" s="61">
        <f t="shared" si="13"/>
        <v>0</v>
      </c>
      <c r="Q17" s="61">
        <f t="shared" si="13"/>
        <v>0</v>
      </c>
      <c r="R17" s="29">
        <f t="shared" si="8"/>
        <v>0</v>
      </c>
      <c r="S17" s="61">
        <f t="shared" si="13"/>
        <v>0</v>
      </c>
      <c r="T17" s="61">
        <f t="shared" si="13"/>
        <v>0</v>
      </c>
      <c r="U17" s="29">
        <f t="shared" si="9"/>
        <v>0</v>
      </c>
    </row>
    <row r="18" spans="1:21" ht="12" customHeight="1">
      <c r="A18" s="3" t="s">
        <v>55</v>
      </c>
      <c r="B18" s="1253" t="s">
        <v>54</v>
      </c>
      <c r="C18" s="1253"/>
      <c r="D18" s="32">
        <f t="shared" si="5"/>
        <v>0</v>
      </c>
      <c r="E18" s="29">
        <f t="shared" si="6"/>
        <v>0</v>
      </c>
      <c r="F18" s="29">
        <f t="shared" si="5"/>
        <v>0</v>
      </c>
      <c r="G18" s="29"/>
      <c r="H18" s="29"/>
      <c r="I18" s="29">
        <f t="shared" si="10"/>
        <v>0</v>
      </c>
      <c r="J18" s="29"/>
      <c r="K18" s="29"/>
      <c r="L18" s="29">
        <f>+J18+K18</f>
        <v>0</v>
      </c>
      <c r="M18" s="29"/>
      <c r="N18" s="29"/>
      <c r="O18" s="29">
        <f t="shared" si="11"/>
        <v>0</v>
      </c>
      <c r="P18" s="29"/>
      <c r="Q18" s="29"/>
      <c r="R18" s="29">
        <f t="shared" si="8"/>
        <v>0</v>
      </c>
      <c r="S18" s="29"/>
      <c r="T18" s="29"/>
      <c r="U18" s="29">
        <f t="shared" si="9"/>
        <v>0</v>
      </c>
    </row>
    <row r="19" spans="1:21" ht="12" customHeight="1">
      <c r="A19" s="3" t="s">
        <v>57</v>
      </c>
      <c r="B19" s="1253" t="s">
        <v>56</v>
      </c>
      <c r="C19" s="1253"/>
      <c r="D19" s="32">
        <f t="shared" si="5"/>
        <v>0</v>
      </c>
      <c r="E19" s="29">
        <f t="shared" si="6"/>
        <v>0</v>
      </c>
      <c r="F19" s="29">
        <f t="shared" si="5"/>
        <v>0</v>
      </c>
      <c r="G19" s="29"/>
      <c r="H19" s="29"/>
      <c r="I19" s="29">
        <f t="shared" si="10"/>
        <v>0</v>
      </c>
      <c r="J19" s="29"/>
      <c r="K19" s="29"/>
      <c r="L19" s="29">
        <f t="shared" ref="L19:L23" si="14">+J19+K19</f>
        <v>0</v>
      </c>
      <c r="M19" s="29"/>
      <c r="N19" s="29"/>
      <c r="O19" s="29">
        <f t="shared" si="11"/>
        <v>0</v>
      </c>
      <c r="P19" s="29"/>
      <c r="Q19" s="29"/>
      <c r="R19" s="29">
        <f t="shared" si="8"/>
        <v>0</v>
      </c>
      <c r="S19" s="29"/>
      <c r="T19" s="29"/>
      <c r="U19" s="29">
        <f t="shared" si="9"/>
        <v>0</v>
      </c>
    </row>
    <row r="20" spans="1:21" ht="12" customHeight="1">
      <c r="A20" s="3" t="s">
        <v>58</v>
      </c>
      <c r="B20" s="1253" t="s">
        <v>168</v>
      </c>
      <c r="C20" s="1253"/>
      <c r="D20" s="32">
        <f t="shared" si="5"/>
        <v>0</v>
      </c>
      <c r="E20" s="29">
        <f t="shared" si="6"/>
        <v>0</v>
      </c>
      <c r="F20" s="29">
        <f t="shared" si="5"/>
        <v>0</v>
      </c>
      <c r="G20" s="29"/>
      <c r="H20" s="29"/>
      <c r="I20" s="29">
        <f t="shared" si="10"/>
        <v>0</v>
      </c>
      <c r="J20" s="29"/>
      <c r="K20" s="29"/>
      <c r="L20" s="29">
        <f t="shared" si="14"/>
        <v>0</v>
      </c>
      <c r="M20" s="29"/>
      <c r="N20" s="29"/>
      <c r="O20" s="29">
        <f t="shared" si="11"/>
        <v>0</v>
      </c>
      <c r="P20" s="29"/>
      <c r="Q20" s="29"/>
      <c r="R20" s="29">
        <f t="shared" si="8"/>
        <v>0</v>
      </c>
      <c r="S20" s="29"/>
      <c r="T20" s="29"/>
      <c r="U20" s="29">
        <f t="shared" si="9"/>
        <v>0</v>
      </c>
    </row>
    <row r="21" spans="1:21" ht="12" customHeight="1">
      <c r="A21" s="3" t="s">
        <v>60</v>
      </c>
      <c r="B21" s="1253" t="s">
        <v>59</v>
      </c>
      <c r="C21" s="1253"/>
      <c r="D21" s="32">
        <f t="shared" si="5"/>
        <v>0</v>
      </c>
      <c r="E21" s="29">
        <f t="shared" si="6"/>
        <v>6</v>
      </c>
      <c r="F21" s="29">
        <f t="shared" si="5"/>
        <v>6</v>
      </c>
      <c r="G21" s="29"/>
      <c r="H21" s="29">
        <v>6</v>
      </c>
      <c r="I21" s="29">
        <v>6</v>
      </c>
      <c r="J21" s="29"/>
      <c r="K21" s="29"/>
      <c r="L21" s="29">
        <f t="shared" si="14"/>
        <v>0</v>
      </c>
      <c r="M21" s="29"/>
      <c r="N21" s="29"/>
      <c r="O21" s="29">
        <f t="shared" si="11"/>
        <v>0</v>
      </c>
      <c r="P21" s="29"/>
      <c r="Q21" s="29"/>
      <c r="R21" s="29">
        <f t="shared" si="8"/>
        <v>0</v>
      </c>
      <c r="S21" s="29"/>
      <c r="T21" s="29"/>
      <c r="U21" s="29">
        <f t="shared" si="9"/>
        <v>0</v>
      </c>
    </row>
    <row r="22" spans="1:21" ht="12" customHeight="1">
      <c r="A22" s="3" t="s">
        <v>61</v>
      </c>
      <c r="B22" s="1275" t="s">
        <v>167</v>
      </c>
      <c r="C22" s="1275"/>
      <c r="D22" s="32">
        <f t="shared" si="5"/>
        <v>0</v>
      </c>
      <c r="E22" s="29">
        <f t="shared" si="6"/>
        <v>0</v>
      </c>
      <c r="F22" s="29">
        <f t="shared" si="5"/>
        <v>0</v>
      </c>
      <c r="G22" s="29"/>
      <c r="H22" s="29"/>
      <c r="I22" s="29">
        <f t="shared" si="10"/>
        <v>0</v>
      </c>
      <c r="J22" s="29"/>
      <c r="K22" s="29"/>
      <c r="L22" s="29">
        <f t="shared" si="14"/>
        <v>0</v>
      </c>
      <c r="M22" s="29"/>
      <c r="N22" s="29"/>
      <c r="O22" s="29">
        <f t="shared" si="11"/>
        <v>0</v>
      </c>
      <c r="P22" s="29"/>
      <c r="Q22" s="29"/>
      <c r="R22" s="29">
        <f t="shared" si="8"/>
        <v>0</v>
      </c>
      <c r="S22" s="29"/>
      <c r="T22" s="29"/>
      <c r="U22" s="29">
        <f t="shared" si="9"/>
        <v>0</v>
      </c>
    </row>
    <row r="23" spans="1:21" ht="12" customHeight="1">
      <c r="A23" s="3" t="s">
        <v>64</v>
      </c>
      <c r="B23" s="1255" t="s">
        <v>63</v>
      </c>
      <c r="C23" s="1255"/>
      <c r="D23" s="32">
        <f t="shared" si="5"/>
        <v>0</v>
      </c>
      <c r="E23" s="29">
        <f t="shared" si="6"/>
        <v>0</v>
      </c>
      <c r="F23" s="29">
        <f t="shared" si="5"/>
        <v>0</v>
      </c>
      <c r="G23" s="29"/>
      <c r="H23" s="29"/>
      <c r="I23" s="29">
        <f t="shared" si="10"/>
        <v>0</v>
      </c>
      <c r="J23" s="29"/>
      <c r="K23" s="29"/>
      <c r="L23" s="29">
        <f t="shared" si="14"/>
        <v>0</v>
      </c>
      <c r="M23" s="29"/>
      <c r="N23" s="29"/>
      <c r="O23" s="29">
        <f t="shared" si="11"/>
        <v>0</v>
      </c>
      <c r="P23" s="29"/>
      <c r="Q23" s="29"/>
      <c r="R23" s="29">
        <f t="shared" si="8"/>
        <v>0</v>
      </c>
      <c r="S23" s="29"/>
      <c r="T23" s="29"/>
      <c r="U23" s="29">
        <f t="shared" si="9"/>
        <v>0</v>
      </c>
    </row>
    <row r="24" spans="1:21" ht="12" customHeight="1">
      <c r="A24" s="3" t="s">
        <v>66</v>
      </c>
      <c r="B24" s="1253" t="s">
        <v>65</v>
      </c>
      <c r="C24" s="1253"/>
      <c r="D24" s="32">
        <f t="shared" si="5"/>
        <v>3060</v>
      </c>
      <c r="E24" s="29">
        <f t="shared" si="6"/>
        <v>2729</v>
      </c>
      <c r="F24" s="29">
        <f t="shared" si="5"/>
        <v>1847</v>
      </c>
      <c r="G24" s="29">
        <v>63</v>
      </c>
      <c r="H24" s="29">
        <v>36</v>
      </c>
      <c r="I24" s="29">
        <v>35</v>
      </c>
      <c r="J24" s="29">
        <f>490+7</f>
        <v>497</v>
      </c>
      <c r="K24" s="29">
        <v>497</v>
      </c>
      <c r="L24" s="29">
        <v>496</v>
      </c>
      <c r="M24" s="29">
        <v>1800</v>
      </c>
      <c r="N24" s="29">
        <v>1496</v>
      </c>
      <c r="O24" s="29">
        <v>1026</v>
      </c>
      <c r="P24" s="29">
        <v>500</v>
      </c>
      <c r="Q24" s="29">
        <v>500</v>
      </c>
      <c r="R24" s="29">
        <v>200</v>
      </c>
      <c r="S24" s="29">
        <v>200</v>
      </c>
      <c r="T24" s="29">
        <v>200</v>
      </c>
      <c r="U24" s="29">
        <v>90</v>
      </c>
    </row>
    <row r="25" spans="1:21" s="46" customFormat="1" ht="12" customHeight="1">
      <c r="A25" s="5" t="s">
        <v>67</v>
      </c>
      <c r="B25" s="1257" t="s">
        <v>157</v>
      </c>
      <c r="C25" s="1257"/>
      <c r="D25" s="57">
        <f>+G25+J25+M25+P25+S25</f>
        <v>3060</v>
      </c>
      <c r="E25" s="29">
        <f t="shared" si="6"/>
        <v>2735</v>
      </c>
      <c r="F25" s="29">
        <f t="shared" si="5"/>
        <v>1853</v>
      </c>
      <c r="G25" s="61">
        <f t="shared" ref="G25:U25" si="15">+G24+G23+G22+G21+G20+G19+G18</f>
        <v>63</v>
      </c>
      <c r="H25" s="61">
        <f t="shared" si="15"/>
        <v>42</v>
      </c>
      <c r="I25" s="61">
        <f t="shared" si="15"/>
        <v>41</v>
      </c>
      <c r="J25" s="61">
        <f t="shared" si="15"/>
        <v>497</v>
      </c>
      <c r="K25" s="61">
        <f t="shared" si="15"/>
        <v>497</v>
      </c>
      <c r="L25" s="61">
        <f t="shared" si="15"/>
        <v>496</v>
      </c>
      <c r="M25" s="61">
        <f t="shared" si="15"/>
        <v>1800</v>
      </c>
      <c r="N25" s="61">
        <f t="shared" si="15"/>
        <v>1496</v>
      </c>
      <c r="O25" s="61">
        <f t="shared" si="15"/>
        <v>1026</v>
      </c>
      <c r="P25" s="61">
        <f t="shared" si="15"/>
        <v>500</v>
      </c>
      <c r="Q25" s="61">
        <f t="shared" si="15"/>
        <v>500</v>
      </c>
      <c r="R25" s="61">
        <f t="shared" si="15"/>
        <v>200</v>
      </c>
      <c r="S25" s="61">
        <f t="shared" si="15"/>
        <v>200</v>
      </c>
      <c r="T25" s="61">
        <f t="shared" si="15"/>
        <v>200</v>
      </c>
      <c r="U25" s="61">
        <f t="shared" si="15"/>
        <v>90</v>
      </c>
    </row>
    <row r="26" spans="1:21" ht="12" customHeight="1">
      <c r="A26" s="3" t="s">
        <v>69</v>
      </c>
      <c r="B26" s="1253" t="s">
        <v>68</v>
      </c>
      <c r="C26" s="1253"/>
      <c r="D26" s="32">
        <f t="shared" si="5"/>
        <v>0</v>
      </c>
      <c r="E26" s="29">
        <f t="shared" si="6"/>
        <v>191</v>
      </c>
      <c r="F26" s="29">
        <f t="shared" si="5"/>
        <v>191</v>
      </c>
      <c r="G26" s="29"/>
      <c r="H26" s="29">
        <v>191</v>
      </c>
      <c r="I26" s="29">
        <v>191</v>
      </c>
      <c r="J26" s="29"/>
      <c r="K26" s="29"/>
      <c r="L26" s="29"/>
      <c r="M26" s="29"/>
      <c r="N26" s="29"/>
      <c r="O26" s="29">
        <f t="shared" si="11"/>
        <v>0</v>
      </c>
      <c r="P26" s="29"/>
      <c r="Q26" s="29"/>
      <c r="R26" s="29">
        <f t="shared" si="8"/>
        <v>0</v>
      </c>
      <c r="S26" s="29"/>
      <c r="T26" s="29"/>
      <c r="U26" s="29">
        <f t="shared" si="9"/>
        <v>0</v>
      </c>
    </row>
    <row r="27" spans="1:21" ht="12" customHeight="1">
      <c r="A27" s="3" t="s">
        <v>71</v>
      </c>
      <c r="B27" s="1253" t="s">
        <v>70</v>
      </c>
      <c r="C27" s="1253"/>
      <c r="D27" s="32">
        <f t="shared" si="5"/>
        <v>0</v>
      </c>
      <c r="E27" s="29">
        <f t="shared" si="6"/>
        <v>0</v>
      </c>
      <c r="F27" s="29">
        <f t="shared" si="5"/>
        <v>0</v>
      </c>
      <c r="G27" s="29"/>
      <c r="H27" s="29"/>
      <c r="I27" s="29">
        <f t="shared" si="10"/>
        <v>0</v>
      </c>
      <c r="J27" s="29"/>
      <c r="K27" s="29"/>
      <c r="L27" s="29"/>
      <c r="M27" s="29"/>
      <c r="N27" s="29"/>
      <c r="O27" s="29">
        <f t="shared" si="11"/>
        <v>0</v>
      </c>
      <c r="P27" s="29"/>
      <c r="Q27" s="29"/>
      <c r="R27" s="29">
        <f t="shared" si="8"/>
        <v>0</v>
      </c>
      <c r="S27" s="29"/>
      <c r="T27" s="29"/>
      <c r="U27" s="29">
        <f t="shared" si="9"/>
        <v>0</v>
      </c>
    </row>
    <row r="28" spans="1:21" s="46" customFormat="1" ht="12" customHeight="1">
      <c r="A28" s="5" t="s">
        <v>72</v>
      </c>
      <c r="B28" s="1257" t="s">
        <v>156</v>
      </c>
      <c r="C28" s="1257"/>
      <c r="D28" s="57">
        <f t="shared" si="5"/>
        <v>0</v>
      </c>
      <c r="E28" s="29">
        <f t="shared" si="6"/>
        <v>191</v>
      </c>
      <c r="F28" s="29">
        <f t="shared" si="5"/>
        <v>191</v>
      </c>
      <c r="G28" s="61">
        <f>+G26+G27</f>
        <v>0</v>
      </c>
      <c r="H28" s="61">
        <f t="shared" ref="H28:T28" si="16">+H26+H27</f>
        <v>191</v>
      </c>
      <c r="I28" s="61">
        <f t="shared" si="16"/>
        <v>191</v>
      </c>
      <c r="J28" s="61">
        <f t="shared" si="16"/>
        <v>0</v>
      </c>
      <c r="K28" s="61">
        <f t="shared" si="16"/>
        <v>0</v>
      </c>
      <c r="L28" s="61">
        <f t="shared" si="16"/>
        <v>0</v>
      </c>
      <c r="M28" s="61">
        <f t="shared" si="16"/>
        <v>0</v>
      </c>
      <c r="N28" s="61">
        <f t="shared" si="16"/>
        <v>0</v>
      </c>
      <c r="O28" s="29">
        <f t="shared" si="11"/>
        <v>0</v>
      </c>
      <c r="P28" s="61">
        <f t="shared" si="16"/>
        <v>0</v>
      </c>
      <c r="Q28" s="61">
        <f t="shared" si="16"/>
        <v>0</v>
      </c>
      <c r="R28" s="29">
        <f t="shared" si="8"/>
        <v>0</v>
      </c>
      <c r="S28" s="61">
        <f t="shared" si="16"/>
        <v>0</v>
      </c>
      <c r="T28" s="61">
        <f t="shared" si="16"/>
        <v>0</v>
      </c>
      <c r="U28" s="29">
        <f t="shared" si="9"/>
        <v>0</v>
      </c>
    </row>
    <row r="29" spans="1:21" ht="12" customHeight="1">
      <c r="A29" s="3" t="s">
        <v>74</v>
      </c>
      <c r="B29" s="1253" t="s">
        <v>73</v>
      </c>
      <c r="C29" s="1253"/>
      <c r="D29" s="32">
        <f t="shared" si="5"/>
        <v>102</v>
      </c>
      <c r="E29" s="29">
        <f t="shared" si="6"/>
        <v>117</v>
      </c>
      <c r="F29" s="29">
        <f t="shared" si="5"/>
        <v>88</v>
      </c>
      <c r="G29" s="29">
        <v>67</v>
      </c>
      <c r="H29" s="29">
        <v>61</v>
      </c>
      <c r="I29" s="29">
        <v>61</v>
      </c>
      <c r="J29" s="29"/>
      <c r="K29" s="29"/>
      <c r="L29" s="29"/>
      <c r="M29" s="29">
        <v>35</v>
      </c>
      <c r="N29" s="29">
        <v>56</v>
      </c>
      <c r="O29" s="29">
        <v>27</v>
      </c>
      <c r="P29" s="29"/>
      <c r="Q29" s="29"/>
      <c r="R29" s="29">
        <f t="shared" si="8"/>
        <v>0</v>
      </c>
      <c r="S29" s="29"/>
      <c r="T29" s="29"/>
      <c r="U29" s="29">
        <f t="shared" si="9"/>
        <v>0</v>
      </c>
    </row>
    <row r="30" spans="1:21" ht="12" customHeight="1">
      <c r="A30" s="3" t="s">
        <v>76</v>
      </c>
      <c r="B30" s="1253" t="s">
        <v>75</v>
      </c>
      <c r="C30" s="1253"/>
      <c r="D30" s="32">
        <f t="shared" si="5"/>
        <v>0</v>
      </c>
      <c r="E30" s="29">
        <f t="shared" si="6"/>
        <v>0</v>
      </c>
      <c r="F30" s="29">
        <f t="shared" si="5"/>
        <v>0</v>
      </c>
      <c r="G30" s="29"/>
      <c r="H30" s="29"/>
      <c r="I30" s="29">
        <f t="shared" si="10"/>
        <v>0</v>
      </c>
      <c r="J30" s="29"/>
      <c r="K30" s="29"/>
      <c r="L30" s="29"/>
      <c r="M30" s="29"/>
      <c r="N30" s="29"/>
      <c r="O30" s="29">
        <f t="shared" si="11"/>
        <v>0</v>
      </c>
      <c r="P30" s="29"/>
      <c r="Q30" s="29"/>
      <c r="R30" s="29">
        <f t="shared" si="8"/>
        <v>0</v>
      </c>
      <c r="S30" s="29"/>
      <c r="T30" s="29"/>
      <c r="U30" s="29">
        <f t="shared" si="9"/>
        <v>0</v>
      </c>
    </row>
    <row r="31" spans="1:21" ht="12" customHeight="1">
      <c r="A31" s="3" t="s">
        <v>77</v>
      </c>
      <c r="B31" s="1253" t="s">
        <v>155</v>
      </c>
      <c r="C31" s="1253"/>
      <c r="D31" s="32">
        <f t="shared" si="5"/>
        <v>0</v>
      </c>
      <c r="E31" s="29">
        <f t="shared" si="6"/>
        <v>0</v>
      </c>
      <c r="F31" s="29">
        <f t="shared" si="5"/>
        <v>0</v>
      </c>
      <c r="G31" s="29"/>
      <c r="H31" s="29"/>
      <c r="I31" s="29">
        <f t="shared" si="10"/>
        <v>0</v>
      </c>
      <c r="J31" s="29"/>
      <c r="K31" s="29"/>
      <c r="L31" s="29"/>
      <c r="M31" s="29"/>
      <c r="N31" s="29"/>
      <c r="O31" s="29">
        <f t="shared" si="11"/>
        <v>0</v>
      </c>
      <c r="P31" s="29"/>
      <c r="Q31" s="29"/>
      <c r="R31" s="29">
        <f t="shared" si="8"/>
        <v>0</v>
      </c>
      <c r="S31" s="29"/>
      <c r="T31" s="29"/>
      <c r="U31" s="29">
        <f t="shared" si="9"/>
        <v>0</v>
      </c>
    </row>
    <row r="32" spans="1:21" ht="12" customHeight="1">
      <c r="A32" s="3" t="s">
        <v>78</v>
      </c>
      <c r="B32" s="1253" t="s">
        <v>154</v>
      </c>
      <c r="C32" s="1253"/>
      <c r="D32" s="32">
        <f t="shared" si="5"/>
        <v>0</v>
      </c>
      <c r="E32" s="29">
        <f t="shared" si="6"/>
        <v>0</v>
      </c>
      <c r="F32" s="29">
        <f t="shared" si="5"/>
        <v>0</v>
      </c>
      <c r="G32" s="29"/>
      <c r="H32" s="29"/>
      <c r="I32" s="29">
        <f t="shared" si="10"/>
        <v>0</v>
      </c>
      <c r="J32" s="29"/>
      <c r="K32" s="29"/>
      <c r="L32" s="29"/>
      <c r="M32" s="29"/>
      <c r="N32" s="29"/>
      <c r="O32" s="29">
        <f t="shared" si="11"/>
        <v>0</v>
      </c>
      <c r="P32" s="29"/>
      <c r="Q32" s="29"/>
      <c r="R32" s="29">
        <f t="shared" si="8"/>
        <v>0</v>
      </c>
      <c r="S32" s="29"/>
      <c r="T32" s="29"/>
      <c r="U32" s="29">
        <f t="shared" si="9"/>
        <v>0</v>
      </c>
    </row>
    <row r="33" spans="1:21" ht="12" customHeight="1">
      <c r="A33" s="3" t="s">
        <v>80</v>
      </c>
      <c r="B33" s="1253" t="s">
        <v>79</v>
      </c>
      <c r="C33" s="1253"/>
      <c r="D33" s="32">
        <f t="shared" si="5"/>
        <v>0</v>
      </c>
      <c r="E33" s="29">
        <f t="shared" si="6"/>
        <v>0</v>
      </c>
      <c r="F33" s="29">
        <f t="shared" si="5"/>
        <v>0</v>
      </c>
      <c r="G33" s="29"/>
      <c r="H33" s="29"/>
      <c r="I33" s="29">
        <f t="shared" si="10"/>
        <v>0</v>
      </c>
      <c r="J33" s="29"/>
      <c r="K33" s="29"/>
      <c r="L33" s="29"/>
      <c r="M33" s="29"/>
      <c r="N33" s="29"/>
      <c r="O33" s="29">
        <f t="shared" si="11"/>
        <v>0</v>
      </c>
      <c r="P33" s="29"/>
      <c r="Q33" s="29"/>
      <c r="R33" s="29">
        <f t="shared" si="8"/>
        <v>0</v>
      </c>
      <c r="S33" s="29"/>
      <c r="T33" s="29"/>
      <c r="U33" s="29">
        <f t="shared" si="9"/>
        <v>0</v>
      </c>
    </row>
    <row r="34" spans="1:21" s="46" customFormat="1" ht="12" customHeight="1">
      <c r="A34" s="5" t="s">
        <v>81</v>
      </c>
      <c r="B34" s="1257" t="s">
        <v>153</v>
      </c>
      <c r="C34" s="1257"/>
      <c r="D34" s="57">
        <f t="shared" si="5"/>
        <v>102</v>
      </c>
      <c r="E34" s="29">
        <f t="shared" si="6"/>
        <v>117</v>
      </c>
      <c r="F34" s="29">
        <f>+I34+L34+O34+R34+U34</f>
        <v>88</v>
      </c>
      <c r="G34" s="61">
        <f>SUM(G29:G33)</f>
        <v>67</v>
      </c>
      <c r="H34" s="61">
        <f t="shared" ref="H34:T34" si="17">SUM(H29:H33)</f>
        <v>61</v>
      </c>
      <c r="I34" s="61">
        <f t="shared" si="17"/>
        <v>61</v>
      </c>
      <c r="J34" s="61">
        <f t="shared" si="17"/>
        <v>0</v>
      </c>
      <c r="K34" s="61">
        <f t="shared" si="17"/>
        <v>0</v>
      </c>
      <c r="L34" s="61">
        <f t="shared" si="17"/>
        <v>0</v>
      </c>
      <c r="M34" s="61">
        <f t="shared" si="17"/>
        <v>35</v>
      </c>
      <c r="N34" s="61">
        <f t="shared" si="17"/>
        <v>56</v>
      </c>
      <c r="O34" s="61">
        <f t="shared" si="17"/>
        <v>27</v>
      </c>
      <c r="P34" s="61">
        <f t="shared" si="17"/>
        <v>0</v>
      </c>
      <c r="Q34" s="61">
        <f t="shared" si="17"/>
        <v>0</v>
      </c>
      <c r="R34" s="29">
        <f t="shared" si="8"/>
        <v>0</v>
      </c>
      <c r="S34" s="61">
        <f t="shared" si="17"/>
        <v>0</v>
      </c>
      <c r="T34" s="61">
        <f t="shared" si="17"/>
        <v>0</v>
      </c>
      <c r="U34" s="29">
        <f t="shared" si="9"/>
        <v>0</v>
      </c>
    </row>
    <row r="35" spans="1:21" s="46" customFormat="1" ht="12" customHeight="1">
      <c r="A35" s="6" t="s">
        <v>82</v>
      </c>
      <c r="B35" s="1256" t="s">
        <v>152</v>
      </c>
      <c r="C35" s="1256"/>
      <c r="D35" s="58">
        <f>+D34+D28+D25+D17+D14</f>
        <v>3492</v>
      </c>
      <c r="E35" s="58">
        <f>+E34+E28+E25+E17+E14</f>
        <v>3494</v>
      </c>
      <c r="F35" s="58">
        <f t="shared" ref="F35:U35" si="18">+F34+F28+F25+F17+F14</f>
        <v>2484</v>
      </c>
      <c r="G35" s="58">
        <f t="shared" si="18"/>
        <v>340</v>
      </c>
      <c r="H35" s="58">
        <f t="shared" si="18"/>
        <v>546</v>
      </c>
      <c r="I35" s="58">
        <f t="shared" si="18"/>
        <v>545</v>
      </c>
      <c r="J35" s="58">
        <f t="shared" si="18"/>
        <v>497</v>
      </c>
      <c r="K35" s="58">
        <f t="shared" si="18"/>
        <v>497</v>
      </c>
      <c r="L35" s="58">
        <f t="shared" si="18"/>
        <v>496</v>
      </c>
      <c r="M35" s="58">
        <f t="shared" si="18"/>
        <v>1955</v>
      </c>
      <c r="N35" s="58">
        <f t="shared" si="18"/>
        <v>1751</v>
      </c>
      <c r="O35" s="58">
        <f t="shared" si="18"/>
        <v>1153</v>
      </c>
      <c r="P35" s="58">
        <f t="shared" si="18"/>
        <v>500</v>
      </c>
      <c r="Q35" s="58">
        <f t="shared" si="18"/>
        <v>500</v>
      </c>
      <c r="R35" s="58">
        <f t="shared" si="18"/>
        <v>200</v>
      </c>
      <c r="S35" s="58">
        <f t="shared" si="18"/>
        <v>200</v>
      </c>
      <c r="T35" s="58">
        <f t="shared" si="18"/>
        <v>200</v>
      </c>
      <c r="U35" s="58">
        <f t="shared" si="18"/>
        <v>90</v>
      </c>
    </row>
    <row r="36" spans="1:21" ht="9.75" customHeight="1">
      <c r="A36" s="7"/>
      <c r="B36" s="8"/>
      <c r="C36" s="8"/>
      <c r="D36" s="30"/>
      <c r="E36" s="30"/>
      <c r="F36" s="31"/>
      <c r="G36" s="30"/>
      <c r="H36" s="30"/>
      <c r="I36" s="31"/>
      <c r="J36" s="30"/>
      <c r="K36" s="30"/>
      <c r="L36" s="31"/>
      <c r="M36" s="30"/>
      <c r="N36" s="30"/>
      <c r="O36" s="29">
        <f t="shared" si="11"/>
        <v>0</v>
      </c>
      <c r="P36" s="30"/>
      <c r="Q36" s="30"/>
      <c r="R36" s="31"/>
      <c r="S36" s="30"/>
      <c r="T36" s="30"/>
      <c r="U36" s="31"/>
    </row>
    <row r="37" spans="1:21" ht="12" customHeight="1">
      <c r="A37" s="12" t="s">
        <v>111</v>
      </c>
      <c r="B37" s="1255" t="s">
        <v>110</v>
      </c>
      <c r="C37" s="1255"/>
      <c r="D37" s="32">
        <f t="shared" ref="D37" si="19">+G37+J37+M37+S37</f>
        <v>0</v>
      </c>
      <c r="E37" s="32">
        <f t="shared" ref="E37" si="20">+H37+K37+N37+T37</f>
        <v>0</v>
      </c>
      <c r="F37" s="32">
        <f t="shared" ref="F37" si="21">+I37+L37+O37+U37</f>
        <v>0</v>
      </c>
      <c r="G37" s="32"/>
      <c r="H37" s="32"/>
      <c r="I37" s="32">
        <f>+G37+H37</f>
        <v>0</v>
      </c>
      <c r="J37" s="32"/>
      <c r="K37" s="32"/>
      <c r="L37" s="32"/>
      <c r="M37" s="32"/>
      <c r="N37" s="32"/>
      <c r="O37" s="29">
        <f t="shared" si="11"/>
        <v>0</v>
      </c>
      <c r="P37" s="32"/>
      <c r="Q37" s="32"/>
      <c r="R37" s="32"/>
      <c r="S37" s="32"/>
      <c r="T37" s="32"/>
      <c r="U37" s="32"/>
    </row>
    <row r="38" spans="1:21" ht="12" customHeight="1">
      <c r="A38" s="3" t="s">
        <v>112</v>
      </c>
      <c r="B38" s="1253" t="s">
        <v>163</v>
      </c>
      <c r="C38" s="1253"/>
      <c r="D38" s="32">
        <f t="shared" ref="D38:D44" si="22">+G38+J38+M38+S38</f>
        <v>0</v>
      </c>
      <c r="E38" s="32">
        <f t="shared" ref="E38:E44" si="23">+H38+K38+N38+T38</f>
        <v>0</v>
      </c>
      <c r="F38" s="32">
        <f t="shared" ref="F38:F44" si="24">+I38+L38+O38+U38</f>
        <v>0</v>
      </c>
      <c r="G38" s="29"/>
      <c r="H38" s="29"/>
      <c r="I38" s="32">
        <f t="shared" ref="I38:I43" si="25">+G38+H38</f>
        <v>0</v>
      </c>
      <c r="J38" s="29"/>
      <c r="K38" s="29"/>
      <c r="L38" s="29"/>
      <c r="M38" s="29"/>
      <c r="N38" s="29"/>
      <c r="O38" s="29">
        <f t="shared" si="11"/>
        <v>0</v>
      </c>
      <c r="P38" s="29"/>
      <c r="Q38" s="29"/>
      <c r="R38" s="29"/>
      <c r="S38" s="29"/>
      <c r="T38" s="29"/>
      <c r="U38" s="29"/>
    </row>
    <row r="39" spans="1:21" s="42" customFormat="1" ht="12" customHeight="1">
      <c r="A39" s="38" t="s">
        <v>112</v>
      </c>
      <c r="B39" s="41"/>
      <c r="C39" s="44" t="s">
        <v>113</v>
      </c>
      <c r="D39" s="32">
        <f t="shared" si="22"/>
        <v>0</v>
      </c>
      <c r="E39" s="32">
        <f t="shared" si="23"/>
        <v>0</v>
      </c>
      <c r="F39" s="32">
        <f t="shared" si="24"/>
        <v>0</v>
      </c>
      <c r="G39" s="55"/>
      <c r="H39" s="55"/>
      <c r="I39" s="32">
        <f t="shared" si="25"/>
        <v>0</v>
      </c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</row>
    <row r="40" spans="1:21" ht="12" customHeight="1">
      <c r="A40" s="3" t="s">
        <v>115</v>
      </c>
      <c r="B40" s="1253" t="s">
        <v>114</v>
      </c>
      <c r="C40" s="1253"/>
      <c r="D40" s="32">
        <f t="shared" si="22"/>
        <v>197</v>
      </c>
      <c r="E40" s="32">
        <f t="shared" si="23"/>
        <v>196</v>
      </c>
      <c r="F40" s="32">
        <f t="shared" si="24"/>
        <v>196</v>
      </c>
      <c r="G40" s="29">
        <v>197</v>
      </c>
      <c r="H40" s="29">
        <v>196</v>
      </c>
      <c r="I40" s="32">
        <v>196</v>
      </c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</row>
    <row r="41" spans="1:21" ht="12" customHeight="1">
      <c r="A41" s="3" t="s">
        <v>117</v>
      </c>
      <c r="B41" s="1253" t="s">
        <v>116</v>
      </c>
      <c r="C41" s="1253"/>
      <c r="D41" s="32">
        <f t="shared" si="22"/>
        <v>102</v>
      </c>
      <c r="E41" s="32">
        <f t="shared" si="23"/>
        <v>82</v>
      </c>
      <c r="F41" s="32">
        <f t="shared" si="24"/>
        <v>79</v>
      </c>
      <c r="G41" s="29">
        <v>102</v>
      </c>
      <c r="H41" s="29">
        <v>82</v>
      </c>
      <c r="I41" s="32">
        <v>79</v>
      </c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</row>
    <row r="42" spans="1:21" ht="12" customHeight="1">
      <c r="A42" s="3" t="s">
        <v>119</v>
      </c>
      <c r="B42" s="1253" t="s">
        <v>118</v>
      </c>
      <c r="C42" s="1253"/>
      <c r="D42" s="32">
        <f t="shared" si="22"/>
        <v>0</v>
      </c>
      <c r="E42" s="32">
        <f t="shared" si="23"/>
        <v>0</v>
      </c>
      <c r="F42" s="32">
        <f t="shared" si="24"/>
        <v>0</v>
      </c>
      <c r="G42" s="29"/>
      <c r="H42" s="29"/>
      <c r="I42" s="32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</row>
    <row r="43" spans="1:21" ht="12" customHeight="1">
      <c r="A43" s="3" t="s">
        <v>121</v>
      </c>
      <c r="B43" s="1253" t="s">
        <v>120</v>
      </c>
      <c r="C43" s="1253"/>
      <c r="D43" s="32">
        <f t="shared" si="22"/>
        <v>0</v>
      </c>
      <c r="E43" s="32">
        <f t="shared" si="23"/>
        <v>0</v>
      </c>
      <c r="F43" s="32">
        <f t="shared" si="24"/>
        <v>0</v>
      </c>
      <c r="G43" s="29"/>
      <c r="H43" s="29"/>
      <c r="I43" s="32">
        <f t="shared" si="25"/>
        <v>0</v>
      </c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</row>
    <row r="44" spans="1:21" ht="12" customHeight="1">
      <c r="A44" s="3" t="s">
        <v>123</v>
      </c>
      <c r="B44" s="1253" t="s">
        <v>122</v>
      </c>
      <c r="C44" s="1253"/>
      <c r="D44" s="32">
        <f t="shared" si="22"/>
        <v>81</v>
      </c>
      <c r="E44" s="32">
        <f t="shared" si="23"/>
        <v>74</v>
      </c>
      <c r="F44" s="32">
        <f t="shared" si="24"/>
        <v>74</v>
      </c>
      <c r="G44" s="29">
        <v>81</v>
      </c>
      <c r="H44" s="29">
        <v>74</v>
      </c>
      <c r="I44" s="32">
        <v>74</v>
      </c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</row>
    <row r="45" spans="1:21" s="46" customFormat="1" ht="12" customHeight="1">
      <c r="A45" s="6" t="s">
        <v>124</v>
      </c>
      <c r="B45" s="1256" t="s">
        <v>162</v>
      </c>
      <c r="C45" s="1256"/>
      <c r="D45" s="58">
        <f>+D44+D43+D42+D41+D40+D38+D37</f>
        <v>380</v>
      </c>
      <c r="E45" s="58">
        <f>+E44+E43+E42+E41+E40+E38+E37</f>
        <v>352</v>
      </c>
      <c r="F45" s="58">
        <f>+F44+F43+F42+F41+F40+F38+F37</f>
        <v>349</v>
      </c>
      <c r="G45" s="58">
        <f>+G44+G43+G42+G41+G40+G38+G37</f>
        <v>380</v>
      </c>
      <c r="H45" s="58">
        <f t="shared" ref="H45:U45" si="26">+H44+H43+H42+H41+H40+H38+H37</f>
        <v>352</v>
      </c>
      <c r="I45" s="58">
        <f t="shared" si="26"/>
        <v>349</v>
      </c>
      <c r="J45" s="58">
        <f t="shared" si="26"/>
        <v>0</v>
      </c>
      <c r="K45" s="58">
        <f t="shared" si="26"/>
        <v>0</v>
      </c>
      <c r="L45" s="58">
        <f t="shared" si="26"/>
        <v>0</v>
      </c>
      <c r="M45" s="58">
        <f t="shared" si="26"/>
        <v>0</v>
      </c>
      <c r="N45" s="58">
        <f t="shared" si="26"/>
        <v>0</v>
      </c>
      <c r="O45" s="58">
        <f t="shared" si="26"/>
        <v>0</v>
      </c>
      <c r="P45" s="58">
        <f t="shared" si="26"/>
        <v>0</v>
      </c>
      <c r="Q45" s="58">
        <f t="shared" si="26"/>
        <v>0</v>
      </c>
      <c r="R45" s="58">
        <f t="shared" si="26"/>
        <v>0</v>
      </c>
      <c r="S45" s="58">
        <f t="shared" si="26"/>
        <v>0</v>
      </c>
      <c r="T45" s="58">
        <f t="shared" si="26"/>
        <v>0</v>
      </c>
      <c r="U45" s="58">
        <f t="shared" si="26"/>
        <v>0</v>
      </c>
    </row>
    <row r="46" spans="1:21" ht="9" customHeight="1">
      <c r="A46" s="7"/>
      <c r="B46" s="8"/>
      <c r="C46" s="8"/>
      <c r="D46" s="30"/>
      <c r="E46" s="30"/>
      <c r="F46" s="31"/>
      <c r="G46" s="30"/>
      <c r="H46" s="30"/>
      <c r="I46" s="31"/>
      <c r="J46" s="30"/>
      <c r="K46" s="30"/>
      <c r="L46" s="31"/>
      <c r="M46" s="30"/>
      <c r="N46" s="30"/>
      <c r="O46" s="31"/>
      <c r="P46" s="30"/>
      <c r="Q46" s="30"/>
      <c r="R46" s="31"/>
      <c r="S46" s="30"/>
      <c r="T46" s="30"/>
      <c r="U46" s="31"/>
    </row>
    <row r="47" spans="1:21" ht="12" hidden="1" customHeight="1">
      <c r="A47" s="3" t="s">
        <v>126</v>
      </c>
      <c r="B47" s="1253" t="s">
        <v>125</v>
      </c>
      <c r="C47" s="125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</row>
    <row r="48" spans="1:21" ht="12" hidden="1" customHeight="1">
      <c r="A48" s="3" t="s">
        <v>128</v>
      </c>
      <c r="B48" s="1253" t="s">
        <v>127</v>
      </c>
      <c r="C48" s="125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</row>
    <row r="49" spans="1:21" ht="12" hidden="1" customHeight="1">
      <c r="A49" s="3" t="s">
        <v>130</v>
      </c>
      <c r="B49" s="1253" t="s">
        <v>129</v>
      </c>
      <c r="C49" s="1253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</row>
    <row r="50" spans="1:21" ht="12" hidden="1" customHeight="1">
      <c r="A50" s="3" t="s">
        <v>132</v>
      </c>
      <c r="B50" s="1253" t="s">
        <v>131</v>
      </c>
      <c r="C50" s="1253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</row>
    <row r="51" spans="1:21" s="46" customFormat="1" ht="12" customHeight="1">
      <c r="A51" s="6" t="s">
        <v>133</v>
      </c>
      <c r="B51" s="1256" t="s">
        <v>161</v>
      </c>
      <c r="C51" s="1256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</row>
    <row r="52" spans="1:21" ht="7.5" customHeight="1">
      <c r="A52" s="7"/>
      <c r="B52" s="8"/>
      <c r="C52" s="8"/>
      <c r="D52" s="30"/>
      <c r="E52" s="30"/>
      <c r="F52" s="31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</row>
    <row r="53" spans="1:21" ht="12" hidden="1" customHeight="1">
      <c r="A53" s="188" t="s">
        <v>389</v>
      </c>
      <c r="B53" s="1255" t="s">
        <v>390</v>
      </c>
      <c r="C53" s="1255"/>
      <c r="D53" s="189"/>
      <c r="E53" s="189"/>
      <c r="F53" s="190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</row>
    <row r="54" spans="1:21" ht="12" hidden="1" customHeight="1">
      <c r="A54" s="188" t="s">
        <v>405</v>
      </c>
      <c r="B54" s="1270" t="s">
        <v>406</v>
      </c>
      <c r="C54" s="1271"/>
      <c r="D54" s="189"/>
      <c r="E54" s="189"/>
      <c r="F54" s="190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</row>
    <row r="55" spans="1:21" ht="12" hidden="1" customHeight="1">
      <c r="A55" s="12" t="s">
        <v>134</v>
      </c>
      <c r="B55" s="1255" t="s">
        <v>160</v>
      </c>
      <c r="C55" s="125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</row>
    <row r="56" spans="1:21" s="46" customFormat="1" ht="12" customHeight="1">
      <c r="A56" s="14" t="s">
        <v>135</v>
      </c>
      <c r="B56" s="1272" t="s">
        <v>159</v>
      </c>
      <c r="C56" s="1272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</row>
    <row r="57" spans="1:21" ht="12" customHeight="1">
      <c r="A57" s="7"/>
      <c r="B57" s="15"/>
      <c r="C57" s="15"/>
      <c r="D57" s="30"/>
      <c r="E57" s="30"/>
      <c r="F57" s="31"/>
      <c r="G57" s="30"/>
      <c r="H57" s="30"/>
      <c r="I57" s="31"/>
      <c r="J57" s="30"/>
      <c r="K57" s="30"/>
      <c r="L57" s="31"/>
      <c r="M57" s="30"/>
      <c r="N57" s="30"/>
      <c r="O57" s="31"/>
      <c r="P57" s="30"/>
      <c r="Q57" s="30"/>
      <c r="R57" s="31"/>
      <c r="S57" s="30"/>
      <c r="T57" s="30"/>
      <c r="U57" s="31"/>
    </row>
    <row r="58" spans="1:21" s="46" customFormat="1" ht="12" customHeight="1">
      <c r="A58" s="16" t="s">
        <v>136</v>
      </c>
      <c r="B58" s="1273" t="s">
        <v>158</v>
      </c>
      <c r="C58" s="1273"/>
      <c r="D58" s="57">
        <f t="shared" ref="D58:U58" si="27">+D56+D51+D45+D35+D9+D7</f>
        <v>14926</v>
      </c>
      <c r="E58" s="57">
        <f t="shared" si="27"/>
        <v>16361</v>
      </c>
      <c r="F58" s="57">
        <f t="shared" si="27"/>
        <v>15287</v>
      </c>
      <c r="G58" s="57">
        <f t="shared" si="27"/>
        <v>8607</v>
      </c>
      <c r="H58" s="57">
        <f t="shared" si="27"/>
        <v>9932</v>
      </c>
      <c r="I58" s="57">
        <f t="shared" si="27"/>
        <v>9920</v>
      </c>
      <c r="J58" s="57">
        <f t="shared" si="27"/>
        <v>3664</v>
      </c>
      <c r="K58" s="57">
        <f t="shared" si="27"/>
        <v>3624</v>
      </c>
      <c r="L58" s="57">
        <f t="shared" si="27"/>
        <v>3596</v>
      </c>
      <c r="M58" s="57">
        <f t="shared" si="27"/>
        <v>1955</v>
      </c>
      <c r="N58" s="57">
        <f t="shared" si="27"/>
        <v>2105</v>
      </c>
      <c r="O58" s="57">
        <f t="shared" si="27"/>
        <v>1481</v>
      </c>
      <c r="P58" s="57">
        <f t="shared" si="27"/>
        <v>500</v>
      </c>
      <c r="Q58" s="57">
        <f t="shared" si="27"/>
        <v>500</v>
      </c>
      <c r="R58" s="57">
        <f t="shared" si="27"/>
        <v>200</v>
      </c>
      <c r="S58" s="57">
        <f t="shared" si="27"/>
        <v>200</v>
      </c>
      <c r="T58" s="57">
        <f t="shared" si="27"/>
        <v>200</v>
      </c>
      <c r="U58" s="57">
        <f t="shared" si="27"/>
        <v>90</v>
      </c>
    </row>
  </sheetData>
  <mergeCells count="61">
    <mergeCell ref="B55:C55"/>
    <mergeCell ref="B58:C58"/>
    <mergeCell ref="G3:I3"/>
    <mergeCell ref="J3:L3"/>
    <mergeCell ref="B38:C38"/>
    <mergeCell ref="B48:C48"/>
    <mergeCell ref="B49:C49"/>
    <mergeCell ref="B50:C50"/>
    <mergeCell ref="B56:C56"/>
    <mergeCell ref="B40:C40"/>
    <mergeCell ref="B37:C37"/>
    <mergeCell ref="B53:C53"/>
    <mergeCell ref="B42:C42"/>
    <mergeCell ref="B43:C43"/>
    <mergeCell ref="B44:C44"/>
    <mergeCell ref="B51:C51"/>
    <mergeCell ref="B31:C31"/>
    <mergeCell ref="B41:C41"/>
    <mergeCell ref="B45:C45"/>
    <mergeCell ref="B47:C47"/>
    <mergeCell ref="B34:C34"/>
    <mergeCell ref="B35:C35"/>
    <mergeCell ref="S1:U1"/>
    <mergeCell ref="B5:C5"/>
    <mergeCell ref="B19:C19"/>
    <mergeCell ref="B6:C6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A2:A4"/>
    <mergeCell ref="B2:C4"/>
    <mergeCell ref="G2:I2"/>
    <mergeCell ref="J2:L2"/>
    <mergeCell ref="S3:U3"/>
    <mergeCell ref="P3:R3"/>
    <mergeCell ref="M3:O3"/>
    <mergeCell ref="M2:O2"/>
    <mergeCell ref="P2:R2"/>
    <mergeCell ref="B54:C54"/>
    <mergeCell ref="B20:C20"/>
    <mergeCell ref="B21:C21"/>
    <mergeCell ref="S2:U2"/>
    <mergeCell ref="D2:F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3:C33"/>
    <mergeCell ref="B32:C32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63" orientation="landscape" r:id="rId1"/>
  <headerFooter>
    <oddHeader>&amp;C&amp;"Times New Roman,Félkövér"&amp;12Martonvásár Város Önkormányzatának kiadásai 2015. 
Védőnői, iskola egészségügyi feladatok ellátása&amp;R&amp;"Times New Roman,Normál"&amp;10 5/d. melléklet</oddHead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0"/>
  <sheetViews>
    <sheetView view="pageLayout" workbookViewId="0">
      <selection activeCell="A2" sqref="A2:K10"/>
    </sheetView>
  </sheetViews>
  <sheetFormatPr defaultRowHeight="12.75"/>
  <cols>
    <col min="1" max="1" width="7.5703125" style="423" customWidth="1"/>
    <col min="2" max="2" width="25.42578125" style="422" customWidth="1"/>
    <col min="3" max="3" width="7.42578125" style="422" customWidth="1"/>
    <col min="4" max="4" width="6.5703125" style="422" customWidth="1"/>
    <col min="5" max="5" width="7.7109375" style="422" customWidth="1"/>
    <col min="6" max="6" width="7.42578125" style="422" customWidth="1"/>
    <col min="7" max="7" width="6.5703125" style="422" customWidth="1"/>
    <col min="8" max="8" width="7.85546875" style="422" customWidth="1"/>
    <col min="9" max="9" width="7" style="422" customWidth="1"/>
    <col min="10" max="10" width="8.28515625" style="422" customWidth="1"/>
    <col min="11" max="11" width="7.7109375" style="422" customWidth="1"/>
    <col min="12" max="16384" width="9.140625" style="422"/>
  </cols>
  <sheetData>
    <row r="1" spans="1:21" ht="12" customHeight="1"/>
    <row r="2" spans="1:21" s="426" customFormat="1" ht="28.5" customHeight="1">
      <c r="A2" s="1283" t="s">
        <v>285</v>
      </c>
      <c r="B2" s="1284"/>
      <c r="C2" s="1279" t="s">
        <v>56</v>
      </c>
      <c r="D2" s="1279"/>
      <c r="E2" s="1279"/>
      <c r="F2" s="1279" t="s">
        <v>518</v>
      </c>
      <c r="G2" s="1279"/>
      <c r="H2" s="1279"/>
      <c r="I2" s="1280" t="s">
        <v>179</v>
      </c>
      <c r="J2" s="1281"/>
      <c r="K2" s="1282"/>
      <c r="L2" s="422"/>
      <c r="M2" s="422"/>
      <c r="N2" s="422"/>
      <c r="O2" s="422"/>
      <c r="P2" s="422"/>
      <c r="Q2" s="422"/>
      <c r="R2" s="422"/>
      <c r="S2" s="422"/>
      <c r="T2" s="422"/>
      <c r="U2" s="422"/>
    </row>
    <row r="3" spans="1:21" s="426" customFormat="1" ht="25.5">
      <c r="A3" s="1266" t="s">
        <v>516</v>
      </c>
      <c r="B3" s="1268"/>
      <c r="C3" s="549" t="s">
        <v>178</v>
      </c>
      <c r="D3" s="550" t="s">
        <v>672</v>
      </c>
      <c r="E3" s="550" t="s">
        <v>745</v>
      </c>
      <c r="F3" s="549" t="s">
        <v>178</v>
      </c>
      <c r="G3" s="550" t="s">
        <v>672</v>
      </c>
      <c r="H3" s="550" t="s">
        <v>745</v>
      </c>
      <c r="I3" s="549" t="s">
        <v>178</v>
      </c>
      <c r="J3" s="550" t="s">
        <v>672</v>
      </c>
      <c r="K3" s="550" t="s">
        <v>745</v>
      </c>
      <c r="L3" s="422"/>
      <c r="M3" s="422"/>
      <c r="N3" s="422"/>
      <c r="O3" s="422"/>
      <c r="P3" s="422"/>
      <c r="Q3" s="422"/>
      <c r="R3" s="422"/>
      <c r="S3" s="422"/>
      <c r="T3" s="422"/>
      <c r="U3" s="422"/>
    </row>
    <row r="4" spans="1:21" s="426" customFormat="1" ht="25.5">
      <c r="A4" s="424" t="s">
        <v>519</v>
      </c>
      <c r="B4" s="425" t="s">
        <v>520</v>
      </c>
      <c r="C4" s="436"/>
      <c r="D4" s="436"/>
      <c r="E4" s="436">
        <f>+C4+D4</f>
        <v>0</v>
      </c>
      <c r="F4" s="436">
        <v>779</v>
      </c>
      <c r="G4" s="436">
        <v>779</v>
      </c>
      <c r="H4" s="436"/>
      <c r="I4" s="439">
        <f>+C4+F4</f>
        <v>779</v>
      </c>
      <c r="J4" s="439">
        <f>+D4+G4</f>
        <v>779</v>
      </c>
      <c r="K4" s="439">
        <f>+E4+H4</f>
        <v>0</v>
      </c>
    </row>
    <row r="5" spans="1:21" s="426" customFormat="1" ht="25.5">
      <c r="A5" s="424" t="s">
        <v>521</v>
      </c>
      <c r="B5" s="425" t="s">
        <v>522</v>
      </c>
      <c r="C5" s="436"/>
      <c r="D5" s="436"/>
      <c r="E5" s="436">
        <f t="shared" ref="E5:E9" si="0">+C5+D5</f>
        <v>0</v>
      </c>
      <c r="F5" s="436">
        <v>0</v>
      </c>
      <c r="G5" s="436">
        <v>1586</v>
      </c>
      <c r="H5" s="436">
        <v>1585</v>
      </c>
      <c r="I5" s="439">
        <f t="shared" ref="I5:K9" si="1">+C5+F5</f>
        <v>0</v>
      </c>
      <c r="J5" s="439">
        <f t="shared" si="1"/>
        <v>1586</v>
      </c>
      <c r="K5" s="439">
        <f t="shared" si="1"/>
        <v>1585</v>
      </c>
    </row>
    <row r="6" spans="1:21" s="426" customFormat="1" ht="25.5">
      <c r="A6" s="424" t="s">
        <v>523</v>
      </c>
      <c r="B6" s="425" t="s">
        <v>524</v>
      </c>
      <c r="C6" s="436"/>
      <c r="D6" s="436"/>
      <c r="E6" s="436">
        <f t="shared" si="0"/>
        <v>0</v>
      </c>
      <c r="F6" s="436">
        <v>2432</v>
      </c>
      <c r="G6" s="436">
        <v>2432</v>
      </c>
      <c r="H6" s="436">
        <v>2133</v>
      </c>
      <c r="I6" s="439">
        <f t="shared" si="1"/>
        <v>2432</v>
      </c>
      <c r="J6" s="439">
        <f t="shared" si="1"/>
        <v>2432</v>
      </c>
      <c r="K6" s="439">
        <f t="shared" si="1"/>
        <v>2133</v>
      </c>
    </row>
    <row r="7" spans="1:21" s="426" customFormat="1" ht="25.5">
      <c r="A7" s="424" t="s">
        <v>525</v>
      </c>
      <c r="B7" s="425" t="s">
        <v>526</v>
      </c>
      <c r="C7" s="436"/>
      <c r="D7" s="436"/>
      <c r="E7" s="436">
        <f t="shared" si="0"/>
        <v>0</v>
      </c>
      <c r="F7" s="436">
        <v>692</v>
      </c>
      <c r="G7" s="436">
        <v>1505</v>
      </c>
      <c r="H7" s="436">
        <v>1442</v>
      </c>
      <c r="I7" s="439">
        <f t="shared" si="1"/>
        <v>692</v>
      </c>
      <c r="J7" s="439">
        <f t="shared" si="1"/>
        <v>1505</v>
      </c>
      <c r="K7" s="439">
        <f t="shared" si="1"/>
        <v>1442</v>
      </c>
    </row>
    <row r="8" spans="1:21">
      <c r="A8" s="424" t="s">
        <v>527</v>
      </c>
      <c r="B8" s="425" t="s">
        <v>528</v>
      </c>
      <c r="C8" s="436">
        <v>1500</v>
      </c>
      <c r="D8" s="436">
        <v>1500</v>
      </c>
      <c r="E8" s="436">
        <v>1481</v>
      </c>
      <c r="F8" s="436"/>
      <c r="G8" s="436"/>
      <c r="H8" s="436">
        <f t="shared" ref="H8" si="2">+F8+G8</f>
        <v>0</v>
      </c>
      <c r="I8" s="439">
        <f t="shared" si="1"/>
        <v>1500</v>
      </c>
      <c r="J8" s="439">
        <f t="shared" si="1"/>
        <v>1500</v>
      </c>
      <c r="K8" s="439">
        <f t="shared" si="1"/>
        <v>1481</v>
      </c>
      <c r="L8" s="426"/>
      <c r="M8" s="426"/>
      <c r="N8" s="426"/>
      <c r="O8" s="426"/>
      <c r="P8" s="426"/>
      <c r="Q8" s="426"/>
      <c r="R8" s="426"/>
      <c r="S8" s="426"/>
      <c r="T8" s="426"/>
      <c r="U8" s="426"/>
    </row>
    <row r="9" spans="1:21" ht="25.5">
      <c r="A9" s="424" t="s">
        <v>529</v>
      </c>
      <c r="B9" s="425" t="s">
        <v>530</v>
      </c>
      <c r="C9" s="436"/>
      <c r="D9" s="436"/>
      <c r="E9" s="436">
        <f t="shared" si="0"/>
        <v>0</v>
      </c>
      <c r="F9" s="436">
        <f>1410+16608</f>
        <v>18018</v>
      </c>
      <c r="G9" s="436">
        <v>17210</v>
      </c>
      <c r="H9" s="436">
        <v>17773</v>
      </c>
      <c r="I9" s="439">
        <f t="shared" si="1"/>
        <v>18018</v>
      </c>
      <c r="J9" s="439">
        <f t="shared" si="1"/>
        <v>17210</v>
      </c>
      <c r="K9" s="439">
        <f t="shared" si="1"/>
        <v>17773</v>
      </c>
      <c r="L9" s="426"/>
      <c r="M9" s="426"/>
      <c r="N9" s="426"/>
      <c r="O9" s="426"/>
      <c r="P9" s="426"/>
      <c r="Q9" s="426"/>
      <c r="R9" s="426"/>
      <c r="S9" s="426"/>
      <c r="T9" s="426"/>
      <c r="U9" s="426"/>
    </row>
    <row r="10" spans="1:21" ht="19.5" customHeight="1">
      <c r="A10" s="1277" t="s">
        <v>179</v>
      </c>
      <c r="B10" s="1278"/>
      <c r="C10" s="440">
        <f>SUM(C4:C9)</f>
        <v>1500</v>
      </c>
      <c r="D10" s="440">
        <f t="shared" ref="D10:K10" si="3">SUM(D4:D9)</f>
        <v>1500</v>
      </c>
      <c r="E10" s="440">
        <f t="shared" si="3"/>
        <v>1481</v>
      </c>
      <c r="F10" s="440">
        <f t="shared" si="3"/>
        <v>21921</v>
      </c>
      <c r="G10" s="440">
        <f t="shared" si="3"/>
        <v>23512</v>
      </c>
      <c r="H10" s="440">
        <f t="shared" si="3"/>
        <v>22933</v>
      </c>
      <c r="I10" s="440">
        <f t="shared" si="3"/>
        <v>23421</v>
      </c>
      <c r="J10" s="440">
        <f t="shared" si="3"/>
        <v>25012</v>
      </c>
      <c r="K10" s="440">
        <f t="shared" si="3"/>
        <v>24414</v>
      </c>
    </row>
  </sheetData>
  <mergeCells count="6">
    <mergeCell ref="A3:B3"/>
    <mergeCell ref="A10:B10"/>
    <mergeCell ref="F2:H2"/>
    <mergeCell ref="I2:K2"/>
    <mergeCell ref="C2:E2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&amp;C&amp;"Times New Roman,Félkövér"&amp;12Martonvásár Város Önkormányzatának kiadásai 2015. 
Szociális feladatok ellátása&amp;R&amp;"Times New Roman,Normál"&amp;10 5/e. 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2"/>
  <sheetViews>
    <sheetView view="pageLayout" topLeftCell="A13" workbookViewId="0">
      <selection activeCell="B38" sqref="B38"/>
    </sheetView>
  </sheetViews>
  <sheetFormatPr defaultRowHeight="12.75"/>
  <cols>
    <col min="1" max="1" width="7.5703125" style="423" customWidth="1"/>
    <col min="2" max="2" width="45.7109375" style="422" customWidth="1"/>
    <col min="3" max="3" width="7.42578125" style="422" customWidth="1"/>
    <col min="4" max="4" width="8.28515625" style="422" customWidth="1"/>
    <col min="5" max="5" width="8.7109375" style="422" bestFit="1" customWidth="1"/>
    <col min="6" max="6" width="7.140625" style="422" customWidth="1"/>
    <col min="7" max="7" width="7.42578125" style="422" customWidth="1"/>
    <col min="8" max="10" width="8.28515625" style="422" customWidth="1"/>
    <col min="11" max="11" width="10.140625" style="422" customWidth="1"/>
    <col min="12" max="14" width="7.42578125" style="422" customWidth="1"/>
    <col min="15" max="15" width="7.140625" style="422" customWidth="1"/>
    <col min="16" max="16" width="8.140625" style="422" customWidth="1"/>
    <col min="17" max="17" width="7.85546875" style="422" customWidth="1"/>
    <col min="18" max="16384" width="9.140625" style="422"/>
  </cols>
  <sheetData>
    <row r="1" spans="1:17">
      <c r="A1" s="1293"/>
      <c r="B1" s="1294" t="s">
        <v>517</v>
      </c>
      <c r="C1" s="1295" t="s">
        <v>102</v>
      </c>
      <c r="D1" s="1295"/>
      <c r="E1" s="1295"/>
      <c r="F1" s="1295" t="s">
        <v>108</v>
      </c>
      <c r="G1" s="1295"/>
      <c r="H1" s="1295"/>
      <c r="I1" s="1296" t="s">
        <v>104</v>
      </c>
      <c r="J1" s="1297"/>
      <c r="K1" s="1298"/>
      <c r="L1" s="1295" t="s">
        <v>135</v>
      </c>
      <c r="M1" s="1295"/>
      <c r="N1" s="1295"/>
      <c r="O1" s="1285" t="s">
        <v>179</v>
      </c>
      <c r="P1" s="1286"/>
      <c r="Q1" s="1287"/>
    </row>
    <row r="2" spans="1:17" ht="45" customHeight="1">
      <c r="A2" s="1293"/>
      <c r="B2" s="1294"/>
      <c r="C2" s="1279" t="s">
        <v>667</v>
      </c>
      <c r="D2" s="1279"/>
      <c r="E2" s="1279"/>
      <c r="F2" s="1279" t="s">
        <v>511</v>
      </c>
      <c r="G2" s="1279"/>
      <c r="H2" s="1279"/>
      <c r="I2" s="1279" t="s">
        <v>782</v>
      </c>
      <c r="J2" s="1279"/>
      <c r="K2" s="1279"/>
      <c r="L2" s="1279" t="s">
        <v>571</v>
      </c>
      <c r="M2" s="1279"/>
      <c r="N2" s="1279"/>
      <c r="O2" s="1288"/>
      <c r="P2" s="1289"/>
      <c r="Q2" s="1290"/>
    </row>
    <row r="3" spans="1:17" ht="26.25" customHeight="1">
      <c r="A3" s="427" t="s">
        <v>516</v>
      </c>
      <c r="B3" s="428" t="s">
        <v>285</v>
      </c>
      <c r="C3" s="549" t="s">
        <v>178</v>
      </c>
      <c r="D3" s="550" t="s">
        <v>672</v>
      </c>
      <c r="E3" s="550" t="s">
        <v>745</v>
      </c>
      <c r="F3" s="549" t="s">
        <v>178</v>
      </c>
      <c r="G3" s="550" t="s">
        <v>672</v>
      </c>
      <c r="H3" s="550" t="s">
        <v>745</v>
      </c>
      <c r="I3" s="550" t="s">
        <v>178</v>
      </c>
      <c r="J3" s="550" t="s">
        <v>672</v>
      </c>
      <c r="K3" s="550" t="s">
        <v>745</v>
      </c>
      <c r="L3" s="550" t="s">
        <v>178</v>
      </c>
      <c r="M3" s="550" t="s">
        <v>672</v>
      </c>
      <c r="N3" s="550" t="s">
        <v>745</v>
      </c>
      <c r="O3" s="549" t="s">
        <v>178</v>
      </c>
      <c r="P3" s="550" t="s">
        <v>672</v>
      </c>
      <c r="Q3" s="550" t="s">
        <v>745</v>
      </c>
    </row>
    <row r="4" spans="1:17" s="426" customFormat="1" ht="15" customHeight="1">
      <c r="A4" s="424" t="s">
        <v>513</v>
      </c>
      <c r="B4" s="425" t="s">
        <v>514</v>
      </c>
      <c r="C4" s="436"/>
      <c r="D4" s="436"/>
      <c r="E4" s="436">
        <f>+C4+D4</f>
        <v>0</v>
      </c>
      <c r="F4" s="436">
        <v>2500</v>
      </c>
      <c r="G4" s="436">
        <v>5800</v>
      </c>
      <c r="H4" s="436">
        <v>6250</v>
      </c>
      <c r="I4" s="436"/>
      <c r="J4" s="436"/>
      <c r="K4" s="436"/>
      <c r="L4" s="436"/>
      <c r="M4" s="436"/>
      <c r="N4" s="436">
        <f>+L4+M4</f>
        <v>0</v>
      </c>
      <c r="O4" s="436">
        <f>+C4+F4+L4</f>
        <v>2500</v>
      </c>
      <c r="P4" s="436">
        <f>+D4+G4+M4</f>
        <v>5800</v>
      </c>
      <c r="Q4" s="436">
        <f>+E4+H4+N4</f>
        <v>6250</v>
      </c>
    </row>
    <row r="5" spans="1:17" s="426" customFormat="1">
      <c r="A5" s="424" t="s">
        <v>513</v>
      </c>
      <c r="B5" s="425" t="s">
        <v>537</v>
      </c>
      <c r="C5" s="436"/>
      <c r="D5" s="436"/>
      <c r="E5" s="436">
        <f t="shared" ref="E5:E40" si="0">+C5+D5</f>
        <v>0</v>
      </c>
      <c r="F5" s="436">
        <v>600</v>
      </c>
      <c r="G5" s="436">
        <v>600</v>
      </c>
      <c r="H5" s="436">
        <v>700</v>
      </c>
      <c r="I5" s="436"/>
      <c r="J5" s="436"/>
      <c r="K5" s="436"/>
      <c r="L5" s="436"/>
      <c r="M5" s="436"/>
      <c r="N5" s="436">
        <f t="shared" ref="N5:N40" si="1">+L5+M5</f>
        <v>0</v>
      </c>
      <c r="O5" s="436">
        <f t="shared" ref="O5:O40" si="2">+C5+F5+L5</f>
        <v>600</v>
      </c>
      <c r="P5" s="436">
        <f>+D5+G5+M5</f>
        <v>600</v>
      </c>
      <c r="Q5" s="436">
        <f>+E5+H5+N5</f>
        <v>700</v>
      </c>
    </row>
    <row r="6" spans="1:17" s="426" customFormat="1">
      <c r="A6" s="424" t="s">
        <v>513</v>
      </c>
      <c r="B6" s="425" t="s">
        <v>781</v>
      </c>
      <c r="C6" s="436"/>
      <c r="D6" s="436"/>
      <c r="E6" s="436"/>
      <c r="F6" s="436"/>
      <c r="G6" s="436"/>
      <c r="H6" s="436"/>
      <c r="I6" s="436"/>
      <c r="J6" s="436">
        <v>19500</v>
      </c>
      <c r="K6" s="436">
        <v>19500</v>
      </c>
      <c r="L6" s="436"/>
      <c r="M6" s="436"/>
      <c r="N6" s="436"/>
      <c r="O6" s="436"/>
      <c r="P6" s="436">
        <f>+D6+G6+M6+J6</f>
        <v>19500</v>
      </c>
      <c r="Q6" s="436">
        <f>+E6+H6+N6+K6</f>
        <v>19500</v>
      </c>
    </row>
    <row r="7" spans="1:17" s="426" customFormat="1" ht="15" customHeight="1">
      <c r="A7" s="424" t="s">
        <v>515</v>
      </c>
      <c r="B7" s="425" t="s">
        <v>501</v>
      </c>
      <c r="C7" s="436"/>
      <c r="D7" s="436"/>
      <c r="E7" s="436">
        <f t="shared" si="0"/>
        <v>0</v>
      </c>
      <c r="F7" s="436">
        <v>5500</v>
      </c>
      <c r="G7" s="436">
        <v>8500</v>
      </c>
      <c r="H7" s="436">
        <v>7810</v>
      </c>
      <c r="I7" s="436"/>
      <c r="J7" s="436"/>
      <c r="K7" s="436"/>
      <c r="L7" s="436"/>
      <c r="M7" s="436"/>
      <c r="N7" s="436">
        <f t="shared" si="1"/>
        <v>0</v>
      </c>
      <c r="O7" s="436">
        <f t="shared" si="2"/>
        <v>5500</v>
      </c>
      <c r="P7" s="436">
        <f t="shared" ref="P7:Q20" si="3">+D7+G7+M7</f>
        <v>8500</v>
      </c>
      <c r="Q7" s="436">
        <f t="shared" si="3"/>
        <v>7810</v>
      </c>
    </row>
    <row r="8" spans="1:17" s="426" customFormat="1" ht="15" customHeight="1">
      <c r="A8" s="424" t="s">
        <v>502</v>
      </c>
      <c r="B8" s="425" t="s">
        <v>661</v>
      </c>
      <c r="C8" s="436">
        <v>750</v>
      </c>
      <c r="D8" s="436">
        <v>750</v>
      </c>
      <c r="E8" s="436">
        <v>0</v>
      </c>
      <c r="F8" s="436"/>
      <c r="G8" s="436"/>
      <c r="H8" s="436">
        <f t="shared" ref="H8:H9" si="4">+F8+G8</f>
        <v>0</v>
      </c>
      <c r="I8" s="436"/>
      <c r="J8" s="436"/>
      <c r="K8" s="436"/>
      <c r="L8" s="436"/>
      <c r="M8" s="436"/>
      <c r="N8" s="436">
        <f t="shared" si="1"/>
        <v>0</v>
      </c>
      <c r="O8" s="436">
        <f t="shared" si="2"/>
        <v>750</v>
      </c>
      <c r="P8" s="436">
        <f t="shared" si="3"/>
        <v>750</v>
      </c>
      <c r="Q8" s="436">
        <f t="shared" si="3"/>
        <v>0</v>
      </c>
    </row>
    <row r="9" spans="1:17" s="426" customFormat="1" ht="15" customHeight="1">
      <c r="A9" s="424"/>
      <c r="B9" s="425" t="s">
        <v>531</v>
      </c>
      <c r="C9" s="436">
        <f>10268+215253+8550</f>
        <v>234071</v>
      </c>
      <c r="D9" s="436">
        <v>243684</v>
      </c>
      <c r="E9" s="807">
        <f>SUM(E10:E17)</f>
        <v>242422</v>
      </c>
      <c r="F9" s="436"/>
      <c r="G9" s="436"/>
      <c r="H9" s="436">
        <f t="shared" si="4"/>
        <v>0</v>
      </c>
      <c r="I9" s="436"/>
      <c r="J9" s="436"/>
      <c r="K9" s="436"/>
      <c r="L9" s="436"/>
      <c r="M9" s="436"/>
      <c r="N9" s="436">
        <f t="shared" si="1"/>
        <v>0</v>
      </c>
      <c r="O9" s="436">
        <f t="shared" si="2"/>
        <v>234071</v>
      </c>
      <c r="P9" s="436">
        <f t="shared" si="3"/>
        <v>243684</v>
      </c>
      <c r="Q9" s="436">
        <f>+E9+H9+N9</f>
        <v>242422</v>
      </c>
    </row>
    <row r="10" spans="1:17" s="426" customFormat="1" ht="15" customHeight="1">
      <c r="A10" s="572" t="s">
        <v>502</v>
      </c>
      <c r="B10" s="481" t="s">
        <v>832</v>
      </c>
      <c r="C10" s="483"/>
      <c r="D10" s="483"/>
      <c r="E10" s="826">
        <v>31131</v>
      </c>
      <c r="F10" s="483"/>
      <c r="G10" s="483"/>
      <c r="H10" s="483"/>
      <c r="I10" s="483"/>
      <c r="J10" s="483"/>
      <c r="K10" s="483"/>
      <c r="L10" s="483"/>
      <c r="M10" s="483"/>
      <c r="N10" s="483"/>
      <c r="O10" s="483"/>
      <c r="P10" s="483"/>
      <c r="Q10" s="483">
        <f t="shared" ref="Q10:Q17" si="5">+E10+H10+N10</f>
        <v>31131</v>
      </c>
    </row>
    <row r="11" spans="1:17" s="426" customFormat="1" ht="15" customHeight="1">
      <c r="A11" s="572" t="s">
        <v>831</v>
      </c>
      <c r="B11" s="481" t="s">
        <v>833</v>
      </c>
      <c r="C11" s="483"/>
      <c r="D11" s="483"/>
      <c r="E11" s="826">
        <v>155606</v>
      </c>
      <c r="F11" s="483"/>
      <c r="G11" s="483"/>
      <c r="H11" s="483"/>
      <c r="I11" s="483"/>
      <c r="J11" s="483"/>
      <c r="K11" s="483"/>
      <c r="L11" s="483"/>
      <c r="M11" s="483"/>
      <c r="N11" s="483"/>
      <c r="O11" s="483"/>
      <c r="P11" s="483"/>
      <c r="Q11" s="483">
        <f t="shared" si="5"/>
        <v>155606</v>
      </c>
    </row>
    <row r="12" spans="1:17" s="426" customFormat="1" ht="15" customHeight="1">
      <c r="A12" s="572" t="s">
        <v>834</v>
      </c>
      <c r="B12" s="481" t="s">
        <v>835</v>
      </c>
      <c r="C12" s="483"/>
      <c r="D12" s="483"/>
      <c r="E12" s="826">
        <v>4385</v>
      </c>
      <c r="F12" s="436"/>
      <c r="G12" s="436"/>
      <c r="H12" s="436"/>
      <c r="I12" s="436"/>
      <c r="J12" s="436"/>
      <c r="K12" s="436"/>
      <c r="L12" s="436"/>
      <c r="M12" s="436"/>
      <c r="N12" s="436"/>
      <c r="O12" s="436"/>
      <c r="P12" s="436"/>
      <c r="Q12" s="483">
        <f t="shared" si="5"/>
        <v>4385</v>
      </c>
    </row>
    <row r="13" spans="1:17" s="426" customFormat="1" ht="15" customHeight="1">
      <c r="A13" s="572" t="s">
        <v>836</v>
      </c>
      <c r="B13" s="481" t="s">
        <v>837</v>
      </c>
      <c r="C13" s="483"/>
      <c r="D13" s="483"/>
      <c r="E13" s="826">
        <v>1308</v>
      </c>
      <c r="F13" s="436"/>
      <c r="G13" s="436"/>
      <c r="H13" s="436"/>
      <c r="I13" s="436"/>
      <c r="J13" s="436"/>
      <c r="K13" s="436"/>
      <c r="L13" s="436"/>
      <c r="M13" s="436"/>
      <c r="N13" s="436"/>
      <c r="O13" s="436"/>
      <c r="P13" s="436"/>
      <c r="Q13" s="483">
        <f t="shared" si="5"/>
        <v>1308</v>
      </c>
    </row>
    <row r="14" spans="1:17" s="426" customFormat="1" ht="15" customHeight="1">
      <c r="A14" s="572" t="s">
        <v>838</v>
      </c>
      <c r="B14" s="481" t="s">
        <v>839</v>
      </c>
      <c r="C14" s="483"/>
      <c r="D14" s="483"/>
      <c r="E14" s="826">
        <v>1395</v>
      </c>
      <c r="F14" s="436"/>
      <c r="G14" s="436"/>
      <c r="H14" s="436"/>
      <c r="I14" s="436"/>
      <c r="J14" s="436"/>
      <c r="K14" s="436"/>
      <c r="L14" s="436"/>
      <c r="M14" s="436"/>
      <c r="N14" s="436"/>
      <c r="O14" s="436"/>
      <c r="P14" s="436"/>
      <c r="Q14" s="483">
        <f t="shared" si="5"/>
        <v>1395</v>
      </c>
    </row>
    <row r="15" spans="1:17" s="426" customFormat="1" ht="15" customHeight="1">
      <c r="A15" s="572" t="s">
        <v>840</v>
      </c>
      <c r="B15" s="481" t="s">
        <v>841</v>
      </c>
      <c r="C15" s="483"/>
      <c r="D15" s="483"/>
      <c r="E15" s="826">
        <v>24796</v>
      </c>
      <c r="F15" s="436"/>
      <c r="G15" s="436"/>
      <c r="H15" s="436"/>
      <c r="I15" s="436"/>
      <c r="J15" s="436"/>
      <c r="K15" s="436"/>
      <c r="L15" s="436"/>
      <c r="M15" s="436"/>
      <c r="N15" s="436"/>
      <c r="O15" s="436"/>
      <c r="P15" s="436"/>
      <c r="Q15" s="483">
        <f t="shared" si="5"/>
        <v>24796</v>
      </c>
    </row>
    <row r="16" spans="1:17" s="426" customFormat="1" ht="15" customHeight="1">
      <c r="A16" s="572" t="s">
        <v>842</v>
      </c>
      <c r="B16" s="481" t="s">
        <v>606</v>
      </c>
      <c r="C16" s="483"/>
      <c r="D16" s="483"/>
      <c r="E16" s="826">
        <v>21301</v>
      </c>
      <c r="F16" s="436"/>
      <c r="G16" s="436"/>
      <c r="H16" s="436"/>
      <c r="I16" s="436"/>
      <c r="J16" s="436"/>
      <c r="K16" s="436"/>
      <c r="L16" s="436"/>
      <c r="M16" s="436"/>
      <c r="N16" s="436"/>
      <c r="O16" s="436"/>
      <c r="P16" s="436"/>
      <c r="Q16" s="483">
        <f t="shared" si="5"/>
        <v>21301</v>
      </c>
    </row>
    <row r="17" spans="1:17" s="426" customFormat="1" ht="15" customHeight="1">
      <c r="A17" s="572" t="s">
        <v>843</v>
      </c>
      <c r="B17" s="481" t="s">
        <v>844</v>
      </c>
      <c r="C17" s="483"/>
      <c r="D17" s="483"/>
      <c r="E17" s="826">
        <v>2500</v>
      </c>
      <c r="F17" s="436"/>
      <c r="G17" s="436"/>
      <c r="H17" s="436"/>
      <c r="I17" s="436"/>
      <c r="J17" s="436"/>
      <c r="K17" s="436"/>
      <c r="L17" s="436"/>
      <c r="M17" s="436"/>
      <c r="N17" s="436"/>
      <c r="O17" s="436"/>
      <c r="P17" s="436"/>
      <c r="Q17" s="483">
        <f t="shared" si="5"/>
        <v>2500</v>
      </c>
    </row>
    <row r="18" spans="1:17" s="426" customFormat="1" ht="15" customHeight="1">
      <c r="A18" s="424" t="s">
        <v>502</v>
      </c>
      <c r="B18" s="425" t="s">
        <v>718</v>
      </c>
      <c r="C18" s="436"/>
      <c r="D18" s="436">
        <v>253</v>
      </c>
      <c r="E18" s="807">
        <v>289</v>
      </c>
      <c r="F18" s="436"/>
      <c r="G18" s="436"/>
      <c r="H18" s="436"/>
      <c r="I18" s="436"/>
      <c r="J18" s="436"/>
      <c r="K18" s="436"/>
      <c r="L18" s="436"/>
      <c r="M18" s="436"/>
      <c r="N18" s="436"/>
      <c r="O18" s="436">
        <f t="shared" si="2"/>
        <v>0</v>
      </c>
      <c r="P18" s="436">
        <f t="shared" si="3"/>
        <v>253</v>
      </c>
      <c r="Q18" s="436">
        <f t="shared" si="3"/>
        <v>289</v>
      </c>
    </row>
    <row r="19" spans="1:17" s="426" customFormat="1" ht="26.25" customHeight="1">
      <c r="A19" s="424" t="s">
        <v>502</v>
      </c>
      <c r="B19" s="425" t="s">
        <v>802</v>
      </c>
      <c r="C19" s="436"/>
      <c r="D19" s="436"/>
      <c r="E19" s="436"/>
      <c r="F19" s="436"/>
      <c r="G19" s="436"/>
      <c r="H19" s="436"/>
      <c r="I19" s="436"/>
      <c r="J19" s="436"/>
      <c r="K19" s="436"/>
      <c r="L19" s="436"/>
      <c r="M19" s="436">
        <v>305</v>
      </c>
      <c r="N19" s="436">
        <v>305</v>
      </c>
      <c r="O19" s="436">
        <f t="shared" si="2"/>
        <v>0</v>
      </c>
      <c r="P19" s="436">
        <f t="shared" si="3"/>
        <v>305</v>
      </c>
      <c r="Q19" s="436">
        <f t="shared" si="3"/>
        <v>305</v>
      </c>
    </row>
    <row r="20" spans="1:17" s="808" customFormat="1" ht="15" customHeight="1">
      <c r="A20" s="805" t="s">
        <v>502</v>
      </c>
      <c r="B20" s="806" t="s">
        <v>752</v>
      </c>
      <c r="C20" s="807"/>
      <c r="D20" s="807"/>
      <c r="E20" s="807"/>
      <c r="F20" s="807"/>
      <c r="G20" s="807">
        <v>500</v>
      </c>
      <c r="H20" s="807">
        <v>500</v>
      </c>
      <c r="I20" s="807"/>
      <c r="J20" s="807"/>
      <c r="K20" s="807"/>
      <c r="L20" s="807"/>
      <c r="M20" s="807"/>
      <c r="N20" s="807"/>
      <c r="O20" s="807"/>
      <c r="P20" s="807">
        <f t="shared" si="3"/>
        <v>500</v>
      </c>
      <c r="Q20" s="807">
        <f t="shared" ref="P20:Q40" si="6">+E20+H20+N20</f>
        <v>500</v>
      </c>
    </row>
    <row r="21" spans="1:17" s="426" customFormat="1" ht="15" customHeight="1">
      <c r="A21" s="424" t="s">
        <v>503</v>
      </c>
      <c r="B21" s="425" t="s">
        <v>541</v>
      </c>
      <c r="C21" s="436"/>
      <c r="D21" s="436"/>
      <c r="E21" s="436">
        <f t="shared" si="0"/>
        <v>0</v>
      </c>
      <c r="F21" s="436">
        <v>3500</v>
      </c>
      <c r="G21" s="436">
        <v>3500</v>
      </c>
      <c r="H21" s="436">
        <v>3500</v>
      </c>
      <c r="I21" s="436"/>
      <c r="J21" s="436"/>
      <c r="K21" s="436"/>
      <c r="L21" s="436"/>
      <c r="M21" s="436"/>
      <c r="N21" s="436">
        <f t="shared" si="1"/>
        <v>0</v>
      </c>
      <c r="O21" s="436">
        <f t="shared" si="2"/>
        <v>3500</v>
      </c>
      <c r="P21" s="436">
        <f>+D21+G21+M21</f>
        <v>3500</v>
      </c>
      <c r="Q21" s="436">
        <f t="shared" si="6"/>
        <v>3500</v>
      </c>
    </row>
    <row r="22" spans="1:17" s="426" customFormat="1" ht="28.5" customHeight="1">
      <c r="A22" s="424" t="s">
        <v>779</v>
      </c>
      <c r="B22" s="425" t="s">
        <v>780</v>
      </c>
      <c r="C22" s="436"/>
      <c r="D22" s="436">
        <v>567</v>
      </c>
      <c r="E22" s="807">
        <v>567</v>
      </c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>
        <v>567</v>
      </c>
      <c r="Q22" s="436">
        <f t="shared" si="6"/>
        <v>567</v>
      </c>
    </row>
    <row r="23" spans="1:17" s="426" customFormat="1" ht="25.5">
      <c r="A23" s="424" t="s">
        <v>513</v>
      </c>
      <c r="B23" s="425" t="s">
        <v>783</v>
      </c>
      <c r="C23" s="436"/>
      <c r="D23" s="436"/>
      <c r="E23" s="436"/>
      <c r="F23" s="436"/>
      <c r="G23" s="436"/>
      <c r="H23" s="436"/>
      <c r="I23" s="436"/>
      <c r="J23" s="436"/>
      <c r="K23" s="436"/>
      <c r="L23" s="436"/>
      <c r="M23" s="436">
        <v>6327</v>
      </c>
      <c r="N23" s="436">
        <v>6327</v>
      </c>
      <c r="O23" s="436"/>
      <c r="P23" s="436">
        <f t="shared" si="6"/>
        <v>6327</v>
      </c>
      <c r="Q23" s="436">
        <f t="shared" si="6"/>
        <v>6327</v>
      </c>
    </row>
    <row r="24" spans="1:17" s="426" customFormat="1">
      <c r="A24" s="424" t="s">
        <v>503</v>
      </c>
      <c r="B24" s="425" t="s">
        <v>829</v>
      </c>
      <c r="C24" s="436"/>
      <c r="D24" s="436"/>
      <c r="E24" s="436"/>
      <c r="F24" s="436"/>
      <c r="G24" s="436">
        <v>1600</v>
      </c>
      <c r="H24" s="436">
        <v>1600</v>
      </c>
      <c r="I24" s="436"/>
      <c r="J24" s="436"/>
      <c r="K24" s="436"/>
      <c r="L24" s="436"/>
      <c r="M24" s="436"/>
      <c r="N24" s="436"/>
      <c r="O24" s="436"/>
      <c r="P24" s="436">
        <f t="shared" si="6"/>
        <v>1600</v>
      </c>
      <c r="Q24" s="436">
        <f t="shared" si="6"/>
        <v>1600</v>
      </c>
    </row>
    <row r="25" spans="1:17" s="426" customFormat="1">
      <c r="A25" s="424" t="s">
        <v>502</v>
      </c>
      <c r="B25" s="425" t="s">
        <v>720</v>
      </c>
      <c r="C25" s="436"/>
      <c r="D25" s="436"/>
      <c r="E25" s="436"/>
      <c r="F25" s="436"/>
      <c r="G25" s="436"/>
      <c r="H25" s="436"/>
      <c r="I25" s="436"/>
      <c r="J25" s="436"/>
      <c r="K25" s="436"/>
      <c r="L25" s="436"/>
      <c r="M25" s="436">
        <v>14530</v>
      </c>
      <c r="N25" s="436">
        <v>14530</v>
      </c>
      <c r="O25" s="436">
        <f t="shared" si="2"/>
        <v>0</v>
      </c>
      <c r="P25" s="436">
        <f t="shared" ref="P25:P40" si="7">+D25+G25+M25</f>
        <v>14530</v>
      </c>
      <c r="Q25" s="436">
        <f t="shared" si="6"/>
        <v>14530</v>
      </c>
    </row>
    <row r="26" spans="1:17" s="426" customFormat="1">
      <c r="A26" s="424" t="s">
        <v>503</v>
      </c>
      <c r="B26" s="425" t="s">
        <v>721</v>
      </c>
      <c r="C26" s="436"/>
      <c r="D26" s="436"/>
      <c r="E26" s="436"/>
      <c r="F26" s="436"/>
      <c r="G26" s="436"/>
      <c r="H26" s="436"/>
      <c r="I26" s="436"/>
      <c r="J26" s="436"/>
      <c r="K26" s="436"/>
      <c r="L26" s="436"/>
      <c r="M26" s="436">
        <v>6970</v>
      </c>
      <c r="N26" s="436">
        <v>6109</v>
      </c>
      <c r="O26" s="436">
        <f t="shared" si="2"/>
        <v>0</v>
      </c>
      <c r="P26" s="436">
        <f t="shared" si="7"/>
        <v>6970</v>
      </c>
      <c r="Q26" s="436">
        <f t="shared" si="6"/>
        <v>6109</v>
      </c>
    </row>
    <row r="27" spans="1:17" s="426" customFormat="1">
      <c r="A27" s="424" t="s">
        <v>739</v>
      </c>
      <c r="B27" s="425" t="s">
        <v>827</v>
      </c>
      <c r="C27" s="436"/>
      <c r="D27" s="436"/>
      <c r="E27" s="436"/>
      <c r="F27" s="436"/>
      <c r="G27" s="436">
        <v>383</v>
      </c>
      <c r="H27" s="436">
        <v>642</v>
      </c>
      <c r="I27" s="436"/>
      <c r="J27" s="436"/>
      <c r="K27" s="436"/>
      <c r="L27" s="436"/>
      <c r="M27" s="436"/>
      <c r="N27" s="436"/>
      <c r="O27" s="436">
        <f t="shared" si="2"/>
        <v>0</v>
      </c>
      <c r="P27" s="436">
        <f t="shared" si="7"/>
        <v>383</v>
      </c>
      <c r="Q27" s="436">
        <f t="shared" si="6"/>
        <v>642</v>
      </c>
    </row>
    <row r="28" spans="1:17" s="426" customFormat="1" ht="25.5">
      <c r="A28" s="424"/>
      <c r="B28" s="425" t="s">
        <v>660</v>
      </c>
      <c r="C28" s="436"/>
      <c r="D28" s="436"/>
      <c r="E28" s="436">
        <f t="shared" si="0"/>
        <v>0</v>
      </c>
      <c r="F28" s="436">
        <f>SUM(F29:F40)</f>
        <v>114100</v>
      </c>
      <c r="G28" s="436">
        <f>SUM(G29:G40)</f>
        <v>114293</v>
      </c>
      <c r="H28" s="436">
        <f>SUM(H29:H40)</f>
        <v>114100</v>
      </c>
      <c r="I28" s="436"/>
      <c r="J28" s="436"/>
      <c r="K28" s="436"/>
      <c r="L28" s="436"/>
      <c r="M28" s="436"/>
      <c r="N28" s="436">
        <f t="shared" si="1"/>
        <v>0</v>
      </c>
      <c r="O28" s="436">
        <f t="shared" si="2"/>
        <v>114100</v>
      </c>
      <c r="P28" s="436">
        <f t="shared" si="7"/>
        <v>114293</v>
      </c>
      <c r="Q28" s="436">
        <f t="shared" si="6"/>
        <v>114100</v>
      </c>
    </row>
    <row r="29" spans="1:17" s="573" customFormat="1" ht="15" customHeight="1">
      <c r="A29" s="572" t="s">
        <v>739</v>
      </c>
      <c r="B29" s="481" t="s">
        <v>512</v>
      </c>
      <c r="C29" s="482"/>
      <c r="D29" s="483"/>
      <c r="E29" s="483">
        <f t="shared" si="0"/>
        <v>0</v>
      </c>
      <c r="F29" s="483">
        <f>1381+2560+4497</f>
        <v>8438</v>
      </c>
      <c r="G29" s="483">
        <v>8438</v>
      </c>
      <c r="H29" s="483">
        <v>8438</v>
      </c>
      <c r="I29" s="483"/>
      <c r="J29" s="483"/>
      <c r="K29" s="483"/>
      <c r="L29" s="483"/>
      <c r="M29" s="483"/>
      <c r="N29" s="483">
        <f t="shared" si="1"/>
        <v>0</v>
      </c>
      <c r="O29" s="483">
        <f t="shared" si="2"/>
        <v>8438</v>
      </c>
      <c r="P29" s="483">
        <f t="shared" si="7"/>
        <v>8438</v>
      </c>
      <c r="Q29" s="483">
        <f t="shared" si="6"/>
        <v>8438</v>
      </c>
    </row>
    <row r="30" spans="1:17" s="573" customFormat="1" ht="15" customHeight="1">
      <c r="A30" s="572" t="s">
        <v>753</v>
      </c>
      <c r="B30" s="481" t="s">
        <v>469</v>
      </c>
      <c r="C30" s="482"/>
      <c r="D30" s="483"/>
      <c r="E30" s="483">
        <f t="shared" si="0"/>
        <v>0</v>
      </c>
      <c r="F30" s="483">
        <v>4498</v>
      </c>
      <c r="G30" s="483">
        <v>4498</v>
      </c>
      <c r="H30" s="483">
        <v>4498</v>
      </c>
      <c r="I30" s="483"/>
      <c r="J30" s="483"/>
      <c r="K30" s="483"/>
      <c r="L30" s="483"/>
      <c r="M30" s="483"/>
      <c r="N30" s="483">
        <f t="shared" si="1"/>
        <v>0</v>
      </c>
      <c r="O30" s="483">
        <f t="shared" si="2"/>
        <v>4498</v>
      </c>
      <c r="P30" s="483">
        <f t="shared" si="7"/>
        <v>4498</v>
      </c>
      <c r="Q30" s="483">
        <f t="shared" si="6"/>
        <v>4498</v>
      </c>
    </row>
    <row r="31" spans="1:17" s="573" customFormat="1" ht="15" customHeight="1">
      <c r="A31" s="572" t="s">
        <v>754</v>
      </c>
      <c r="B31" s="481" t="s">
        <v>504</v>
      </c>
      <c r="C31" s="482"/>
      <c r="D31" s="483"/>
      <c r="E31" s="483">
        <f t="shared" si="0"/>
        <v>0</v>
      </c>
      <c r="F31" s="483">
        <v>6248</v>
      </c>
      <c r="G31" s="483">
        <v>6248</v>
      </c>
      <c r="H31" s="483">
        <v>6248</v>
      </c>
      <c r="I31" s="483"/>
      <c r="J31" s="483"/>
      <c r="K31" s="483"/>
      <c r="L31" s="483"/>
      <c r="M31" s="483"/>
      <c r="N31" s="483">
        <f t="shared" si="1"/>
        <v>0</v>
      </c>
      <c r="O31" s="483">
        <f t="shared" si="2"/>
        <v>6248</v>
      </c>
      <c r="P31" s="483">
        <f t="shared" si="7"/>
        <v>6248</v>
      </c>
      <c r="Q31" s="483">
        <f t="shared" si="6"/>
        <v>6248</v>
      </c>
    </row>
    <row r="32" spans="1:17" s="573" customFormat="1" ht="15" customHeight="1">
      <c r="A32" s="572" t="s">
        <v>740</v>
      </c>
      <c r="B32" s="481" t="s">
        <v>505</v>
      </c>
      <c r="C32" s="482"/>
      <c r="D32" s="483"/>
      <c r="E32" s="483">
        <f t="shared" si="0"/>
        <v>0</v>
      </c>
      <c r="F32" s="483">
        <v>5100</v>
      </c>
      <c r="G32" s="483">
        <v>5293</v>
      </c>
      <c r="H32" s="483">
        <v>5100</v>
      </c>
      <c r="I32" s="483"/>
      <c r="J32" s="483"/>
      <c r="K32" s="483"/>
      <c r="L32" s="483"/>
      <c r="M32" s="483"/>
      <c r="N32" s="483">
        <f t="shared" si="1"/>
        <v>0</v>
      </c>
      <c r="O32" s="483">
        <f t="shared" si="2"/>
        <v>5100</v>
      </c>
      <c r="P32" s="483">
        <f t="shared" si="7"/>
        <v>5293</v>
      </c>
      <c r="Q32" s="483">
        <f t="shared" si="6"/>
        <v>5100</v>
      </c>
    </row>
    <row r="33" spans="1:17" s="573" customFormat="1" ht="15" customHeight="1">
      <c r="A33" s="572" t="s">
        <v>755</v>
      </c>
      <c r="B33" s="481" t="s">
        <v>506</v>
      </c>
      <c r="C33" s="482"/>
      <c r="D33" s="483"/>
      <c r="E33" s="483">
        <f t="shared" si="0"/>
        <v>0</v>
      </c>
      <c r="F33" s="483">
        <v>6833</v>
      </c>
      <c r="G33" s="483">
        <v>6833</v>
      </c>
      <c r="H33" s="483">
        <v>6833</v>
      </c>
      <c r="I33" s="483"/>
      <c r="J33" s="483"/>
      <c r="K33" s="483"/>
      <c r="L33" s="483"/>
      <c r="M33" s="483"/>
      <c r="N33" s="483">
        <f t="shared" si="1"/>
        <v>0</v>
      </c>
      <c r="O33" s="483">
        <f t="shared" si="2"/>
        <v>6833</v>
      </c>
      <c r="P33" s="483">
        <f t="shared" si="7"/>
        <v>6833</v>
      </c>
      <c r="Q33" s="483">
        <f t="shared" si="6"/>
        <v>6833</v>
      </c>
    </row>
    <row r="34" spans="1:17" s="573" customFormat="1" ht="15" customHeight="1">
      <c r="A34" s="572" t="s">
        <v>756</v>
      </c>
      <c r="B34" s="481" t="s">
        <v>507</v>
      </c>
      <c r="C34" s="482"/>
      <c r="D34" s="483"/>
      <c r="E34" s="483">
        <f t="shared" si="0"/>
        <v>0</v>
      </c>
      <c r="F34" s="483">
        <v>12207</v>
      </c>
      <c r="G34" s="483">
        <v>12207</v>
      </c>
      <c r="H34" s="483">
        <v>12207</v>
      </c>
      <c r="I34" s="483"/>
      <c r="J34" s="483"/>
      <c r="K34" s="483"/>
      <c r="L34" s="483"/>
      <c r="M34" s="483"/>
      <c r="N34" s="483">
        <f t="shared" si="1"/>
        <v>0</v>
      </c>
      <c r="O34" s="483">
        <f t="shared" si="2"/>
        <v>12207</v>
      </c>
      <c r="P34" s="483">
        <f t="shared" si="7"/>
        <v>12207</v>
      </c>
      <c r="Q34" s="483">
        <f t="shared" si="6"/>
        <v>12207</v>
      </c>
    </row>
    <row r="35" spans="1:17" s="573" customFormat="1" ht="15" customHeight="1">
      <c r="A35" s="572" t="s">
        <v>757</v>
      </c>
      <c r="B35" s="481" t="s">
        <v>508</v>
      </c>
      <c r="C35" s="482"/>
      <c r="D35" s="483"/>
      <c r="E35" s="483">
        <f t="shared" si="0"/>
        <v>0</v>
      </c>
      <c r="F35" s="483">
        <v>13918</v>
      </c>
      <c r="G35" s="483">
        <v>13918</v>
      </c>
      <c r="H35" s="483">
        <v>13918</v>
      </c>
      <c r="I35" s="483"/>
      <c r="J35" s="483"/>
      <c r="K35" s="483"/>
      <c r="L35" s="483"/>
      <c r="M35" s="483"/>
      <c r="N35" s="483">
        <f t="shared" si="1"/>
        <v>0</v>
      </c>
      <c r="O35" s="483">
        <f t="shared" si="2"/>
        <v>13918</v>
      </c>
      <c r="P35" s="483">
        <f t="shared" si="7"/>
        <v>13918</v>
      </c>
      <c r="Q35" s="483">
        <f t="shared" si="6"/>
        <v>13918</v>
      </c>
    </row>
    <row r="36" spans="1:17" s="573" customFormat="1" ht="15" customHeight="1">
      <c r="A36" s="572" t="s">
        <v>503</v>
      </c>
      <c r="B36" s="481" t="s">
        <v>509</v>
      </c>
      <c r="C36" s="482"/>
      <c r="D36" s="483"/>
      <c r="E36" s="483">
        <f t="shared" si="0"/>
        <v>0</v>
      </c>
      <c r="F36" s="483">
        <v>1402</v>
      </c>
      <c r="G36" s="483">
        <v>1402</v>
      </c>
      <c r="H36" s="483">
        <v>1402</v>
      </c>
      <c r="I36" s="483"/>
      <c r="J36" s="483"/>
      <c r="K36" s="483"/>
      <c r="L36" s="483"/>
      <c r="M36" s="483"/>
      <c r="N36" s="483">
        <f t="shared" si="1"/>
        <v>0</v>
      </c>
      <c r="O36" s="483">
        <f t="shared" si="2"/>
        <v>1402</v>
      </c>
      <c r="P36" s="483">
        <f t="shared" si="7"/>
        <v>1402</v>
      </c>
      <c r="Q36" s="483">
        <f t="shared" si="6"/>
        <v>1402</v>
      </c>
    </row>
    <row r="37" spans="1:17" s="573" customFormat="1" ht="15" customHeight="1">
      <c r="A37" s="572" t="s">
        <v>503</v>
      </c>
      <c r="B37" s="481" t="s">
        <v>617</v>
      </c>
      <c r="C37" s="482"/>
      <c r="D37" s="483"/>
      <c r="E37" s="483">
        <f t="shared" si="0"/>
        <v>0</v>
      </c>
      <c r="F37" s="483">
        <v>2010</v>
      </c>
      <c r="G37" s="483">
        <v>2010</v>
      </c>
      <c r="H37" s="483">
        <v>2010</v>
      </c>
      <c r="I37" s="483"/>
      <c r="J37" s="483"/>
      <c r="K37" s="483"/>
      <c r="L37" s="483"/>
      <c r="M37" s="483"/>
      <c r="N37" s="483">
        <f t="shared" si="1"/>
        <v>0</v>
      </c>
      <c r="O37" s="483">
        <f t="shared" si="2"/>
        <v>2010</v>
      </c>
      <c r="P37" s="483">
        <f t="shared" si="7"/>
        <v>2010</v>
      </c>
      <c r="Q37" s="483">
        <f t="shared" si="6"/>
        <v>2010</v>
      </c>
    </row>
    <row r="38" spans="1:17" s="573" customFormat="1" ht="15" customHeight="1">
      <c r="A38" s="572" t="s">
        <v>758</v>
      </c>
      <c r="B38" s="481" t="s">
        <v>510</v>
      </c>
      <c r="C38" s="482"/>
      <c r="D38" s="483"/>
      <c r="E38" s="483">
        <f t="shared" si="0"/>
        <v>0</v>
      </c>
      <c r="F38" s="483">
        <v>4318</v>
      </c>
      <c r="G38" s="483">
        <v>4318</v>
      </c>
      <c r="H38" s="483">
        <v>4318</v>
      </c>
      <c r="I38" s="483"/>
      <c r="J38" s="483"/>
      <c r="K38" s="483"/>
      <c r="L38" s="483"/>
      <c r="M38" s="483"/>
      <c r="N38" s="483">
        <f t="shared" si="1"/>
        <v>0</v>
      </c>
      <c r="O38" s="483">
        <f t="shared" si="2"/>
        <v>4318</v>
      </c>
      <c r="P38" s="483">
        <f t="shared" si="7"/>
        <v>4318</v>
      </c>
      <c r="Q38" s="483">
        <f t="shared" si="6"/>
        <v>4318</v>
      </c>
    </row>
    <row r="39" spans="1:17" s="573" customFormat="1" ht="15" customHeight="1">
      <c r="A39" s="572" t="s">
        <v>828</v>
      </c>
      <c r="B39" s="481" t="s">
        <v>538</v>
      </c>
      <c r="C39" s="482"/>
      <c r="D39" s="483"/>
      <c r="E39" s="483">
        <f t="shared" si="0"/>
        <v>0</v>
      </c>
      <c r="F39" s="483">
        <v>39220</v>
      </c>
      <c r="G39" s="483">
        <v>39220</v>
      </c>
      <c r="H39" s="483">
        <v>39220</v>
      </c>
      <c r="I39" s="483"/>
      <c r="J39" s="483"/>
      <c r="K39" s="483"/>
      <c r="L39" s="483"/>
      <c r="M39" s="483"/>
      <c r="N39" s="483">
        <f t="shared" si="1"/>
        <v>0</v>
      </c>
      <c r="O39" s="483">
        <f t="shared" si="2"/>
        <v>39220</v>
      </c>
      <c r="P39" s="483">
        <f t="shared" si="7"/>
        <v>39220</v>
      </c>
      <c r="Q39" s="483">
        <f t="shared" si="6"/>
        <v>39220</v>
      </c>
    </row>
    <row r="40" spans="1:17" s="573" customFormat="1" ht="15" customHeight="1" thickBot="1">
      <c r="A40" s="574" t="s">
        <v>759</v>
      </c>
      <c r="B40" s="484" t="s">
        <v>539</v>
      </c>
      <c r="C40" s="485"/>
      <c r="D40" s="486"/>
      <c r="E40" s="483">
        <f t="shared" si="0"/>
        <v>0</v>
      </c>
      <c r="F40" s="486">
        <v>9908</v>
      </c>
      <c r="G40" s="486">
        <v>9908</v>
      </c>
      <c r="H40" s="483">
        <v>9908</v>
      </c>
      <c r="I40" s="486"/>
      <c r="J40" s="486"/>
      <c r="K40" s="486"/>
      <c r="L40" s="486"/>
      <c r="M40" s="486"/>
      <c r="N40" s="483">
        <f t="shared" si="1"/>
        <v>0</v>
      </c>
      <c r="O40" s="483">
        <f t="shared" si="2"/>
        <v>9908</v>
      </c>
      <c r="P40" s="483">
        <f t="shared" si="7"/>
        <v>9908</v>
      </c>
      <c r="Q40" s="483">
        <f t="shared" si="6"/>
        <v>9908</v>
      </c>
    </row>
    <row r="41" spans="1:17" ht="13.5" thickBot="1">
      <c r="A41" s="1291" t="s">
        <v>179</v>
      </c>
      <c r="B41" s="1292"/>
      <c r="C41" s="67">
        <f>+C28+C27+C26+C25+C23+C24+C22+C21+C20+C19+C18+C9+C8+C7+C6+C5+C4</f>
        <v>234821</v>
      </c>
      <c r="D41" s="67">
        <f t="shared" ref="D41:P41" si="8">+D28+D27+D26+D25+D23+D24+D22+D21+D20+D19+D18+D9+D8+D7+D6+D5+D4</f>
        <v>245254</v>
      </c>
      <c r="E41" s="67">
        <f t="shared" si="8"/>
        <v>243278</v>
      </c>
      <c r="F41" s="67">
        <f t="shared" si="8"/>
        <v>126200</v>
      </c>
      <c r="G41" s="67">
        <f t="shared" si="8"/>
        <v>135176</v>
      </c>
      <c r="H41" s="67">
        <f>+H28+H27+H26+H25+H23+H24+H22+H21+H20+H19+H18+H9+H8+H7+H6+H5+H4</f>
        <v>135102</v>
      </c>
      <c r="I41" s="67">
        <f t="shared" si="8"/>
        <v>0</v>
      </c>
      <c r="J41" s="67">
        <f t="shared" si="8"/>
        <v>19500</v>
      </c>
      <c r="K41" s="67">
        <f t="shared" si="8"/>
        <v>19500</v>
      </c>
      <c r="L41" s="67">
        <f t="shared" si="8"/>
        <v>0</v>
      </c>
      <c r="M41" s="67">
        <f t="shared" si="8"/>
        <v>28132</v>
      </c>
      <c r="N41" s="67">
        <f t="shared" si="8"/>
        <v>27271</v>
      </c>
      <c r="O41" s="67">
        <f t="shared" si="8"/>
        <v>361021</v>
      </c>
      <c r="P41" s="67">
        <f t="shared" si="8"/>
        <v>428062</v>
      </c>
      <c r="Q41" s="67">
        <f>+Q28+Q27+Q26+Q25+Q23+Q24+Q22+Q21+Q20+Q19+Q18+Q9+Q8+Q7+Q6+Q5+Q4</f>
        <v>425151</v>
      </c>
    </row>
    <row r="42" spans="1:17">
      <c r="Q42" s="809"/>
    </row>
  </sheetData>
  <mergeCells count="12">
    <mergeCell ref="O1:Q2"/>
    <mergeCell ref="F2:H2"/>
    <mergeCell ref="A41:B41"/>
    <mergeCell ref="A1:A2"/>
    <mergeCell ref="B1:B2"/>
    <mergeCell ref="C1:E1"/>
    <mergeCell ref="F1:H1"/>
    <mergeCell ref="C2:E2"/>
    <mergeCell ref="L1:N1"/>
    <mergeCell ref="L2:N2"/>
    <mergeCell ref="I1:K1"/>
    <mergeCell ref="I2:K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&amp;C&amp;"Times New Roman,Félkövér"&amp;12Martonvásár Város Önkormányzatának kiadásai 2015.
Egyéb működési célú támogatások&amp;R&amp;"Times New Roman,Normál"&amp;10 5/f. melléklet</oddHead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00"/>
  <sheetViews>
    <sheetView topLeftCell="A63" workbookViewId="0">
      <selection activeCell="F101" sqref="F101"/>
    </sheetView>
  </sheetViews>
  <sheetFormatPr defaultRowHeight="15"/>
  <cols>
    <col min="1" max="1" width="6.140625" style="26" customWidth="1"/>
    <col min="2" max="2" width="7.140625" style="27" customWidth="1"/>
    <col min="3" max="3" width="37.5703125" style="27" customWidth="1"/>
    <col min="4" max="4" width="7.7109375" style="18" customWidth="1"/>
    <col min="5" max="5" width="9.28515625" style="18" customWidth="1"/>
    <col min="6" max="6" width="7.7109375" style="18" customWidth="1"/>
    <col min="7" max="7" width="7.28515625" style="18" customWidth="1"/>
    <col min="8" max="8" width="9.42578125" style="18" customWidth="1"/>
    <col min="9" max="10" width="6.85546875" style="18" customWidth="1"/>
    <col min="11" max="11" width="7.42578125" style="18" customWidth="1"/>
    <col min="12" max="12" width="8" style="18" customWidth="1"/>
    <col min="13" max="13" width="7.7109375" style="18" customWidth="1"/>
    <col min="14" max="14" width="8.5703125" style="18" customWidth="1"/>
    <col min="15" max="15" width="6.85546875" style="18" customWidth="1"/>
    <col min="16" max="16" width="6.140625" style="18" customWidth="1"/>
    <col min="17" max="17" width="9.7109375" style="18" customWidth="1"/>
    <col min="18" max="18" width="8.5703125" style="18" customWidth="1"/>
    <col min="19" max="19" width="7" style="18" customWidth="1"/>
    <col min="20" max="20" width="7.85546875" style="18" customWidth="1"/>
    <col min="21" max="21" width="8.85546875" style="18" customWidth="1"/>
    <col min="22" max="22" width="7.7109375" style="18" customWidth="1"/>
    <col min="23" max="23" width="9.85546875" style="18" customWidth="1"/>
    <col min="24" max="27" width="6.85546875" style="18" customWidth="1"/>
    <col min="28" max="28" width="8.85546875" style="18" customWidth="1"/>
    <col min="29" max="29" width="9.140625" style="18" customWidth="1"/>
    <col min="30" max="30" width="7.42578125" style="18" customWidth="1"/>
    <col min="34" max="16384" width="9.140625" style="18"/>
  </cols>
  <sheetData>
    <row r="1" spans="1:30" s="1" customFormat="1" ht="15.75">
      <c r="A1" s="1301"/>
      <c r="B1" s="1301"/>
      <c r="C1" s="1301"/>
      <c r="D1" s="1301"/>
      <c r="E1" s="1301"/>
      <c r="F1" s="1301"/>
      <c r="G1" s="1301"/>
      <c r="H1" s="1301"/>
      <c r="I1" s="1301"/>
      <c r="J1" s="1301"/>
      <c r="K1" s="1301"/>
      <c r="L1" s="1301"/>
      <c r="M1" s="1301"/>
      <c r="N1" s="1301"/>
      <c r="O1" s="1301"/>
      <c r="P1" s="1301"/>
      <c r="Q1" s="1301"/>
      <c r="R1" s="1301"/>
      <c r="S1" s="1301"/>
      <c r="T1" s="1301"/>
      <c r="U1" s="1301"/>
      <c r="V1" s="1301"/>
      <c r="W1" s="1301"/>
      <c r="X1" s="1301"/>
      <c r="Y1" s="1301"/>
      <c r="Z1" s="1301"/>
      <c r="AA1" s="1301"/>
      <c r="AB1" s="1301"/>
      <c r="AC1" s="1301"/>
      <c r="AD1" s="1301"/>
    </row>
    <row r="2" spans="1:30" s="1" customFormat="1" ht="15.75">
      <c r="A2" s="1302"/>
      <c r="B2" s="1302"/>
      <c r="C2" s="1302"/>
      <c r="D2" s="1302"/>
      <c r="E2" s="1302"/>
      <c r="F2" s="1302"/>
      <c r="G2" s="1302"/>
      <c r="H2" s="1302"/>
      <c r="I2" s="1302"/>
      <c r="J2" s="1302"/>
      <c r="K2" s="1302"/>
      <c r="L2" s="1302"/>
      <c r="M2" s="1302"/>
      <c r="N2" s="1302"/>
      <c r="O2" s="1302"/>
      <c r="P2" s="1302"/>
      <c r="Q2" s="1302"/>
      <c r="R2" s="1302"/>
      <c r="S2" s="1302"/>
      <c r="T2" s="1302"/>
      <c r="U2" s="1302"/>
      <c r="V2" s="1302"/>
      <c r="W2" s="1302"/>
      <c r="X2" s="1302"/>
      <c r="Y2" s="1302"/>
      <c r="Z2" s="1302"/>
      <c r="AA2" s="1302"/>
      <c r="AB2" s="1302"/>
      <c r="AC2" s="1302"/>
      <c r="AD2" s="1302"/>
    </row>
    <row r="3" spans="1:30" s="33" customFormat="1" ht="38.25" customHeight="1">
      <c r="A3" s="1262" t="s">
        <v>0</v>
      </c>
      <c r="B3" s="1262" t="s">
        <v>181</v>
      </c>
      <c r="C3" s="1262"/>
      <c r="D3" s="1265" t="s">
        <v>179</v>
      </c>
      <c r="E3" s="1265"/>
      <c r="F3" s="1265"/>
      <c r="G3" s="1274" t="s">
        <v>180</v>
      </c>
      <c r="H3" s="1274"/>
      <c r="I3" s="1274"/>
      <c r="J3" s="1303" t="s">
        <v>668</v>
      </c>
      <c r="K3" s="1304"/>
      <c r="L3" s="1305"/>
      <c r="M3" s="1265" t="s">
        <v>669</v>
      </c>
      <c r="N3" s="1265"/>
      <c r="O3" s="1265"/>
      <c r="P3" s="1303" t="s">
        <v>540</v>
      </c>
      <c r="Q3" s="1304"/>
      <c r="R3" s="1305"/>
      <c r="S3" s="1303" t="s">
        <v>192</v>
      </c>
      <c r="T3" s="1304"/>
      <c r="U3" s="1305"/>
      <c r="V3" s="1266" t="s">
        <v>536</v>
      </c>
      <c r="W3" s="1267"/>
      <c r="X3" s="1268"/>
      <c r="Y3" s="1266" t="s">
        <v>830</v>
      </c>
      <c r="Z3" s="1267"/>
      <c r="AA3" s="1268"/>
      <c r="AB3" s="1265" t="s">
        <v>268</v>
      </c>
      <c r="AC3" s="1265"/>
      <c r="AD3" s="1265"/>
    </row>
    <row r="4" spans="1:30" s="33" customFormat="1" ht="12.75" customHeight="1">
      <c r="A4" s="1262"/>
      <c r="B4" s="1262"/>
      <c r="C4" s="1262"/>
      <c r="D4" s="1265"/>
      <c r="E4" s="1265"/>
      <c r="F4" s="1265"/>
      <c r="G4" s="1265" t="s">
        <v>188</v>
      </c>
      <c r="H4" s="1265"/>
      <c r="I4" s="1265"/>
      <c r="J4" s="1265" t="s">
        <v>188</v>
      </c>
      <c r="K4" s="1265"/>
      <c r="L4" s="1265"/>
      <c r="M4" s="1265" t="s">
        <v>188</v>
      </c>
      <c r="N4" s="1265"/>
      <c r="O4" s="1265"/>
      <c r="P4" s="1265" t="s">
        <v>188</v>
      </c>
      <c r="Q4" s="1265"/>
      <c r="R4" s="1265"/>
      <c r="S4" s="1265" t="s">
        <v>188</v>
      </c>
      <c r="T4" s="1265"/>
      <c r="U4" s="1265"/>
      <c r="V4" s="1265" t="s">
        <v>188</v>
      </c>
      <c r="W4" s="1265"/>
      <c r="X4" s="1265"/>
      <c r="Y4" s="797"/>
      <c r="Z4" s="797"/>
      <c r="AA4" s="797"/>
      <c r="AB4" s="198"/>
      <c r="AC4" s="198"/>
      <c r="AD4" s="198"/>
    </row>
    <row r="5" spans="1:30" s="17" customFormat="1" ht="25.5">
      <c r="A5" s="1262"/>
      <c r="B5" s="1262"/>
      <c r="C5" s="1262"/>
      <c r="D5" s="549" t="s">
        <v>178</v>
      </c>
      <c r="E5" s="550" t="s">
        <v>672</v>
      </c>
      <c r="F5" s="550" t="s">
        <v>745</v>
      </c>
      <c r="G5" s="549" t="s">
        <v>178</v>
      </c>
      <c r="H5" s="550" t="s">
        <v>672</v>
      </c>
      <c r="I5" s="550" t="s">
        <v>745</v>
      </c>
      <c r="J5" s="549" t="s">
        <v>178</v>
      </c>
      <c r="K5" s="550" t="s">
        <v>672</v>
      </c>
      <c r="L5" s="550" t="s">
        <v>745</v>
      </c>
      <c r="M5" s="549" t="s">
        <v>178</v>
      </c>
      <c r="N5" s="550" t="s">
        <v>672</v>
      </c>
      <c r="O5" s="550" t="s">
        <v>745</v>
      </c>
      <c r="P5" s="549" t="s">
        <v>178</v>
      </c>
      <c r="Q5" s="550" t="s">
        <v>672</v>
      </c>
      <c r="R5" s="550" t="s">
        <v>745</v>
      </c>
      <c r="S5" s="549" t="s">
        <v>178</v>
      </c>
      <c r="T5" s="550" t="s">
        <v>672</v>
      </c>
      <c r="U5" s="550" t="s">
        <v>745</v>
      </c>
      <c r="V5" s="549" t="s">
        <v>178</v>
      </c>
      <c r="W5" s="550" t="s">
        <v>672</v>
      </c>
      <c r="X5" s="550" t="s">
        <v>745</v>
      </c>
      <c r="Y5" s="550" t="s">
        <v>178</v>
      </c>
      <c r="Z5" s="550" t="s">
        <v>672</v>
      </c>
      <c r="AA5" s="550" t="s">
        <v>745</v>
      </c>
      <c r="AB5" s="549" t="s">
        <v>178</v>
      </c>
      <c r="AC5" s="550" t="s">
        <v>672</v>
      </c>
      <c r="AD5" s="550" t="s">
        <v>745</v>
      </c>
    </row>
    <row r="6" spans="1:30" s="46" customFormat="1" ht="12.95" customHeight="1">
      <c r="A6" s="5" t="s">
        <v>27</v>
      </c>
      <c r="B6" s="1257" t="s">
        <v>175</v>
      </c>
      <c r="C6" s="1257"/>
      <c r="D6" s="61">
        <f>+G6+M6+P6+S6+V6+AB6</f>
        <v>22262</v>
      </c>
      <c r="E6" s="61">
        <f>+H6+N6+Q6+T6+W6+AC6</f>
        <v>12375</v>
      </c>
      <c r="F6" s="61">
        <f>+I6+O6+R6+U6+X6+AD6</f>
        <v>12156</v>
      </c>
      <c r="G6" s="61"/>
      <c r="H6" s="61">
        <v>158</v>
      </c>
      <c r="I6" s="61">
        <v>158</v>
      </c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>
        <v>22262</v>
      </c>
      <c r="W6" s="61">
        <f>11922+295</f>
        <v>12217</v>
      </c>
      <c r="X6" s="61">
        <f>11703+295</f>
        <v>11998</v>
      </c>
      <c r="Y6" s="61"/>
      <c r="Z6" s="61"/>
      <c r="AA6" s="61"/>
      <c r="AB6" s="61"/>
      <c r="AC6" s="61"/>
      <c r="AD6" s="61"/>
    </row>
    <row r="7" spans="1:30" s="46" customFormat="1" ht="12.95" customHeight="1">
      <c r="A7" s="5" t="s">
        <v>34</v>
      </c>
      <c r="B7" s="1257" t="s">
        <v>174</v>
      </c>
      <c r="C7" s="1257"/>
      <c r="D7" s="61">
        <f t="shared" ref="D7:D68" si="0">+G7+M7+P7+S7+V7+AB7</f>
        <v>0</v>
      </c>
      <c r="E7" s="61">
        <f t="shared" ref="E7" si="1">+H7+N7+Q7+T7+W7+AC7</f>
        <v>0</v>
      </c>
      <c r="F7" s="61">
        <f t="shared" ref="F7" si="2">+I7+O7+R7+U7+X7+AD7</f>
        <v>0</v>
      </c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>
        <f t="shared" ref="X7" si="3">+V7+W7</f>
        <v>0</v>
      </c>
      <c r="Y7" s="61"/>
      <c r="Z7" s="61">
        <v>569</v>
      </c>
      <c r="AA7" s="61"/>
      <c r="AB7" s="61"/>
      <c r="AC7" s="61"/>
      <c r="AD7" s="61"/>
    </row>
    <row r="8" spans="1:30" s="46" customFormat="1" ht="12.95" customHeight="1">
      <c r="A8" s="6" t="s">
        <v>35</v>
      </c>
      <c r="B8" s="1256" t="s">
        <v>173</v>
      </c>
      <c r="C8" s="1256"/>
      <c r="D8" s="61">
        <f t="shared" si="0"/>
        <v>22262</v>
      </c>
      <c r="E8" s="61">
        <f>+H8+N8+Q8+T8+W8+AC8+Z8</f>
        <v>12944</v>
      </c>
      <c r="F8" s="61">
        <f>+I8+O8+R8+U8+X8+AD8+AA8</f>
        <v>12156</v>
      </c>
      <c r="G8" s="58"/>
      <c r="H8" s="58">
        <f>SUM(H6:H7)</f>
        <v>158</v>
      </c>
      <c r="I8" s="58">
        <f>SUM(I6:I7)</f>
        <v>158</v>
      </c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>
        <v>22262</v>
      </c>
      <c r="W8" s="58">
        <f>SUM(W6:W7)</f>
        <v>12217</v>
      </c>
      <c r="X8" s="58">
        <f>SUM(X6:X7)</f>
        <v>11998</v>
      </c>
      <c r="Y8" s="58"/>
      <c r="Z8" s="58">
        <f>SUM(Z6:Z7)</f>
        <v>569</v>
      </c>
      <c r="AA8" s="58">
        <f>SUM(AA6:AA7)</f>
        <v>0</v>
      </c>
      <c r="AB8" s="58"/>
      <c r="AC8" s="58"/>
      <c r="AD8" s="58"/>
    </row>
    <row r="9" spans="1:30" ht="10.5" customHeight="1">
      <c r="A9" s="7"/>
      <c r="B9" s="8"/>
      <c r="C9" s="8"/>
      <c r="D9" s="61"/>
      <c r="E9" s="61"/>
      <c r="F9" s="61"/>
      <c r="G9" s="30"/>
      <c r="H9" s="30"/>
      <c r="I9" s="31"/>
      <c r="J9" s="30"/>
      <c r="K9" s="30"/>
      <c r="L9" s="30"/>
      <c r="M9" s="30"/>
      <c r="N9" s="30"/>
      <c r="O9" s="30"/>
      <c r="P9" s="30"/>
      <c r="Q9" s="30"/>
      <c r="R9" s="31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</row>
    <row r="10" spans="1:30" s="46" customFormat="1" ht="12.95" customHeight="1">
      <c r="A10" s="5" t="s">
        <v>36</v>
      </c>
      <c r="B10" s="1257" t="s">
        <v>172</v>
      </c>
      <c r="C10" s="1257"/>
      <c r="D10" s="61">
        <f t="shared" si="0"/>
        <v>3005</v>
      </c>
      <c r="E10" s="61">
        <f>+H10+N10+Q10+T10+W10+AC10+Z10</f>
        <v>2235</v>
      </c>
      <c r="F10" s="61">
        <f>+I10+O10+R10+U10+X10+AD10+AA10</f>
        <v>1746</v>
      </c>
      <c r="G10" s="57"/>
      <c r="H10" s="57">
        <v>42</v>
      </c>
      <c r="I10" s="57">
        <v>42</v>
      </c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>
        <v>3005</v>
      </c>
      <c r="W10" s="57">
        <v>2055</v>
      </c>
      <c r="X10" s="57">
        <f>1657+47</f>
        <v>1704</v>
      </c>
      <c r="Y10" s="57"/>
      <c r="Z10" s="57">
        <v>138</v>
      </c>
      <c r="AA10" s="57">
        <v>0</v>
      </c>
      <c r="AB10" s="57"/>
      <c r="AC10" s="57"/>
      <c r="AD10" s="57"/>
    </row>
    <row r="11" spans="1:30" ht="10.5" customHeight="1">
      <c r="A11" s="10"/>
      <c r="B11" s="25"/>
      <c r="C11" s="11"/>
      <c r="D11" s="61"/>
      <c r="E11" s="61"/>
      <c r="F11" s="61"/>
      <c r="G11" s="30"/>
      <c r="H11" s="30"/>
      <c r="I11" s="31"/>
      <c r="J11" s="30"/>
      <c r="K11" s="30"/>
      <c r="L11" s="30"/>
      <c r="M11" s="30"/>
      <c r="N11" s="30"/>
      <c r="O11" s="30"/>
      <c r="P11" s="30"/>
      <c r="Q11" s="30"/>
      <c r="R11" s="31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</row>
    <row r="12" spans="1:30" ht="12.95" customHeight="1">
      <c r="A12" s="12" t="s">
        <v>43</v>
      </c>
      <c r="B12" s="1255" t="s">
        <v>42</v>
      </c>
      <c r="C12" s="1255"/>
      <c r="D12" s="61">
        <f t="shared" si="0"/>
        <v>0</v>
      </c>
      <c r="E12" s="61">
        <f>+H12+N12+Q12+T12+W12+AC12+K12+Z12</f>
        <v>100</v>
      </c>
      <c r="F12" s="61">
        <f>+I12+O12+R12+U12+X12+AD12+L12+AA12</f>
        <v>35</v>
      </c>
      <c r="G12" s="32"/>
      <c r="H12" s="32"/>
      <c r="I12" s="32">
        <f>+G12+H12</f>
        <v>0</v>
      </c>
      <c r="J12" s="32"/>
      <c r="K12" s="32"/>
      <c r="L12" s="32">
        <f>+J12+K12</f>
        <v>0</v>
      </c>
      <c r="M12" s="32"/>
      <c r="N12" s="32"/>
      <c r="O12" s="32">
        <f>+M12+N12</f>
        <v>0</v>
      </c>
      <c r="P12" s="32"/>
      <c r="Q12" s="32"/>
      <c r="R12" s="32">
        <f>+P12+Q12</f>
        <v>0</v>
      </c>
      <c r="S12" s="32"/>
      <c r="T12" s="32">
        <v>100</v>
      </c>
      <c r="U12" s="32">
        <v>35</v>
      </c>
      <c r="V12" s="32"/>
      <c r="W12" s="32"/>
      <c r="X12" s="32">
        <f>+V12+W12</f>
        <v>0</v>
      </c>
      <c r="Y12" s="32"/>
      <c r="Z12" s="32"/>
      <c r="AA12" s="32"/>
      <c r="AB12" s="32"/>
      <c r="AC12" s="32"/>
      <c r="AD12" s="32">
        <f>+AB12+AC12</f>
        <v>0</v>
      </c>
    </row>
    <row r="13" spans="1:30" ht="12.95" customHeight="1">
      <c r="A13" s="3" t="s">
        <v>45</v>
      </c>
      <c r="B13" s="1253" t="s">
        <v>44</v>
      </c>
      <c r="C13" s="1253"/>
      <c r="D13" s="61">
        <f t="shared" si="0"/>
        <v>0</v>
      </c>
      <c r="E13" s="61">
        <f t="shared" ref="E13:F36" si="4">+H13+N13+Q13+T13+W13+AC13+K13+Z13</f>
        <v>392</v>
      </c>
      <c r="F13" s="61">
        <f t="shared" si="4"/>
        <v>354</v>
      </c>
      <c r="G13" s="29"/>
      <c r="H13" s="29">
        <v>280</v>
      </c>
      <c r="I13" s="32">
        <v>280</v>
      </c>
      <c r="J13" s="29"/>
      <c r="K13" s="29"/>
      <c r="L13" s="32">
        <f t="shared" ref="L13:L34" si="5">+J13+K13</f>
        <v>0</v>
      </c>
      <c r="M13" s="29"/>
      <c r="N13" s="29"/>
      <c r="O13" s="32">
        <f t="shared" ref="O13:O34" si="6">+M13+N13</f>
        <v>0</v>
      </c>
      <c r="P13" s="29"/>
      <c r="Q13" s="29"/>
      <c r="R13" s="32">
        <f t="shared" ref="R13:R34" si="7">+P13+Q13</f>
        <v>0</v>
      </c>
      <c r="S13" s="29"/>
      <c r="T13" s="29">
        <v>100</v>
      </c>
      <c r="U13" s="32">
        <v>62</v>
      </c>
      <c r="V13" s="29"/>
      <c r="W13" s="29"/>
      <c r="X13" s="32">
        <f t="shared" ref="X13:X34" si="8">+V13+W13</f>
        <v>0</v>
      </c>
      <c r="Y13" s="32"/>
      <c r="Z13" s="32">
        <v>12</v>
      </c>
      <c r="AA13" s="32">
        <v>12</v>
      </c>
      <c r="AB13" s="29"/>
      <c r="AC13" s="29"/>
      <c r="AD13" s="32">
        <f t="shared" ref="AD13:AD33" si="9">+AB13+AC13</f>
        <v>0</v>
      </c>
    </row>
    <row r="14" spans="1:30" ht="12.95" customHeight="1">
      <c r="A14" s="3" t="s">
        <v>47</v>
      </c>
      <c r="B14" s="1253" t="s">
        <v>46</v>
      </c>
      <c r="C14" s="1253"/>
      <c r="D14" s="61">
        <f t="shared" si="0"/>
        <v>0</v>
      </c>
      <c r="E14" s="61">
        <f t="shared" si="4"/>
        <v>0</v>
      </c>
      <c r="F14" s="61">
        <f t="shared" si="4"/>
        <v>0</v>
      </c>
      <c r="G14" s="29"/>
      <c r="H14" s="29"/>
      <c r="I14" s="32">
        <f t="shared" ref="I14:I33" si="10">+G14+H14</f>
        <v>0</v>
      </c>
      <c r="J14" s="29"/>
      <c r="K14" s="29"/>
      <c r="L14" s="32">
        <f t="shared" si="5"/>
        <v>0</v>
      </c>
      <c r="M14" s="29"/>
      <c r="N14" s="29"/>
      <c r="O14" s="32">
        <f t="shared" si="6"/>
        <v>0</v>
      </c>
      <c r="P14" s="29"/>
      <c r="Q14" s="29"/>
      <c r="R14" s="32">
        <f t="shared" si="7"/>
        <v>0</v>
      </c>
      <c r="S14" s="29"/>
      <c r="T14" s="29"/>
      <c r="U14" s="32">
        <f t="shared" ref="U14:U34" si="11">+S14+T14</f>
        <v>0</v>
      </c>
      <c r="V14" s="29"/>
      <c r="W14" s="29"/>
      <c r="X14" s="32">
        <f t="shared" si="8"/>
        <v>0</v>
      </c>
      <c r="Y14" s="32"/>
      <c r="Z14" s="32"/>
      <c r="AA14" s="57"/>
      <c r="AB14" s="29"/>
      <c r="AC14" s="29"/>
      <c r="AD14" s="32">
        <f t="shared" si="9"/>
        <v>0</v>
      </c>
    </row>
    <row r="15" spans="1:30" s="46" customFormat="1" ht="12.95" customHeight="1">
      <c r="A15" s="5" t="s">
        <v>48</v>
      </c>
      <c r="B15" s="1257" t="s">
        <v>171</v>
      </c>
      <c r="C15" s="1257"/>
      <c r="D15" s="61">
        <f t="shared" si="0"/>
        <v>0</v>
      </c>
      <c r="E15" s="61">
        <f t="shared" si="4"/>
        <v>492</v>
      </c>
      <c r="F15" s="61">
        <f t="shared" si="4"/>
        <v>389</v>
      </c>
      <c r="G15" s="61">
        <f t="shared" ref="G15:I15" si="12">SUM(G12:G14)</f>
        <v>0</v>
      </c>
      <c r="H15" s="61">
        <f t="shared" si="12"/>
        <v>280</v>
      </c>
      <c r="I15" s="61">
        <f t="shared" si="12"/>
        <v>280</v>
      </c>
      <c r="J15" s="61"/>
      <c r="K15" s="61"/>
      <c r="L15" s="32">
        <f t="shared" si="5"/>
        <v>0</v>
      </c>
      <c r="M15" s="61">
        <f>SUM(M12:M14)</f>
        <v>0</v>
      </c>
      <c r="N15" s="61">
        <f>SUM(N12:N14)</f>
        <v>0</v>
      </c>
      <c r="O15" s="32">
        <f t="shared" si="6"/>
        <v>0</v>
      </c>
      <c r="P15" s="61">
        <f t="shared" ref="P15:Q15" si="13">SUM(P12:P14)</f>
        <v>0</v>
      </c>
      <c r="Q15" s="61">
        <f t="shared" si="13"/>
        <v>0</v>
      </c>
      <c r="R15" s="32">
        <f t="shared" si="7"/>
        <v>0</v>
      </c>
      <c r="S15" s="61">
        <f t="shared" ref="S15:W15" si="14">SUM(S12:S14)</f>
        <v>0</v>
      </c>
      <c r="T15" s="61">
        <f t="shared" si="14"/>
        <v>200</v>
      </c>
      <c r="U15" s="61">
        <f t="shared" si="14"/>
        <v>97</v>
      </c>
      <c r="V15" s="61">
        <f t="shared" si="14"/>
        <v>0</v>
      </c>
      <c r="W15" s="61">
        <f t="shared" si="14"/>
        <v>0</v>
      </c>
      <c r="X15" s="32">
        <f t="shared" si="8"/>
        <v>0</v>
      </c>
      <c r="Y15" s="57">
        <f>SUM(Y12:Y14)</f>
        <v>0</v>
      </c>
      <c r="Z15" s="57">
        <f t="shared" ref="Z15:AA15" si="15">SUM(Z12:Z14)</f>
        <v>12</v>
      </c>
      <c r="AA15" s="57">
        <f t="shared" si="15"/>
        <v>12</v>
      </c>
      <c r="AB15" s="61">
        <f>SUM(AB12:AB14)</f>
        <v>0</v>
      </c>
      <c r="AC15" s="61">
        <f>SUM(AC12:AC14)</f>
        <v>0</v>
      </c>
      <c r="AD15" s="32">
        <f t="shared" si="9"/>
        <v>0</v>
      </c>
    </row>
    <row r="16" spans="1:30" ht="12.95" customHeight="1">
      <c r="A16" s="3" t="s">
        <v>50</v>
      </c>
      <c r="B16" s="1253" t="s">
        <v>49</v>
      </c>
      <c r="C16" s="1253"/>
      <c r="D16" s="61">
        <f t="shared" si="0"/>
        <v>0</v>
      </c>
      <c r="E16" s="61">
        <f t="shared" si="4"/>
        <v>0</v>
      </c>
      <c r="F16" s="61">
        <f t="shared" si="4"/>
        <v>0</v>
      </c>
      <c r="G16" s="29"/>
      <c r="H16" s="29"/>
      <c r="I16" s="32">
        <f t="shared" si="10"/>
        <v>0</v>
      </c>
      <c r="J16" s="29"/>
      <c r="K16" s="29"/>
      <c r="L16" s="32">
        <f t="shared" si="5"/>
        <v>0</v>
      </c>
      <c r="M16" s="29"/>
      <c r="N16" s="29"/>
      <c r="O16" s="32">
        <f t="shared" si="6"/>
        <v>0</v>
      </c>
      <c r="P16" s="29"/>
      <c r="Q16" s="29"/>
      <c r="R16" s="32">
        <f t="shared" si="7"/>
        <v>0</v>
      </c>
      <c r="S16" s="29"/>
      <c r="T16" s="29"/>
      <c r="U16" s="32">
        <f t="shared" si="11"/>
        <v>0</v>
      </c>
      <c r="V16" s="29"/>
      <c r="W16" s="29"/>
      <c r="X16" s="32">
        <f t="shared" si="8"/>
        <v>0</v>
      </c>
      <c r="Y16" s="32"/>
      <c r="Z16" s="32"/>
      <c r="AA16" s="32"/>
      <c r="AB16" s="29"/>
      <c r="AC16" s="29"/>
      <c r="AD16" s="32">
        <f t="shared" si="9"/>
        <v>0</v>
      </c>
    </row>
    <row r="17" spans="1:30" ht="12.95" customHeight="1">
      <c r="A17" s="3" t="s">
        <v>52</v>
      </c>
      <c r="B17" s="1253" t="s">
        <v>51</v>
      </c>
      <c r="C17" s="1253"/>
      <c r="D17" s="61">
        <f t="shared" si="0"/>
        <v>0</v>
      </c>
      <c r="E17" s="61">
        <f t="shared" si="4"/>
        <v>0</v>
      </c>
      <c r="F17" s="61">
        <f t="shared" si="4"/>
        <v>0</v>
      </c>
      <c r="G17" s="29"/>
      <c r="H17" s="29"/>
      <c r="I17" s="32">
        <f t="shared" si="10"/>
        <v>0</v>
      </c>
      <c r="J17" s="29"/>
      <c r="K17" s="29"/>
      <c r="L17" s="32">
        <f t="shared" si="5"/>
        <v>0</v>
      </c>
      <c r="M17" s="29"/>
      <c r="N17" s="29"/>
      <c r="O17" s="32">
        <f t="shared" si="6"/>
        <v>0</v>
      </c>
      <c r="P17" s="29"/>
      <c r="Q17" s="29"/>
      <c r="R17" s="32">
        <f t="shared" si="7"/>
        <v>0</v>
      </c>
      <c r="S17" s="29"/>
      <c r="T17" s="29"/>
      <c r="U17" s="32">
        <f t="shared" si="11"/>
        <v>0</v>
      </c>
      <c r="V17" s="29"/>
      <c r="W17" s="29"/>
      <c r="X17" s="32">
        <f t="shared" si="8"/>
        <v>0</v>
      </c>
      <c r="Y17" s="32"/>
      <c r="Z17" s="32"/>
      <c r="AA17" s="32"/>
      <c r="AB17" s="29"/>
      <c r="AC17" s="29"/>
      <c r="AD17" s="32">
        <f t="shared" si="9"/>
        <v>0</v>
      </c>
    </row>
    <row r="18" spans="1:30" s="46" customFormat="1" ht="12.95" customHeight="1">
      <c r="A18" s="5" t="s">
        <v>53</v>
      </c>
      <c r="B18" s="1257" t="s">
        <v>170</v>
      </c>
      <c r="C18" s="1257"/>
      <c r="D18" s="61">
        <f t="shared" si="0"/>
        <v>0</v>
      </c>
      <c r="E18" s="61">
        <f t="shared" si="4"/>
        <v>0</v>
      </c>
      <c r="F18" s="61">
        <f t="shared" si="4"/>
        <v>0</v>
      </c>
      <c r="G18" s="61">
        <f t="shared" ref="G18:H18" si="16">+G16+G17</f>
        <v>0</v>
      </c>
      <c r="H18" s="61">
        <f t="shared" si="16"/>
        <v>0</v>
      </c>
      <c r="I18" s="32">
        <f t="shared" si="10"/>
        <v>0</v>
      </c>
      <c r="J18" s="61"/>
      <c r="K18" s="61"/>
      <c r="L18" s="32">
        <f t="shared" si="5"/>
        <v>0</v>
      </c>
      <c r="M18" s="61">
        <f>+M16+M17</f>
        <v>0</v>
      </c>
      <c r="N18" s="61">
        <f>+N16+N17</f>
        <v>0</v>
      </c>
      <c r="O18" s="32">
        <f t="shared" si="6"/>
        <v>0</v>
      </c>
      <c r="P18" s="61">
        <f t="shared" ref="P18:Q18" si="17">+P16+P17</f>
        <v>0</v>
      </c>
      <c r="Q18" s="61">
        <f t="shared" si="17"/>
        <v>0</v>
      </c>
      <c r="R18" s="32">
        <f t="shared" si="7"/>
        <v>0</v>
      </c>
      <c r="S18" s="61">
        <f t="shared" ref="S18:W18" si="18">+S16+S17</f>
        <v>0</v>
      </c>
      <c r="T18" s="61">
        <f t="shared" si="18"/>
        <v>0</v>
      </c>
      <c r="U18" s="32">
        <f t="shared" si="11"/>
        <v>0</v>
      </c>
      <c r="V18" s="61">
        <f t="shared" si="18"/>
        <v>0</v>
      </c>
      <c r="W18" s="61">
        <f t="shared" si="18"/>
        <v>0</v>
      </c>
      <c r="X18" s="32">
        <f t="shared" si="8"/>
        <v>0</v>
      </c>
      <c r="Y18" s="32"/>
      <c r="Z18" s="32">
        <f>SUM(Z16:Z17)</f>
        <v>0</v>
      </c>
      <c r="AA18" s="32">
        <f>SUM(AA16:AA17)</f>
        <v>0</v>
      </c>
      <c r="AB18" s="61">
        <f>+AB16+AB17</f>
        <v>0</v>
      </c>
      <c r="AC18" s="61">
        <f>+AC16+AC17</f>
        <v>0</v>
      </c>
      <c r="AD18" s="32">
        <f t="shared" si="9"/>
        <v>0</v>
      </c>
    </row>
    <row r="19" spans="1:30" ht="12.95" customHeight="1">
      <c r="A19" s="3" t="s">
        <v>55</v>
      </c>
      <c r="B19" s="1253" t="s">
        <v>54</v>
      </c>
      <c r="C19" s="1253"/>
      <c r="D19" s="61">
        <f t="shared" si="0"/>
        <v>0</v>
      </c>
      <c r="E19" s="61">
        <f t="shared" si="4"/>
        <v>0</v>
      </c>
      <c r="F19" s="61">
        <f t="shared" si="4"/>
        <v>0</v>
      </c>
      <c r="G19" s="29"/>
      <c r="H19" s="29"/>
      <c r="I19" s="32">
        <f t="shared" si="10"/>
        <v>0</v>
      </c>
      <c r="J19" s="29"/>
      <c r="K19" s="29"/>
      <c r="L19" s="32">
        <f t="shared" si="5"/>
        <v>0</v>
      </c>
      <c r="M19" s="29"/>
      <c r="N19" s="29"/>
      <c r="O19" s="32">
        <f t="shared" si="6"/>
        <v>0</v>
      </c>
      <c r="P19" s="29"/>
      <c r="Q19" s="29"/>
      <c r="R19" s="32">
        <f t="shared" si="7"/>
        <v>0</v>
      </c>
      <c r="S19" s="29"/>
      <c r="T19" s="29"/>
      <c r="U19" s="32">
        <f t="shared" si="11"/>
        <v>0</v>
      </c>
      <c r="V19" s="29"/>
      <c r="W19" s="29"/>
      <c r="X19" s="32">
        <f t="shared" si="8"/>
        <v>0</v>
      </c>
      <c r="Y19" s="32"/>
      <c r="Z19" s="32"/>
      <c r="AA19" s="32"/>
      <c r="AB19" s="29"/>
      <c r="AC19" s="29"/>
      <c r="AD19" s="32">
        <f t="shared" si="9"/>
        <v>0</v>
      </c>
    </row>
    <row r="20" spans="1:30" ht="12.95" customHeight="1">
      <c r="A20" s="3" t="s">
        <v>57</v>
      </c>
      <c r="B20" s="1253" t="s">
        <v>56</v>
      </c>
      <c r="C20" s="1253"/>
      <c r="D20" s="61">
        <f>+G20+M20+P20+S20+V20+AB20+J20</f>
        <v>31698</v>
      </c>
      <c r="E20" s="61">
        <f t="shared" si="4"/>
        <v>34029</v>
      </c>
      <c r="F20" s="61">
        <f t="shared" si="4"/>
        <v>29141</v>
      </c>
      <c r="G20" s="29"/>
      <c r="H20" s="29"/>
      <c r="I20" s="32">
        <f t="shared" si="10"/>
        <v>0</v>
      </c>
      <c r="J20" s="29">
        <v>21298</v>
      </c>
      <c r="K20" s="29">
        <v>23006</v>
      </c>
      <c r="L20" s="32">
        <v>21869</v>
      </c>
      <c r="M20" s="29">
        <v>10400</v>
      </c>
      <c r="N20" s="29">
        <v>10785</v>
      </c>
      <c r="O20" s="32">
        <v>7034</v>
      </c>
      <c r="P20" s="29"/>
      <c r="Q20" s="29"/>
      <c r="R20" s="32">
        <f t="shared" si="7"/>
        <v>0</v>
      </c>
      <c r="S20" s="29"/>
      <c r="T20" s="29"/>
      <c r="U20" s="32">
        <f t="shared" si="11"/>
        <v>0</v>
      </c>
      <c r="V20" s="29"/>
      <c r="W20" s="29"/>
      <c r="X20" s="32">
        <f t="shared" si="8"/>
        <v>0</v>
      </c>
      <c r="Y20" s="32"/>
      <c r="Z20" s="32">
        <v>238</v>
      </c>
      <c r="AA20" s="32">
        <v>238</v>
      </c>
      <c r="AB20" s="29"/>
      <c r="AC20" s="29"/>
      <c r="AD20" s="32">
        <f t="shared" si="9"/>
        <v>0</v>
      </c>
    </row>
    <row r="21" spans="1:30" ht="12.95" customHeight="1">
      <c r="A21" s="3" t="s">
        <v>58</v>
      </c>
      <c r="B21" s="1253" t="s">
        <v>168</v>
      </c>
      <c r="C21" s="1253"/>
      <c r="D21" s="61">
        <f t="shared" ref="D21:D35" si="19">+G21+M21+P21+S21+V21+AB21+J21</f>
        <v>0</v>
      </c>
      <c r="E21" s="61">
        <f t="shared" si="4"/>
        <v>341</v>
      </c>
      <c r="F21" s="61">
        <f t="shared" si="4"/>
        <v>341</v>
      </c>
      <c r="G21" s="29"/>
      <c r="H21" s="29">
        <v>10</v>
      </c>
      <c r="I21" s="32">
        <v>10</v>
      </c>
      <c r="J21" s="29"/>
      <c r="K21" s="29"/>
      <c r="L21" s="32">
        <f t="shared" si="5"/>
        <v>0</v>
      </c>
      <c r="M21" s="29"/>
      <c r="N21" s="29"/>
      <c r="O21" s="32">
        <f t="shared" si="6"/>
        <v>0</v>
      </c>
      <c r="P21" s="29"/>
      <c r="Q21" s="29"/>
      <c r="R21" s="32">
        <f t="shared" si="7"/>
        <v>0</v>
      </c>
      <c r="S21" s="29"/>
      <c r="T21" s="29"/>
      <c r="U21" s="32">
        <f t="shared" si="11"/>
        <v>0</v>
      </c>
      <c r="V21" s="29"/>
      <c r="W21" s="29"/>
      <c r="X21" s="32">
        <f t="shared" si="8"/>
        <v>0</v>
      </c>
      <c r="Y21" s="32"/>
      <c r="Z21" s="32">
        <v>331</v>
      </c>
      <c r="AA21" s="32">
        <v>331</v>
      </c>
      <c r="AB21" s="29"/>
      <c r="AC21" s="29"/>
      <c r="AD21" s="32">
        <f t="shared" si="9"/>
        <v>0</v>
      </c>
    </row>
    <row r="22" spans="1:30" ht="12.95" customHeight="1">
      <c r="A22" s="3" t="s">
        <v>60</v>
      </c>
      <c r="B22" s="1253" t="s">
        <v>59</v>
      </c>
      <c r="C22" s="1253"/>
      <c r="D22" s="61">
        <f t="shared" si="19"/>
        <v>1800</v>
      </c>
      <c r="E22" s="61">
        <f t="shared" si="4"/>
        <v>1216</v>
      </c>
      <c r="F22" s="61">
        <f t="shared" si="4"/>
        <v>634</v>
      </c>
      <c r="G22" s="29"/>
      <c r="H22" s="29">
        <v>392</v>
      </c>
      <c r="I22" s="32">
        <v>412</v>
      </c>
      <c r="J22" s="29"/>
      <c r="K22" s="29"/>
      <c r="L22" s="32">
        <f t="shared" si="5"/>
        <v>0</v>
      </c>
      <c r="M22" s="29"/>
      <c r="N22" s="29"/>
      <c r="O22" s="32">
        <f t="shared" si="6"/>
        <v>0</v>
      </c>
      <c r="P22" s="29">
        <v>1000</v>
      </c>
      <c r="Q22" s="29">
        <v>522</v>
      </c>
      <c r="R22" s="32">
        <v>102</v>
      </c>
      <c r="S22" s="29">
        <v>800</v>
      </c>
      <c r="T22" s="29">
        <v>302</v>
      </c>
      <c r="U22" s="32">
        <v>120</v>
      </c>
      <c r="V22" s="29"/>
      <c r="W22" s="29"/>
      <c r="X22" s="32">
        <f t="shared" si="8"/>
        <v>0</v>
      </c>
      <c r="Y22" s="32"/>
      <c r="Z22" s="32"/>
      <c r="AA22" s="32"/>
      <c r="AB22" s="29"/>
      <c r="AC22" s="29"/>
      <c r="AD22" s="32">
        <f t="shared" si="9"/>
        <v>0</v>
      </c>
    </row>
    <row r="23" spans="1:30" ht="12.95" customHeight="1">
      <c r="A23" s="3" t="s">
        <v>61</v>
      </c>
      <c r="B23" s="1253" t="s">
        <v>167</v>
      </c>
      <c r="C23" s="1253"/>
      <c r="D23" s="61">
        <f t="shared" si="19"/>
        <v>6802</v>
      </c>
      <c r="E23" s="61">
        <f t="shared" si="4"/>
        <v>5802</v>
      </c>
      <c r="F23" s="61">
        <f t="shared" si="4"/>
        <v>4659</v>
      </c>
      <c r="G23" s="29">
        <v>6802</v>
      </c>
      <c r="H23" s="29">
        <v>5802</v>
      </c>
      <c r="I23" s="32">
        <v>4659</v>
      </c>
      <c r="J23" s="29"/>
      <c r="K23" s="29"/>
      <c r="L23" s="32">
        <f t="shared" si="5"/>
        <v>0</v>
      </c>
      <c r="M23" s="29"/>
      <c r="N23" s="29"/>
      <c r="O23" s="32">
        <f t="shared" si="6"/>
        <v>0</v>
      </c>
      <c r="P23" s="29"/>
      <c r="Q23" s="29"/>
      <c r="R23" s="32">
        <f t="shared" si="7"/>
        <v>0</v>
      </c>
      <c r="S23" s="29"/>
      <c r="T23" s="29"/>
      <c r="U23" s="32">
        <f t="shared" si="11"/>
        <v>0</v>
      </c>
      <c r="V23" s="29"/>
      <c r="W23" s="29"/>
      <c r="X23" s="32">
        <f t="shared" si="8"/>
        <v>0</v>
      </c>
      <c r="Y23" s="32"/>
      <c r="Z23" s="32"/>
      <c r="AA23" s="32"/>
      <c r="AB23" s="29"/>
      <c r="AC23" s="29"/>
      <c r="AD23" s="32">
        <f t="shared" si="9"/>
        <v>0</v>
      </c>
    </row>
    <row r="24" spans="1:30" ht="12.95" customHeight="1">
      <c r="A24" s="3" t="s">
        <v>64</v>
      </c>
      <c r="B24" s="1253" t="s">
        <v>63</v>
      </c>
      <c r="C24" s="1253"/>
      <c r="D24" s="61">
        <f t="shared" si="19"/>
        <v>0</v>
      </c>
      <c r="E24" s="61">
        <f t="shared" si="4"/>
        <v>0</v>
      </c>
      <c r="F24" s="61">
        <f t="shared" si="4"/>
        <v>0</v>
      </c>
      <c r="G24" s="29"/>
      <c r="H24" s="29"/>
      <c r="I24" s="32">
        <f t="shared" si="10"/>
        <v>0</v>
      </c>
      <c r="J24" s="29"/>
      <c r="K24" s="29"/>
      <c r="L24" s="32">
        <f t="shared" si="5"/>
        <v>0</v>
      </c>
      <c r="M24" s="29"/>
      <c r="N24" s="29"/>
      <c r="O24" s="32">
        <f t="shared" si="6"/>
        <v>0</v>
      </c>
      <c r="P24" s="29"/>
      <c r="Q24" s="29"/>
      <c r="R24" s="32">
        <f t="shared" si="7"/>
        <v>0</v>
      </c>
      <c r="S24" s="29"/>
      <c r="T24" s="29"/>
      <c r="U24" s="32">
        <f t="shared" si="11"/>
        <v>0</v>
      </c>
      <c r="V24" s="29"/>
      <c r="W24" s="29"/>
      <c r="X24" s="32">
        <f t="shared" si="8"/>
        <v>0</v>
      </c>
      <c r="Y24" s="32"/>
      <c r="Z24" s="32"/>
      <c r="AA24" s="32"/>
      <c r="AB24" s="29"/>
      <c r="AC24" s="29"/>
      <c r="AD24" s="32">
        <f t="shared" si="9"/>
        <v>0</v>
      </c>
    </row>
    <row r="25" spans="1:30" ht="12.95" customHeight="1">
      <c r="A25" s="3" t="s">
        <v>66</v>
      </c>
      <c r="B25" s="1253" t="s">
        <v>65</v>
      </c>
      <c r="C25" s="1253"/>
      <c r="D25" s="61">
        <f t="shared" si="19"/>
        <v>3500</v>
      </c>
      <c r="E25" s="61">
        <f t="shared" si="4"/>
        <v>4735</v>
      </c>
      <c r="F25" s="61">
        <f t="shared" si="4"/>
        <v>4407</v>
      </c>
      <c r="G25" s="29">
        <v>3500</v>
      </c>
      <c r="H25" s="29">
        <v>3259</v>
      </c>
      <c r="I25" s="32">
        <v>2986</v>
      </c>
      <c r="J25" s="29"/>
      <c r="K25" s="29"/>
      <c r="L25" s="32">
        <f t="shared" si="5"/>
        <v>0</v>
      </c>
      <c r="M25" s="29"/>
      <c r="N25" s="29"/>
      <c r="O25" s="32">
        <f t="shared" si="6"/>
        <v>0</v>
      </c>
      <c r="P25" s="29"/>
      <c r="Q25" s="29">
        <v>55</v>
      </c>
      <c r="R25" s="32">
        <v>0</v>
      </c>
      <c r="S25" s="29"/>
      <c r="T25" s="29"/>
      <c r="U25" s="32">
        <f t="shared" si="11"/>
        <v>0</v>
      </c>
      <c r="V25" s="29"/>
      <c r="W25" s="29"/>
      <c r="X25" s="32">
        <f t="shared" si="8"/>
        <v>0</v>
      </c>
      <c r="Y25" s="32"/>
      <c r="Z25" s="32">
        <v>1346</v>
      </c>
      <c r="AA25" s="32">
        <v>1346</v>
      </c>
      <c r="AB25" s="29"/>
      <c r="AC25" s="29">
        <v>75</v>
      </c>
      <c r="AD25" s="32">
        <v>75</v>
      </c>
    </row>
    <row r="26" spans="1:30" s="46" customFormat="1" ht="12.95" customHeight="1">
      <c r="A26" s="5" t="s">
        <v>67</v>
      </c>
      <c r="B26" s="1257" t="s">
        <v>157</v>
      </c>
      <c r="C26" s="1257"/>
      <c r="D26" s="61">
        <f t="shared" si="19"/>
        <v>43800</v>
      </c>
      <c r="E26" s="61">
        <f t="shared" si="4"/>
        <v>46123</v>
      </c>
      <c r="F26" s="61">
        <f t="shared" si="4"/>
        <v>39182</v>
      </c>
      <c r="G26" s="61">
        <f t="shared" ref="G26:AD26" si="20">+G25+G24+G23+G22+G21+G20+G19</f>
        <v>10302</v>
      </c>
      <c r="H26" s="61">
        <f t="shared" si="20"/>
        <v>9463</v>
      </c>
      <c r="I26" s="61">
        <f t="shared" si="20"/>
        <v>8067</v>
      </c>
      <c r="J26" s="61">
        <f t="shared" si="20"/>
        <v>21298</v>
      </c>
      <c r="K26" s="61">
        <f t="shared" si="20"/>
        <v>23006</v>
      </c>
      <c r="L26" s="61">
        <f t="shared" si="20"/>
        <v>21869</v>
      </c>
      <c r="M26" s="61">
        <f t="shared" si="20"/>
        <v>10400</v>
      </c>
      <c r="N26" s="61">
        <f t="shared" si="20"/>
        <v>10785</v>
      </c>
      <c r="O26" s="61">
        <f t="shared" si="20"/>
        <v>7034</v>
      </c>
      <c r="P26" s="61">
        <f t="shared" si="20"/>
        <v>1000</v>
      </c>
      <c r="Q26" s="61">
        <f t="shared" si="20"/>
        <v>577</v>
      </c>
      <c r="R26" s="61">
        <f t="shared" si="20"/>
        <v>102</v>
      </c>
      <c r="S26" s="61">
        <f t="shared" si="20"/>
        <v>800</v>
      </c>
      <c r="T26" s="61">
        <f t="shared" si="20"/>
        <v>302</v>
      </c>
      <c r="U26" s="61">
        <f t="shared" si="20"/>
        <v>120</v>
      </c>
      <c r="V26" s="61">
        <f t="shared" si="20"/>
        <v>0</v>
      </c>
      <c r="W26" s="61">
        <f t="shared" si="20"/>
        <v>0</v>
      </c>
      <c r="X26" s="32">
        <f t="shared" si="8"/>
        <v>0</v>
      </c>
      <c r="Y26" s="32"/>
      <c r="Z26" s="57">
        <f>SUM(Z19:Z25)</f>
        <v>1915</v>
      </c>
      <c r="AA26" s="57">
        <f>SUM(AA19:AA25)</f>
        <v>1915</v>
      </c>
      <c r="AB26" s="61">
        <f t="shared" si="20"/>
        <v>0</v>
      </c>
      <c r="AC26" s="61">
        <f t="shared" si="20"/>
        <v>75</v>
      </c>
      <c r="AD26" s="61">
        <f t="shared" si="20"/>
        <v>75</v>
      </c>
    </row>
    <row r="27" spans="1:30" ht="12.95" customHeight="1">
      <c r="A27" s="3" t="s">
        <v>69</v>
      </c>
      <c r="B27" s="1253" t="s">
        <v>68</v>
      </c>
      <c r="C27" s="1253"/>
      <c r="D27" s="61">
        <f t="shared" si="19"/>
        <v>0</v>
      </c>
      <c r="E27" s="61">
        <f t="shared" si="4"/>
        <v>0</v>
      </c>
      <c r="F27" s="61">
        <f t="shared" si="4"/>
        <v>0</v>
      </c>
      <c r="G27" s="29"/>
      <c r="H27" s="29"/>
      <c r="I27" s="32">
        <f t="shared" si="10"/>
        <v>0</v>
      </c>
      <c r="J27" s="29"/>
      <c r="K27" s="29"/>
      <c r="L27" s="32">
        <f t="shared" si="5"/>
        <v>0</v>
      </c>
      <c r="M27" s="29"/>
      <c r="N27" s="29"/>
      <c r="O27" s="32">
        <f t="shared" si="6"/>
        <v>0</v>
      </c>
      <c r="P27" s="29"/>
      <c r="Q27" s="29"/>
      <c r="R27" s="32">
        <f t="shared" si="7"/>
        <v>0</v>
      </c>
      <c r="S27" s="29"/>
      <c r="T27" s="29"/>
      <c r="U27" s="32">
        <f t="shared" si="11"/>
        <v>0</v>
      </c>
      <c r="V27" s="29"/>
      <c r="W27" s="29"/>
      <c r="X27" s="32">
        <f t="shared" si="8"/>
        <v>0</v>
      </c>
      <c r="Y27" s="32"/>
      <c r="Z27" s="32"/>
      <c r="AA27" s="32"/>
      <c r="AB27" s="29"/>
      <c r="AC27" s="29"/>
      <c r="AD27" s="32">
        <f t="shared" si="9"/>
        <v>0</v>
      </c>
    </row>
    <row r="28" spans="1:30" ht="12.95" customHeight="1">
      <c r="A28" s="3" t="s">
        <v>71</v>
      </c>
      <c r="B28" s="1253" t="s">
        <v>70</v>
      </c>
      <c r="C28" s="1253"/>
      <c r="D28" s="61">
        <f t="shared" si="19"/>
        <v>0</v>
      </c>
      <c r="E28" s="61">
        <f t="shared" si="4"/>
        <v>1001</v>
      </c>
      <c r="F28" s="61">
        <f t="shared" si="4"/>
        <v>1001</v>
      </c>
      <c r="G28" s="29"/>
      <c r="H28" s="29"/>
      <c r="I28" s="32">
        <f t="shared" si="10"/>
        <v>0</v>
      </c>
      <c r="J28" s="29"/>
      <c r="K28" s="29"/>
      <c r="L28" s="32">
        <f t="shared" si="5"/>
        <v>0</v>
      </c>
      <c r="M28" s="29"/>
      <c r="N28" s="29"/>
      <c r="O28" s="32">
        <f t="shared" si="6"/>
        <v>0</v>
      </c>
      <c r="P28" s="29"/>
      <c r="Q28" s="29"/>
      <c r="R28" s="32">
        <f t="shared" si="7"/>
        <v>0</v>
      </c>
      <c r="S28" s="29"/>
      <c r="T28" s="29"/>
      <c r="U28" s="32">
        <f t="shared" si="11"/>
        <v>0</v>
      </c>
      <c r="V28" s="29"/>
      <c r="W28" s="29"/>
      <c r="X28" s="32">
        <f t="shared" si="8"/>
        <v>0</v>
      </c>
      <c r="Y28" s="32"/>
      <c r="Z28" s="32">
        <v>1001</v>
      </c>
      <c r="AA28" s="32">
        <v>1001</v>
      </c>
      <c r="AB28" s="29"/>
      <c r="AC28" s="29"/>
      <c r="AD28" s="32">
        <f t="shared" si="9"/>
        <v>0</v>
      </c>
    </row>
    <row r="29" spans="1:30" s="46" customFormat="1" ht="12.95" customHeight="1">
      <c r="A29" s="5" t="s">
        <v>72</v>
      </c>
      <c r="B29" s="1257" t="s">
        <v>156</v>
      </c>
      <c r="C29" s="1257"/>
      <c r="D29" s="61">
        <f t="shared" si="19"/>
        <v>0</v>
      </c>
      <c r="E29" s="61">
        <f t="shared" si="4"/>
        <v>1001</v>
      </c>
      <c r="F29" s="61">
        <f t="shared" si="4"/>
        <v>1001</v>
      </c>
      <c r="G29" s="61">
        <f t="shared" ref="G29:H29" si="21">+G27+G28</f>
        <v>0</v>
      </c>
      <c r="H29" s="61">
        <f t="shared" si="21"/>
        <v>0</v>
      </c>
      <c r="I29" s="32">
        <f t="shared" si="10"/>
        <v>0</v>
      </c>
      <c r="J29" s="61"/>
      <c r="K29" s="61"/>
      <c r="L29" s="32">
        <f t="shared" si="5"/>
        <v>0</v>
      </c>
      <c r="M29" s="61">
        <f>+M27+M28</f>
        <v>0</v>
      </c>
      <c r="N29" s="61">
        <f>+N27+N28</f>
        <v>0</v>
      </c>
      <c r="O29" s="32">
        <f t="shared" si="6"/>
        <v>0</v>
      </c>
      <c r="P29" s="61">
        <f t="shared" ref="P29:W29" si="22">+P27+P28</f>
        <v>0</v>
      </c>
      <c r="Q29" s="61">
        <f t="shared" si="22"/>
        <v>0</v>
      </c>
      <c r="R29" s="32">
        <f t="shared" si="7"/>
        <v>0</v>
      </c>
      <c r="S29" s="61">
        <f t="shared" si="22"/>
        <v>0</v>
      </c>
      <c r="T29" s="61">
        <f t="shared" si="22"/>
        <v>0</v>
      </c>
      <c r="U29" s="32">
        <f t="shared" si="11"/>
        <v>0</v>
      </c>
      <c r="V29" s="61">
        <f t="shared" si="22"/>
        <v>0</v>
      </c>
      <c r="W29" s="61">
        <f t="shared" si="22"/>
        <v>0</v>
      </c>
      <c r="X29" s="32">
        <f t="shared" si="8"/>
        <v>0</v>
      </c>
      <c r="Y29" s="32"/>
      <c r="Z29" s="57">
        <f>SUM(Z28)</f>
        <v>1001</v>
      </c>
      <c r="AA29" s="57">
        <f>SUM(AA28)</f>
        <v>1001</v>
      </c>
      <c r="AB29" s="61">
        <f>+AB27+AB28</f>
        <v>0</v>
      </c>
      <c r="AC29" s="61">
        <f>+AC27+AC28</f>
        <v>0</v>
      </c>
      <c r="AD29" s="32">
        <f t="shared" si="9"/>
        <v>0</v>
      </c>
    </row>
    <row r="30" spans="1:30" ht="12.95" customHeight="1">
      <c r="A30" s="3" t="s">
        <v>74</v>
      </c>
      <c r="B30" s="1253" t="s">
        <v>73</v>
      </c>
      <c r="C30" s="1253"/>
      <c r="D30" s="61">
        <f t="shared" si="19"/>
        <v>10881</v>
      </c>
      <c r="E30" s="61">
        <f t="shared" si="4"/>
        <v>13193</v>
      </c>
      <c r="F30" s="61">
        <f t="shared" si="4"/>
        <v>10117</v>
      </c>
      <c r="G30" s="29">
        <v>1837</v>
      </c>
      <c r="H30" s="29">
        <f>3045+24</f>
        <v>3069</v>
      </c>
      <c r="I30" s="32">
        <v>1662</v>
      </c>
      <c r="J30" s="29">
        <v>5750</v>
      </c>
      <c r="K30" s="29">
        <v>6380</v>
      </c>
      <c r="L30" s="32">
        <v>5905</v>
      </c>
      <c r="M30" s="29">
        <v>2808</v>
      </c>
      <c r="N30" s="29">
        <v>2808</v>
      </c>
      <c r="O30" s="32">
        <v>1899</v>
      </c>
      <c r="P30" s="29">
        <v>270</v>
      </c>
      <c r="Q30" s="29">
        <v>156</v>
      </c>
      <c r="R30" s="32">
        <v>28</v>
      </c>
      <c r="S30" s="29">
        <v>216</v>
      </c>
      <c r="T30" s="29">
        <v>216</v>
      </c>
      <c r="U30" s="32">
        <v>59</v>
      </c>
      <c r="V30" s="29"/>
      <c r="W30" s="29"/>
      <c r="X30" s="32">
        <f t="shared" si="8"/>
        <v>0</v>
      </c>
      <c r="Y30" s="32"/>
      <c r="Z30" s="32">
        <v>544</v>
      </c>
      <c r="AA30" s="32">
        <v>544</v>
      </c>
      <c r="AB30" s="29"/>
      <c r="AC30" s="29">
        <v>20</v>
      </c>
      <c r="AD30" s="32">
        <v>20</v>
      </c>
    </row>
    <row r="31" spans="1:30" ht="12.95" customHeight="1">
      <c r="A31" s="3" t="s">
        <v>76</v>
      </c>
      <c r="B31" s="1253" t="s">
        <v>75</v>
      </c>
      <c r="C31" s="1253"/>
      <c r="D31" s="61">
        <f t="shared" si="19"/>
        <v>6532</v>
      </c>
      <c r="E31" s="61">
        <f t="shared" si="4"/>
        <v>6532</v>
      </c>
      <c r="F31" s="61">
        <f t="shared" si="4"/>
        <v>0</v>
      </c>
      <c r="G31" s="29">
        <v>2104</v>
      </c>
      <c r="H31" s="29">
        <v>2104</v>
      </c>
      <c r="I31" s="32">
        <v>0</v>
      </c>
      <c r="J31" s="29"/>
      <c r="K31" s="29"/>
      <c r="L31" s="32">
        <f t="shared" si="5"/>
        <v>0</v>
      </c>
      <c r="M31" s="29"/>
      <c r="N31" s="29"/>
      <c r="O31" s="32">
        <f t="shared" si="6"/>
        <v>0</v>
      </c>
      <c r="P31" s="29"/>
      <c r="Q31" s="29"/>
      <c r="R31" s="32">
        <f t="shared" si="7"/>
        <v>0</v>
      </c>
      <c r="S31" s="29"/>
      <c r="T31" s="29"/>
      <c r="U31" s="32">
        <f t="shared" si="11"/>
        <v>0</v>
      </c>
      <c r="V31" s="29"/>
      <c r="W31" s="29"/>
      <c r="X31" s="32">
        <f t="shared" si="8"/>
        <v>0</v>
      </c>
      <c r="Y31" s="32"/>
      <c r="Z31" s="32"/>
      <c r="AA31" s="32"/>
      <c r="AB31" s="29">
        <v>4428</v>
      </c>
      <c r="AC31" s="32">
        <f>+X31+AB31</f>
        <v>4428</v>
      </c>
      <c r="AD31" s="32"/>
    </row>
    <row r="32" spans="1:30" ht="12.95" customHeight="1">
      <c r="A32" s="3" t="s">
        <v>77</v>
      </c>
      <c r="B32" s="1253" t="s">
        <v>155</v>
      </c>
      <c r="C32" s="1253"/>
      <c r="D32" s="61">
        <f t="shared" si="19"/>
        <v>0</v>
      </c>
      <c r="E32" s="61">
        <f t="shared" si="4"/>
        <v>0</v>
      </c>
      <c r="F32" s="61">
        <f t="shared" si="4"/>
        <v>0</v>
      </c>
      <c r="G32" s="29"/>
      <c r="H32" s="29"/>
      <c r="I32" s="32">
        <f t="shared" si="10"/>
        <v>0</v>
      </c>
      <c r="J32" s="29"/>
      <c r="K32" s="29"/>
      <c r="L32" s="32">
        <f t="shared" si="5"/>
        <v>0</v>
      </c>
      <c r="M32" s="29"/>
      <c r="N32" s="29"/>
      <c r="O32" s="32">
        <f t="shared" si="6"/>
        <v>0</v>
      </c>
      <c r="P32" s="29"/>
      <c r="Q32" s="29"/>
      <c r="R32" s="32">
        <f t="shared" si="7"/>
        <v>0</v>
      </c>
      <c r="S32" s="29"/>
      <c r="T32" s="29"/>
      <c r="U32" s="32">
        <f t="shared" si="11"/>
        <v>0</v>
      </c>
      <c r="V32" s="29"/>
      <c r="W32" s="29"/>
      <c r="X32" s="32">
        <f t="shared" si="8"/>
        <v>0</v>
      </c>
      <c r="Y32" s="32"/>
      <c r="Z32" s="32"/>
      <c r="AA32" s="32"/>
      <c r="AB32" s="29"/>
      <c r="AC32" s="29"/>
      <c r="AD32" s="32">
        <f t="shared" si="9"/>
        <v>0</v>
      </c>
    </row>
    <row r="33" spans="1:30" ht="12.95" customHeight="1">
      <c r="A33" s="3" t="s">
        <v>78</v>
      </c>
      <c r="B33" s="1253" t="s">
        <v>154</v>
      </c>
      <c r="C33" s="1253"/>
      <c r="D33" s="61">
        <f t="shared" si="19"/>
        <v>0</v>
      </c>
      <c r="E33" s="61">
        <f t="shared" si="4"/>
        <v>0</v>
      </c>
      <c r="F33" s="61">
        <f t="shared" si="4"/>
        <v>0</v>
      </c>
      <c r="G33" s="29"/>
      <c r="H33" s="29"/>
      <c r="I33" s="32">
        <f t="shared" si="10"/>
        <v>0</v>
      </c>
      <c r="J33" s="29"/>
      <c r="K33" s="29"/>
      <c r="L33" s="32">
        <f t="shared" si="5"/>
        <v>0</v>
      </c>
      <c r="M33" s="29"/>
      <c r="N33" s="29"/>
      <c r="O33" s="32">
        <f t="shared" si="6"/>
        <v>0</v>
      </c>
      <c r="P33" s="29"/>
      <c r="Q33" s="29"/>
      <c r="R33" s="32">
        <f t="shared" si="7"/>
        <v>0</v>
      </c>
      <c r="S33" s="29"/>
      <c r="T33" s="29"/>
      <c r="U33" s="32">
        <f t="shared" si="11"/>
        <v>0</v>
      </c>
      <c r="V33" s="29"/>
      <c r="W33" s="29"/>
      <c r="X33" s="32">
        <f t="shared" si="8"/>
        <v>0</v>
      </c>
      <c r="Y33" s="32"/>
      <c r="Z33" s="32"/>
      <c r="AA33" s="32"/>
      <c r="AB33" s="29"/>
      <c r="AC33" s="29"/>
      <c r="AD33" s="32">
        <f t="shared" si="9"/>
        <v>0</v>
      </c>
    </row>
    <row r="34" spans="1:30" ht="12.95" customHeight="1">
      <c r="A34" s="3" t="s">
        <v>80</v>
      </c>
      <c r="B34" s="1253" t="s">
        <v>79</v>
      </c>
      <c r="C34" s="1253"/>
      <c r="D34" s="61">
        <f t="shared" si="19"/>
        <v>0</v>
      </c>
      <c r="E34" s="61">
        <f t="shared" si="4"/>
        <v>4958</v>
      </c>
      <c r="F34" s="61">
        <f t="shared" si="4"/>
        <v>113</v>
      </c>
      <c r="G34" s="29"/>
      <c r="H34" s="29">
        <v>1153</v>
      </c>
      <c r="I34" s="32">
        <v>113</v>
      </c>
      <c r="J34" s="29"/>
      <c r="K34" s="29"/>
      <c r="L34" s="32">
        <f t="shared" si="5"/>
        <v>0</v>
      </c>
      <c r="M34" s="29"/>
      <c r="N34" s="29"/>
      <c r="O34" s="32">
        <f t="shared" si="6"/>
        <v>0</v>
      </c>
      <c r="P34" s="29"/>
      <c r="Q34" s="29"/>
      <c r="R34" s="32">
        <f t="shared" si="7"/>
        <v>0</v>
      </c>
      <c r="S34" s="29"/>
      <c r="T34" s="29"/>
      <c r="U34" s="32">
        <f t="shared" si="11"/>
        <v>0</v>
      </c>
      <c r="V34" s="29"/>
      <c r="W34" s="29"/>
      <c r="X34" s="32">
        <f t="shared" si="8"/>
        <v>0</v>
      </c>
      <c r="Y34" s="32"/>
      <c r="Z34" s="32"/>
      <c r="AA34" s="32"/>
      <c r="AB34" s="29"/>
      <c r="AC34" s="29">
        <v>3805</v>
      </c>
      <c r="AD34" s="32">
        <v>0</v>
      </c>
    </row>
    <row r="35" spans="1:30" s="46" customFormat="1" ht="12.95" customHeight="1">
      <c r="A35" s="5" t="s">
        <v>81</v>
      </c>
      <c r="B35" s="1257" t="s">
        <v>153</v>
      </c>
      <c r="C35" s="1257"/>
      <c r="D35" s="61">
        <f t="shared" si="19"/>
        <v>17413</v>
      </c>
      <c r="E35" s="61">
        <f t="shared" si="4"/>
        <v>24683</v>
      </c>
      <c r="F35" s="61">
        <f t="shared" si="4"/>
        <v>10230</v>
      </c>
      <c r="G35" s="61">
        <f>SUM(G30:G34)</f>
        <v>3941</v>
      </c>
      <c r="H35" s="61">
        <f>SUM(H30:H34)</f>
        <v>6326</v>
      </c>
      <c r="I35" s="61">
        <f t="shared" ref="I35:L35" si="23">SUM(I30:I34)</f>
        <v>1775</v>
      </c>
      <c r="J35" s="61">
        <f>SUM(J30:J34)</f>
        <v>5750</v>
      </c>
      <c r="K35" s="61">
        <f>SUM(K30:K34)</f>
        <v>6380</v>
      </c>
      <c r="L35" s="61">
        <f t="shared" si="23"/>
        <v>5905</v>
      </c>
      <c r="M35" s="61">
        <f>SUM(M30:M34)</f>
        <v>2808</v>
      </c>
      <c r="N35" s="61">
        <f>SUM(N30:N34)</f>
        <v>2808</v>
      </c>
      <c r="O35" s="61">
        <f>SUM(O30:O34)</f>
        <v>1899</v>
      </c>
      <c r="P35" s="61">
        <f t="shared" ref="P35:X35" si="24">SUM(P30:P34)</f>
        <v>270</v>
      </c>
      <c r="Q35" s="61">
        <f t="shared" si="24"/>
        <v>156</v>
      </c>
      <c r="R35" s="61">
        <f t="shared" si="24"/>
        <v>28</v>
      </c>
      <c r="S35" s="61">
        <f t="shared" si="24"/>
        <v>216</v>
      </c>
      <c r="T35" s="61">
        <f t="shared" si="24"/>
        <v>216</v>
      </c>
      <c r="U35" s="61">
        <f t="shared" si="24"/>
        <v>59</v>
      </c>
      <c r="V35" s="61">
        <f t="shared" si="24"/>
        <v>0</v>
      </c>
      <c r="W35" s="61">
        <f t="shared" si="24"/>
        <v>0</v>
      </c>
      <c r="X35" s="61">
        <f t="shared" si="24"/>
        <v>0</v>
      </c>
      <c r="Y35" s="61"/>
      <c r="Z35" s="61">
        <f>SUM(Z30:Z34)</f>
        <v>544</v>
      </c>
      <c r="AA35" s="61">
        <f>SUM(AA30:AA34)</f>
        <v>544</v>
      </c>
      <c r="AB35" s="61">
        <f>SUM(AB30:AB34)</f>
        <v>4428</v>
      </c>
      <c r="AC35" s="61">
        <f>SUM(AC30:AC34)</f>
        <v>8253</v>
      </c>
      <c r="AD35" s="61">
        <f>SUM(AD30:AD34)</f>
        <v>20</v>
      </c>
    </row>
    <row r="36" spans="1:30" s="46" customFormat="1" ht="12.95" customHeight="1">
      <c r="A36" s="6" t="s">
        <v>82</v>
      </c>
      <c r="B36" s="1256" t="s">
        <v>152</v>
      </c>
      <c r="C36" s="1256"/>
      <c r="D36" s="61">
        <f>+D35+D30+D26+D18+D15</f>
        <v>72094</v>
      </c>
      <c r="E36" s="61">
        <f t="shared" si="4"/>
        <v>72299</v>
      </c>
      <c r="F36" s="61">
        <f t="shared" si="4"/>
        <v>50802</v>
      </c>
      <c r="G36" s="61">
        <f>+G35+G30+G26+G18+G15</f>
        <v>16080</v>
      </c>
      <c r="H36" s="61">
        <f>+H35+H26+H18+H15</f>
        <v>16069</v>
      </c>
      <c r="I36" s="61">
        <f>+I35+I26+I18+I15</f>
        <v>10122</v>
      </c>
      <c r="J36" s="61">
        <f>+J35+J30+J26+J18+J15</f>
        <v>32798</v>
      </c>
      <c r="K36" s="61">
        <f>+K35+K26+K18+K15</f>
        <v>29386</v>
      </c>
      <c r="L36" s="61">
        <f>+L35+L26+L18+L15</f>
        <v>27774</v>
      </c>
      <c r="M36" s="61">
        <f>+M35+M26+M18+M15</f>
        <v>13208</v>
      </c>
      <c r="N36" s="61">
        <f t="shared" ref="N36" si="25">+N35+N26+N18+N15</f>
        <v>13593</v>
      </c>
      <c r="O36" s="61">
        <f>+O35+O26+O18+O15+O29</f>
        <v>8933</v>
      </c>
      <c r="P36" s="61">
        <f t="shared" ref="P36" si="26">+P35+P26+P18+P15</f>
        <v>1270</v>
      </c>
      <c r="Q36" s="61">
        <f>+Q35+Q26+Q18+Q15</f>
        <v>733</v>
      </c>
      <c r="R36" s="61">
        <f t="shared" ref="R36" si="27">+R35+R26+R18+R15</f>
        <v>130</v>
      </c>
      <c r="S36" s="61">
        <f t="shared" ref="S36" si="28">+S35+S26+S18+S15</f>
        <v>1016</v>
      </c>
      <c r="T36" s="61">
        <f t="shared" ref="T36" si="29">+T35+T26+T18+T15</f>
        <v>718</v>
      </c>
      <c r="U36" s="61">
        <f>+U35+U29+U26+U18+U15</f>
        <v>276</v>
      </c>
      <c r="V36" s="61">
        <f t="shared" ref="V36" si="30">+V35+V30+V26+V18+V15</f>
        <v>0</v>
      </c>
      <c r="W36" s="61">
        <f t="shared" ref="W36:X36" si="31">+W35+W30+W26+W18+W15</f>
        <v>0</v>
      </c>
      <c r="X36" s="61">
        <f t="shared" si="31"/>
        <v>0</v>
      </c>
      <c r="Y36" s="61"/>
      <c r="Z36" s="61">
        <f>+Z35+Z26+Z18+Z15+Z29</f>
        <v>3472</v>
      </c>
      <c r="AA36" s="61">
        <f>+AA35+AA26+AA18+AA15+AA29</f>
        <v>3472</v>
      </c>
      <c r="AB36" s="61">
        <f t="shared" ref="AB36" si="32">+AB35+AB30+AB26+AB18+AB15</f>
        <v>4428</v>
      </c>
      <c r="AC36" s="61">
        <f>+AC35+AC26+AC18+AC15</f>
        <v>8328</v>
      </c>
      <c r="AD36" s="61">
        <f>+AD35+AD26+AD18+AD15</f>
        <v>95</v>
      </c>
    </row>
    <row r="37" spans="1:30" ht="8.25" customHeight="1">
      <c r="A37" s="7"/>
      <c r="B37" s="8"/>
      <c r="C37" s="8"/>
      <c r="D37" s="61"/>
      <c r="E37" s="61"/>
      <c r="F37" s="61"/>
      <c r="G37" s="30"/>
      <c r="H37" s="30"/>
      <c r="I37" s="31"/>
      <c r="J37" s="30"/>
      <c r="K37" s="30"/>
      <c r="L37" s="30"/>
      <c r="M37" s="30"/>
      <c r="N37" s="30"/>
      <c r="O37" s="30"/>
      <c r="P37" s="30"/>
      <c r="Q37" s="30"/>
      <c r="R37" s="31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</row>
    <row r="38" spans="1:30" ht="12.95" hidden="1" customHeight="1">
      <c r="A38" s="12" t="s">
        <v>84</v>
      </c>
      <c r="B38" s="1255" t="s">
        <v>83</v>
      </c>
      <c r="C38" s="1255"/>
      <c r="D38" s="61"/>
      <c r="E38" s="61"/>
      <c r="F38" s="61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</row>
    <row r="39" spans="1:30" ht="12.95" hidden="1" customHeight="1">
      <c r="A39" s="13" t="s">
        <v>85</v>
      </c>
      <c r="B39" s="1275" t="s">
        <v>137</v>
      </c>
      <c r="C39" s="1275"/>
      <c r="D39" s="61"/>
      <c r="E39" s="61"/>
      <c r="F39" s="61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1:30" s="42" customFormat="1" ht="12.95" hidden="1" customHeight="1">
      <c r="A40" s="34" t="s">
        <v>85</v>
      </c>
      <c r="B40" s="41"/>
      <c r="C40" s="37" t="s">
        <v>139</v>
      </c>
      <c r="D40" s="61"/>
      <c r="E40" s="61"/>
      <c r="F40" s="61"/>
      <c r="G40" s="60"/>
      <c r="H40" s="55"/>
      <c r="I40" s="55"/>
      <c r="J40" s="60"/>
      <c r="K40" s="60"/>
      <c r="L40" s="60"/>
      <c r="M40" s="60"/>
      <c r="N40" s="60"/>
      <c r="O40" s="60"/>
      <c r="P40" s="60"/>
      <c r="Q40" s="55"/>
      <c r="R40" s="55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</row>
    <row r="41" spans="1:30" ht="12.95" hidden="1" customHeight="1">
      <c r="A41" s="3" t="s">
        <v>87</v>
      </c>
      <c r="B41" s="1255" t="s">
        <v>86</v>
      </c>
      <c r="C41" s="1255"/>
      <c r="D41" s="61"/>
      <c r="E41" s="61"/>
      <c r="F41" s="61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</row>
    <row r="42" spans="1:30" ht="12.95" hidden="1" customHeight="1">
      <c r="A42" s="13" t="s">
        <v>88</v>
      </c>
      <c r="B42" s="1275" t="s">
        <v>140</v>
      </c>
      <c r="C42" s="1275"/>
      <c r="D42" s="61"/>
      <c r="E42" s="61"/>
      <c r="F42" s="61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</row>
    <row r="43" spans="1:30" s="42" customFormat="1" ht="12.95" hidden="1" customHeight="1">
      <c r="A43" s="34" t="s">
        <v>88</v>
      </c>
      <c r="B43" s="41"/>
      <c r="C43" s="35" t="s">
        <v>89</v>
      </c>
      <c r="D43" s="61"/>
      <c r="E43" s="61"/>
      <c r="F43" s="61"/>
      <c r="G43" s="60"/>
      <c r="H43" s="55"/>
      <c r="I43" s="55"/>
      <c r="J43" s="60"/>
      <c r="K43" s="60"/>
      <c r="L43" s="60"/>
      <c r="M43" s="60"/>
      <c r="N43" s="60"/>
      <c r="O43" s="60"/>
      <c r="P43" s="60"/>
      <c r="Q43" s="55"/>
      <c r="R43" s="55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</row>
    <row r="44" spans="1:30" s="42" customFormat="1" ht="12.95" hidden="1" customHeight="1">
      <c r="A44" s="34" t="s">
        <v>88</v>
      </c>
      <c r="B44" s="41"/>
      <c r="C44" s="37" t="s">
        <v>141</v>
      </c>
      <c r="D44" s="61"/>
      <c r="E44" s="61"/>
      <c r="F44" s="61"/>
      <c r="G44" s="60"/>
      <c r="H44" s="55"/>
      <c r="I44" s="55"/>
      <c r="J44" s="60"/>
      <c r="K44" s="60"/>
      <c r="L44" s="60"/>
      <c r="M44" s="60"/>
      <c r="N44" s="60"/>
      <c r="O44" s="60"/>
      <c r="P44" s="60"/>
      <c r="Q44" s="55"/>
      <c r="R44" s="55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</row>
    <row r="45" spans="1:30" ht="12.95" hidden="1" customHeight="1">
      <c r="A45" s="13" t="s">
        <v>90</v>
      </c>
      <c r="B45" s="1311" t="s">
        <v>142</v>
      </c>
      <c r="C45" s="1311"/>
      <c r="D45" s="61"/>
      <c r="E45" s="61"/>
      <c r="F45" s="61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s="42" customFormat="1" ht="12.95" hidden="1" customHeight="1">
      <c r="A46" s="38" t="s">
        <v>90</v>
      </c>
      <c r="B46" s="41"/>
      <c r="C46" s="37" t="s">
        <v>143</v>
      </c>
      <c r="D46" s="61"/>
      <c r="E46" s="61"/>
      <c r="F46" s="61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</row>
    <row r="47" spans="1:30" ht="12.95" hidden="1" customHeight="1">
      <c r="A47" s="13" t="s">
        <v>91</v>
      </c>
      <c r="B47" s="1264" t="s">
        <v>144</v>
      </c>
      <c r="C47" s="1264"/>
      <c r="D47" s="61"/>
      <c r="E47" s="61"/>
      <c r="F47" s="61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</row>
    <row r="48" spans="1:30" s="42" customFormat="1" ht="12.95" hidden="1" customHeight="1">
      <c r="A48" s="38" t="s">
        <v>91</v>
      </c>
      <c r="B48" s="41"/>
      <c r="C48" s="37" t="s">
        <v>145</v>
      </c>
      <c r="D48" s="61"/>
      <c r="E48" s="61"/>
      <c r="F48" s="61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</row>
    <row r="49" spans="1:30" ht="12.95" hidden="1" customHeight="1">
      <c r="A49" s="3" t="s">
        <v>92</v>
      </c>
      <c r="B49" s="1264" t="s">
        <v>146</v>
      </c>
      <c r="C49" s="1264"/>
      <c r="D49" s="61"/>
      <c r="E49" s="61"/>
      <c r="F49" s="61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 s="42" customFormat="1" ht="12.95" hidden="1" customHeight="1">
      <c r="A50" s="38" t="s">
        <v>92</v>
      </c>
      <c r="B50" s="41"/>
      <c r="C50" s="37" t="s">
        <v>93</v>
      </c>
      <c r="D50" s="61"/>
      <c r="E50" s="61"/>
      <c r="F50" s="61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</row>
    <row r="51" spans="1:30" ht="12.95" hidden="1" customHeight="1">
      <c r="A51" s="13" t="s">
        <v>94</v>
      </c>
      <c r="B51" s="1308" t="s">
        <v>147</v>
      </c>
      <c r="C51" s="1264"/>
      <c r="D51" s="61"/>
      <c r="E51" s="61"/>
      <c r="F51" s="61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 s="42" customFormat="1" ht="12.95" hidden="1" customHeight="1">
      <c r="A52" s="34" t="s">
        <v>94</v>
      </c>
      <c r="B52" s="41"/>
      <c r="C52" s="37" t="s">
        <v>148</v>
      </c>
      <c r="D52" s="61"/>
      <c r="E52" s="61"/>
      <c r="F52" s="61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</row>
    <row r="53" spans="1:30" s="42" customFormat="1" ht="12.95" hidden="1" customHeight="1">
      <c r="A53" s="34" t="s">
        <v>94</v>
      </c>
      <c r="B53" s="41"/>
      <c r="C53" s="37" t="s">
        <v>138</v>
      </c>
      <c r="D53" s="61"/>
      <c r="E53" s="61"/>
      <c r="F53" s="61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</row>
    <row r="54" spans="1:30" s="42" customFormat="1" ht="12.95" hidden="1" customHeight="1">
      <c r="A54" s="39" t="s">
        <v>94</v>
      </c>
      <c r="B54" s="41"/>
      <c r="C54" s="37" t="s">
        <v>149</v>
      </c>
      <c r="D54" s="61"/>
      <c r="E54" s="61"/>
      <c r="F54" s="61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</row>
    <row r="55" spans="1:30" s="42" customFormat="1" ht="12.95" hidden="1" customHeight="1">
      <c r="A55" s="34" t="s">
        <v>94</v>
      </c>
      <c r="B55" s="41"/>
      <c r="C55" s="37" t="s">
        <v>150</v>
      </c>
      <c r="D55" s="61"/>
      <c r="E55" s="61"/>
      <c r="F55" s="61"/>
      <c r="G55" s="62"/>
      <c r="H55" s="62"/>
      <c r="I55" s="62"/>
      <c r="J55" s="62"/>
      <c r="K55" s="62"/>
      <c r="L55" s="62"/>
      <c r="M55" s="62"/>
      <c r="N55" s="62"/>
      <c r="O55" s="62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</row>
    <row r="56" spans="1:30" s="46" customFormat="1" ht="12.95" hidden="1" customHeight="1">
      <c r="A56" s="6" t="s">
        <v>95</v>
      </c>
      <c r="B56" s="1309" t="s">
        <v>151</v>
      </c>
      <c r="C56" s="1310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</row>
    <row r="57" spans="1:30" ht="7.5" customHeight="1">
      <c r="A57" s="7"/>
      <c r="B57" s="1269"/>
      <c r="C57" s="1269"/>
      <c r="D57" s="61"/>
      <c r="E57" s="61"/>
      <c r="F57" s="61"/>
      <c r="G57" s="335"/>
      <c r="H57" s="335"/>
      <c r="I57" s="335"/>
      <c r="J57" s="335"/>
      <c r="K57" s="335"/>
      <c r="L57" s="335"/>
      <c r="M57" s="335"/>
      <c r="N57" s="335"/>
      <c r="O57" s="335"/>
      <c r="P57" s="30"/>
      <c r="Q57" s="30"/>
      <c r="R57" s="31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</row>
    <row r="58" spans="1:30" ht="12.95" customHeight="1">
      <c r="A58" s="12" t="s">
        <v>97</v>
      </c>
      <c r="B58" s="1264" t="s">
        <v>96</v>
      </c>
      <c r="C58" s="1264"/>
      <c r="D58" s="61">
        <f t="shared" si="0"/>
        <v>0</v>
      </c>
      <c r="E58" s="61">
        <f>+H58+N58+Q58+T58+W58+AC58+K58+Z58</f>
        <v>3260</v>
      </c>
      <c r="F58" s="61">
        <f>+I58+O58+R58+U58+X58+AD58+L58+AA58</f>
        <v>3260</v>
      </c>
      <c r="G58" s="29"/>
      <c r="H58" s="29"/>
      <c r="I58" s="29"/>
      <c r="J58" s="29"/>
      <c r="K58" s="29"/>
      <c r="L58" s="29"/>
      <c r="M58" s="29"/>
      <c r="N58" s="29"/>
      <c r="O58" s="29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>
        <v>3260</v>
      </c>
      <c r="AD58" s="32">
        <v>3260</v>
      </c>
    </row>
    <row r="59" spans="1:30" ht="12.95" customHeight="1">
      <c r="A59" s="3" t="s">
        <v>99</v>
      </c>
      <c r="B59" s="1264" t="s">
        <v>98</v>
      </c>
      <c r="C59" s="1264"/>
      <c r="D59" s="61">
        <f t="shared" si="0"/>
        <v>0</v>
      </c>
      <c r="E59" s="61">
        <f t="shared" ref="E59:F63" si="33">+H59+N59+Q59+T59+W59+AC59+K59+Z59</f>
        <v>0</v>
      </c>
      <c r="F59" s="61">
        <f t="shared" si="33"/>
        <v>0</v>
      </c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32"/>
      <c r="Z59" s="32"/>
      <c r="AA59" s="32"/>
      <c r="AB59" s="32"/>
      <c r="AC59" s="32"/>
      <c r="AD59" s="32"/>
    </row>
    <row r="60" spans="1:30" ht="12.95" customHeight="1">
      <c r="A60" s="3" t="s">
        <v>102</v>
      </c>
      <c r="B60" s="1264" t="s">
        <v>166</v>
      </c>
      <c r="C60" s="1264"/>
      <c r="D60" s="61">
        <f t="shared" si="0"/>
        <v>0</v>
      </c>
      <c r="E60" s="61">
        <f t="shared" si="33"/>
        <v>0</v>
      </c>
      <c r="F60" s="61">
        <f t="shared" si="33"/>
        <v>0</v>
      </c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32"/>
      <c r="Z60" s="32"/>
      <c r="AA60" s="32"/>
      <c r="AB60" s="32"/>
      <c r="AC60" s="32"/>
      <c r="AD60" s="32"/>
    </row>
    <row r="61" spans="1:30" ht="12.95" customHeight="1">
      <c r="A61" s="3" t="s">
        <v>104</v>
      </c>
      <c r="B61" s="1264" t="s">
        <v>103</v>
      </c>
      <c r="C61" s="1264"/>
      <c r="D61" s="61">
        <f t="shared" si="0"/>
        <v>0</v>
      </c>
      <c r="E61" s="61">
        <f t="shared" si="33"/>
        <v>0</v>
      </c>
      <c r="F61" s="61">
        <f t="shared" si="33"/>
        <v>0</v>
      </c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32"/>
      <c r="Z61" s="32"/>
      <c r="AA61" s="32"/>
      <c r="AB61" s="32"/>
      <c r="AC61" s="32"/>
      <c r="AD61" s="32">
        <f t="shared" ref="AD61:AD62" si="34">+AB61+AC61</f>
        <v>0</v>
      </c>
    </row>
    <row r="62" spans="1:30" ht="12.95" customHeight="1">
      <c r="A62" s="3" t="s">
        <v>106</v>
      </c>
      <c r="B62" s="1264" t="s">
        <v>165</v>
      </c>
      <c r="C62" s="1264"/>
      <c r="D62" s="61">
        <f t="shared" si="0"/>
        <v>0</v>
      </c>
      <c r="E62" s="61">
        <f t="shared" si="33"/>
        <v>0</v>
      </c>
      <c r="F62" s="61">
        <f t="shared" si="33"/>
        <v>0</v>
      </c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32"/>
      <c r="Z62" s="32"/>
      <c r="AA62" s="32"/>
      <c r="AB62" s="32"/>
      <c r="AC62" s="32"/>
      <c r="AD62" s="32">
        <f t="shared" si="34"/>
        <v>0</v>
      </c>
    </row>
    <row r="63" spans="1:30" ht="12.95" customHeight="1">
      <c r="A63" s="3" t="s">
        <v>712</v>
      </c>
      <c r="B63" s="1253" t="s">
        <v>107</v>
      </c>
      <c r="C63" s="1253"/>
      <c r="D63" s="61">
        <f t="shared" si="0"/>
        <v>468212</v>
      </c>
      <c r="E63" s="61">
        <f t="shared" si="33"/>
        <v>314810</v>
      </c>
      <c r="F63" s="61">
        <f t="shared" si="33"/>
        <v>0</v>
      </c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32"/>
      <c r="Z63" s="32"/>
      <c r="AA63" s="32"/>
      <c r="AB63" s="32">
        <f>SUM(AB64:AB67)</f>
        <v>468212</v>
      </c>
      <c r="AC63" s="32">
        <f>SUM(AC64:AC67)</f>
        <v>314810</v>
      </c>
      <c r="AD63" s="32">
        <f>SUM(AD64:AD67)</f>
        <v>0</v>
      </c>
    </row>
    <row r="64" spans="1:30" ht="12.95" customHeight="1">
      <c r="A64" s="442"/>
      <c r="B64" s="441"/>
      <c r="C64" s="464" t="s">
        <v>639</v>
      </c>
      <c r="D64" s="29">
        <f t="shared" ref="D64:D67" si="35">+G64+M64+P64+S64+V64+AB64</f>
        <v>6964</v>
      </c>
      <c r="E64" s="29">
        <f t="shared" ref="E64:E67" si="36">+H64+N64+Q64+T64+W64+AC64</f>
        <v>17860</v>
      </c>
      <c r="F64" s="29">
        <f t="shared" ref="F64:F67" si="37">+I64+O64+R64+U64+X64+AD64</f>
        <v>0</v>
      </c>
      <c r="G64" s="443"/>
      <c r="H64" s="443"/>
      <c r="I64" s="443"/>
      <c r="J64" s="443"/>
      <c r="K64" s="443"/>
      <c r="L64" s="443"/>
      <c r="M64" s="443"/>
      <c r="N64" s="443"/>
      <c r="O64" s="443"/>
      <c r="P64" s="443"/>
      <c r="Q64" s="443"/>
      <c r="R64" s="443"/>
      <c r="S64" s="443"/>
      <c r="T64" s="443"/>
      <c r="U64" s="443"/>
      <c r="V64" s="443"/>
      <c r="W64" s="443"/>
      <c r="X64" s="443"/>
      <c r="Y64" s="443"/>
      <c r="Z64" s="443"/>
      <c r="AA64" s="443"/>
      <c r="AB64" s="29">
        <f>5500+1464</f>
        <v>6964</v>
      </c>
      <c r="AC64" s="29">
        <v>17860</v>
      </c>
      <c r="AD64" s="32"/>
    </row>
    <row r="65" spans="1:30" ht="12.95" customHeight="1">
      <c r="A65" s="442"/>
      <c r="B65" s="441"/>
      <c r="C65" s="464" t="s">
        <v>640</v>
      </c>
      <c r="D65" s="29">
        <f t="shared" si="35"/>
        <v>446248</v>
      </c>
      <c r="E65" s="29">
        <f t="shared" si="36"/>
        <v>267336</v>
      </c>
      <c r="F65" s="29">
        <f t="shared" si="37"/>
        <v>0</v>
      </c>
      <c r="G65" s="443"/>
      <c r="H65" s="443"/>
      <c r="I65" s="443"/>
      <c r="J65" s="443"/>
      <c r="K65" s="443"/>
      <c r="L65" s="443"/>
      <c r="M65" s="443"/>
      <c r="N65" s="443"/>
      <c r="O65" s="443"/>
      <c r="P65" s="443"/>
      <c r="Q65" s="443"/>
      <c r="R65" s="443"/>
      <c r="S65" s="443"/>
      <c r="T65" s="443"/>
      <c r="U65" s="443"/>
      <c r="V65" s="443"/>
      <c r="W65" s="443"/>
      <c r="X65" s="443"/>
      <c r="Y65" s="443"/>
      <c r="Z65" s="443"/>
      <c r="AA65" s="443"/>
      <c r="AB65" s="29">
        <f>19500+42650+300000+44000+40098</f>
        <v>446248</v>
      </c>
      <c r="AC65" s="29">
        <f>277136-9800</f>
        <v>267336</v>
      </c>
      <c r="AD65" s="32"/>
    </row>
    <row r="66" spans="1:30" ht="12.95" customHeight="1">
      <c r="A66" s="442"/>
      <c r="B66" s="551"/>
      <c r="C66" s="551" t="s">
        <v>719</v>
      </c>
      <c r="D66" s="29">
        <f t="shared" si="35"/>
        <v>0</v>
      </c>
      <c r="E66" s="29">
        <f t="shared" si="36"/>
        <v>9800</v>
      </c>
      <c r="F66" s="29">
        <f t="shared" si="37"/>
        <v>0</v>
      </c>
      <c r="G66" s="443"/>
      <c r="H66" s="443"/>
      <c r="I66" s="443"/>
      <c r="J66" s="443"/>
      <c r="K66" s="443"/>
      <c r="L66" s="443"/>
      <c r="M66" s="443"/>
      <c r="N66" s="443"/>
      <c r="O66" s="443"/>
      <c r="P66" s="443"/>
      <c r="Q66" s="443"/>
      <c r="R66" s="443"/>
      <c r="S66" s="443"/>
      <c r="T66" s="443"/>
      <c r="U66" s="443"/>
      <c r="V66" s="443"/>
      <c r="W66" s="443"/>
      <c r="X66" s="443"/>
      <c r="Y66" s="443"/>
      <c r="Z66" s="443"/>
      <c r="AA66" s="443"/>
      <c r="AB66" s="443"/>
      <c r="AC66" s="443">
        <v>9800</v>
      </c>
      <c r="AD66" s="32"/>
    </row>
    <row r="67" spans="1:30" ht="12.95" customHeight="1">
      <c r="A67" s="442"/>
      <c r="B67" s="441"/>
      <c r="C67" s="464" t="s">
        <v>641</v>
      </c>
      <c r="D67" s="29">
        <f t="shared" si="35"/>
        <v>15000</v>
      </c>
      <c r="E67" s="29">
        <f t="shared" si="36"/>
        <v>19814</v>
      </c>
      <c r="F67" s="29">
        <f t="shared" si="37"/>
        <v>0</v>
      </c>
      <c r="G67" s="443"/>
      <c r="H67" s="443"/>
      <c r="I67" s="443"/>
      <c r="J67" s="443"/>
      <c r="K67" s="443"/>
      <c r="L67" s="443"/>
      <c r="M67" s="443"/>
      <c r="N67" s="443"/>
      <c r="O67" s="443"/>
      <c r="P67" s="443"/>
      <c r="Q67" s="443"/>
      <c r="R67" s="443"/>
      <c r="S67" s="443"/>
      <c r="T67" s="443"/>
      <c r="U67" s="443"/>
      <c r="V67" s="443"/>
      <c r="W67" s="443"/>
      <c r="X67" s="443"/>
      <c r="Y67" s="443"/>
      <c r="Z67" s="443"/>
      <c r="AA67" s="443"/>
      <c r="AB67" s="443">
        <v>15000</v>
      </c>
      <c r="AC67" s="443">
        <v>19814</v>
      </c>
      <c r="AD67" s="32"/>
    </row>
    <row r="68" spans="1:30" s="46" customFormat="1" ht="12.95" customHeight="1">
      <c r="A68" s="6" t="s">
        <v>109</v>
      </c>
      <c r="B68" s="1256" t="s">
        <v>164</v>
      </c>
      <c r="C68" s="1256"/>
      <c r="D68" s="61">
        <f t="shared" si="0"/>
        <v>468212</v>
      </c>
      <c r="E68" s="61">
        <f>+H68+N68+Q68+T68+W68+AC68+K68+Z68</f>
        <v>318070</v>
      </c>
      <c r="F68" s="61">
        <f>+I68+O68+R68+U68+X68+AD68+K68+AA68</f>
        <v>3260</v>
      </c>
      <c r="G68" s="58">
        <f>+G63+G62+G61+G60+G59+G58</f>
        <v>0</v>
      </c>
      <c r="H68" s="58">
        <f>+H63+H62+H61+H60+H59+H58</f>
        <v>0</v>
      </c>
      <c r="I68" s="58">
        <f>+I63+I62+I61+I60+I59+I58</f>
        <v>0</v>
      </c>
      <c r="J68" s="58"/>
      <c r="K68" s="58"/>
      <c r="L68" s="58"/>
      <c r="M68" s="58"/>
      <c r="N68" s="58"/>
      <c r="O68" s="58"/>
      <c r="P68" s="58">
        <f t="shared" ref="P68:X68" si="38">+P63+P62+P61+P60+P59+P58</f>
        <v>0</v>
      </c>
      <c r="Q68" s="58">
        <f t="shared" si="38"/>
        <v>0</v>
      </c>
      <c r="R68" s="58">
        <f t="shared" si="38"/>
        <v>0</v>
      </c>
      <c r="S68" s="58">
        <f t="shared" si="38"/>
        <v>0</v>
      </c>
      <c r="T68" s="58">
        <f t="shared" si="38"/>
        <v>0</v>
      </c>
      <c r="U68" s="58">
        <f t="shared" si="38"/>
        <v>0</v>
      </c>
      <c r="V68" s="58">
        <f t="shared" si="38"/>
        <v>0</v>
      </c>
      <c r="W68" s="58">
        <f t="shared" si="38"/>
        <v>0</v>
      </c>
      <c r="X68" s="58">
        <f t="shared" si="38"/>
        <v>0</v>
      </c>
      <c r="Y68" s="58"/>
      <c r="Z68" s="58"/>
      <c r="AA68" s="58"/>
      <c r="AB68" s="58">
        <f>+AB63+AB62+AB61+AB60+AB59+AB58</f>
        <v>468212</v>
      </c>
      <c r="AC68" s="58">
        <f>+AC63+AC62+AC61+AC60+AC59+AC58</f>
        <v>318070</v>
      </c>
      <c r="AD68" s="58">
        <f>+AD63+AD62+AD61+AD60+AD59+AD58</f>
        <v>3260</v>
      </c>
    </row>
    <row r="69" spans="1:30" ht="11.25" customHeight="1">
      <c r="A69" s="7"/>
      <c r="B69" s="8"/>
      <c r="C69" s="8"/>
      <c r="D69" s="61"/>
      <c r="E69" s="61"/>
      <c r="F69" s="61"/>
      <c r="G69" s="30"/>
      <c r="H69" s="30"/>
      <c r="I69" s="31"/>
      <c r="J69" s="30"/>
      <c r="K69" s="30"/>
      <c r="L69" s="30"/>
      <c r="M69" s="30"/>
      <c r="N69" s="30"/>
      <c r="O69" s="30"/>
      <c r="P69" s="30"/>
      <c r="Q69" s="30"/>
      <c r="R69" s="31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</row>
    <row r="70" spans="1:30" ht="12.95" customHeight="1">
      <c r="A70" s="12" t="s">
        <v>111</v>
      </c>
      <c r="B70" s="1255" t="s">
        <v>110</v>
      </c>
      <c r="C70" s="1255"/>
      <c r="D70" s="61">
        <f>+G70+J70+M70+P70+S70+V70+Y70+AB70</f>
        <v>0</v>
      </c>
      <c r="E70" s="61">
        <f t="shared" ref="E70:F70" si="39">+H70+K70+N70+Q70+T70+W70+Z70+AC70</f>
        <v>0</v>
      </c>
      <c r="F70" s="61">
        <f t="shared" si="39"/>
        <v>0</v>
      </c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</row>
    <row r="71" spans="1:30" ht="12.95" customHeight="1">
      <c r="A71" s="3" t="s">
        <v>112</v>
      </c>
      <c r="B71" s="1253" t="s">
        <v>163</v>
      </c>
      <c r="C71" s="1253"/>
      <c r="D71" s="61">
        <f t="shared" ref="D71:D77" si="40">+G71+J71+M71+P71+S71+V71+Y71+AB71</f>
        <v>0</v>
      </c>
      <c r="E71" s="61">
        <f t="shared" ref="E71:E77" si="41">+H71+K71+N71+Q71+T71+W71+Z71+AC71</f>
        <v>670</v>
      </c>
      <c r="F71" s="61">
        <f t="shared" ref="F71:F77" si="42">+I71+L71+O71+R71+U71+X71+AA71+AD71</f>
        <v>444</v>
      </c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>
        <v>670</v>
      </c>
      <c r="AD71" s="29">
        <v>444</v>
      </c>
    </row>
    <row r="72" spans="1:30" s="42" customFormat="1" ht="12.95" customHeight="1">
      <c r="A72" s="38" t="s">
        <v>112</v>
      </c>
      <c r="B72" s="41"/>
      <c r="C72" s="44" t="s">
        <v>113</v>
      </c>
      <c r="D72" s="61">
        <f t="shared" si="40"/>
        <v>0</v>
      </c>
      <c r="E72" s="61">
        <f t="shared" si="41"/>
        <v>0</v>
      </c>
      <c r="F72" s="61">
        <f t="shared" si="42"/>
        <v>0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</row>
    <row r="73" spans="1:30" ht="12.95" customHeight="1">
      <c r="A73" s="3" t="s">
        <v>115</v>
      </c>
      <c r="B73" s="1253" t="s">
        <v>114</v>
      </c>
      <c r="C73" s="1253"/>
      <c r="D73" s="61">
        <f t="shared" si="40"/>
        <v>0</v>
      </c>
      <c r="E73" s="61">
        <f t="shared" si="41"/>
        <v>0</v>
      </c>
      <c r="F73" s="61">
        <f t="shared" si="42"/>
        <v>0</v>
      </c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</row>
    <row r="74" spans="1:30" ht="12.95" customHeight="1">
      <c r="A74" s="3" t="s">
        <v>117</v>
      </c>
      <c r="B74" s="1253" t="s">
        <v>116</v>
      </c>
      <c r="C74" s="1253"/>
      <c r="D74" s="61">
        <f t="shared" si="40"/>
        <v>0</v>
      </c>
      <c r="E74" s="61">
        <f t="shared" si="41"/>
        <v>423</v>
      </c>
      <c r="F74" s="61">
        <f t="shared" si="42"/>
        <v>429</v>
      </c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>
        <v>423</v>
      </c>
      <c r="R74" s="29">
        <v>429</v>
      </c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</row>
    <row r="75" spans="1:30" ht="12.95" customHeight="1">
      <c r="A75" s="3" t="s">
        <v>119</v>
      </c>
      <c r="B75" s="1253" t="s">
        <v>118</v>
      </c>
      <c r="C75" s="1253"/>
      <c r="D75" s="61">
        <f t="shared" si="40"/>
        <v>0</v>
      </c>
      <c r="E75" s="61">
        <f t="shared" si="41"/>
        <v>0</v>
      </c>
      <c r="F75" s="61">
        <f t="shared" si="42"/>
        <v>0</v>
      </c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</row>
    <row r="76" spans="1:30" ht="12.95" customHeight="1">
      <c r="A76" s="3" t="s">
        <v>121</v>
      </c>
      <c r="B76" s="1253" t="s">
        <v>120</v>
      </c>
      <c r="C76" s="1253"/>
      <c r="D76" s="61">
        <f t="shared" si="40"/>
        <v>0</v>
      </c>
      <c r="E76" s="61">
        <f t="shared" si="41"/>
        <v>0</v>
      </c>
      <c r="F76" s="61">
        <f t="shared" si="42"/>
        <v>0</v>
      </c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</row>
    <row r="77" spans="1:30" ht="12.95" customHeight="1">
      <c r="A77" s="3" t="s">
        <v>123</v>
      </c>
      <c r="B77" s="1253" t="s">
        <v>122</v>
      </c>
      <c r="C77" s="1253"/>
      <c r="D77" s="61">
        <f t="shared" si="40"/>
        <v>0</v>
      </c>
      <c r="E77" s="61">
        <f t="shared" si="41"/>
        <v>295</v>
      </c>
      <c r="F77" s="61">
        <f t="shared" si="42"/>
        <v>236</v>
      </c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>
        <v>114</v>
      </c>
      <c r="R77" s="29">
        <v>116</v>
      </c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>
        <v>181</v>
      </c>
      <c r="AD77" s="29">
        <v>120</v>
      </c>
    </row>
    <row r="78" spans="1:30" s="46" customFormat="1" ht="12.95" customHeight="1">
      <c r="A78" s="6" t="s">
        <v>124</v>
      </c>
      <c r="B78" s="1256" t="s">
        <v>162</v>
      </c>
      <c r="C78" s="1256"/>
      <c r="D78" s="61"/>
      <c r="E78" s="61">
        <f>SUM(E70:E77)</f>
        <v>1388</v>
      </c>
      <c r="F78" s="61">
        <f>SUM(F70:F77)</f>
        <v>1109</v>
      </c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>
        <f>SUM(Q74:Q77)</f>
        <v>537</v>
      </c>
      <c r="R78" s="58">
        <f>SUM(R74:R77)</f>
        <v>545</v>
      </c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>
        <f>SUM(AC70:AC77)</f>
        <v>851</v>
      </c>
      <c r="AD78" s="58">
        <f>SUM(AD70:AD77)</f>
        <v>564</v>
      </c>
    </row>
    <row r="79" spans="1:30" ht="5.25" customHeight="1">
      <c r="A79" s="7"/>
      <c r="B79" s="8"/>
      <c r="C79" s="8"/>
      <c r="D79" s="61"/>
      <c r="E79" s="61"/>
      <c r="F79" s="61"/>
      <c r="G79" s="30"/>
      <c r="H79" s="30"/>
      <c r="I79" s="31"/>
      <c r="J79" s="30"/>
      <c r="K79" s="30"/>
      <c r="L79" s="30"/>
      <c r="M79" s="30"/>
      <c r="N79" s="30"/>
      <c r="O79" s="30"/>
      <c r="P79" s="30"/>
      <c r="Q79" s="30"/>
      <c r="R79" s="31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</row>
    <row r="80" spans="1:30" ht="12.95" hidden="1" customHeight="1">
      <c r="A80" s="3" t="s">
        <v>126</v>
      </c>
      <c r="B80" s="1253" t="s">
        <v>125</v>
      </c>
      <c r="C80" s="1253"/>
      <c r="D80" s="61"/>
      <c r="E80" s="61"/>
      <c r="F80" s="61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</row>
    <row r="81" spans="1:30" ht="12.95" hidden="1" customHeight="1">
      <c r="A81" s="3" t="s">
        <v>128</v>
      </c>
      <c r="B81" s="1253" t="s">
        <v>127</v>
      </c>
      <c r="C81" s="1253"/>
      <c r="D81" s="61"/>
      <c r="E81" s="61"/>
      <c r="F81" s="61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</row>
    <row r="82" spans="1:30" ht="12.95" hidden="1" customHeight="1">
      <c r="A82" s="3" t="s">
        <v>130</v>
      </c>
      <c r="B82" s="1253" t="s">
        <v>129</v>
      </c>
      <c r="C82" s="1253"/>
      <c r="D82" s="61"/>
      <c r="E82" s="61"/>
      <c r="F82" s="61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</row>
    <row r="83" spans="1:30" ht="12.95" hidden="1" customHeight="1">
      <c r="A83" s="3" t="s">
        <v>132</v>
      </c>
      <c r="B83" s="1253" t="s">
        <v>131</v>
      </c>
      <c r="C83" s="1253"/>
      <c r="D83" s="61"/>
      <c r="E83" s="61"/>
      <c r="F83" s="61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</row>
    <row r="84" spans="1:30" s="46" customFormat="1" ht="12.95" hidden="1" customHeight="1">
      <c r="A84" s="6" t="s">
        <v>133</v>
      </c>
      <c r="B84" s="1256" t="s">
        <v>161</v>
      </c>
      <c r="C84" s="1256"/>
      <c r="D84" s="61"/>
      <c r="E84" s="61"/>
      <c r="F84" s="61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</row>
    <row r="85" spans="1:30" ht="12.95" hidden="1" customHeight="1">
      <c r="A85" s="7"/>
      <c r="B85" s="8"/>
      <c r="C85" s="8"/>
      <c r="D85" s="61"/>
      <c r="E85" s="61"/>
      <c r="F85" s="61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</row>
    <row r="86" spans="1:30" ht="12.95" hidden="1" customHeight="1">
      <c r="A86" s="188" t="s">
        <v>389</v>
      </c>
      <c r="B86" s="1255" t="s">
        <v>390</v>
      </c>
      <c r="C86" s="1255"/>
      <c r="D86" s="61"/>
      <c r="E86" s="61"/>
      <c r="F86" s="61"/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89"/>
      <c r="R86" s="189"/>
      <c r="S86" s="189"/>
      <c r="T86" s="189"/>
      <c r="U86" s="189"/>
      <c r="V86" s="189"/>
      <c r="W86" s="189"/>
      <c r="X86" s="189"/>
      <c r="Y86" s="189"/>
      <c r="Z86" s="189"/>
      <c r="AA86" s="189"/>
      <c r="AB86" s="189"/>
      <c r="AC86" s="189"/>
      <c r="AD86" s="189"/>
    </row>
    <row r="87" spans="1:30" ht="12.95" hidden="1" customHeight="1">
      <c r="A87" s="188" t="s">
        <v>405</v>
      </c>
      <c r="B87" s="1270" t="s">
        <v>406</v>
      </c>
      <c r="C87" s="1271"/>
      <c r="D87" s="61"/>
      <c r="E87" s="61"/>
      <c r="F87" s="61"/>
      <c r="G87" s="189"/>
      <c r="H87" s="189"/>
      <c r="I87" s="189"/>
      <c r="J87" s="189"/>
      <c r="K87" s="189"/>
      <c r="L87" s="189"/>
      <c r="M87" s="189"/>
      <c r="N87" s="189"/>
      <c r="O87" s="189"/>
      <c r="P87" s="189"/>
      <c r="Q87" s="189"/>
      <c r="R87" s="189"/>
      <c r="S87" s="189"/>
      <c r="T87" s="189"/>
      <c r="U87" s="189"/>
      <c r="V87" s="189"/>
      <c r="W87" s="189"/>
      <c r="X87" s="189"/>
      <c r="Y87" s="189"/>
      <c r="Z87" s="189"/>
      <c r="AA87" s="189"/>
      <c r="AB87" s="189"/>
      <c r="AC87" s="189"/>
      <c r="AD87" s="189"/>
    </row>
    <row r="88" spans="1:30" ht="12.95" hidden="1" customHeight="1">
      <c r="A88" s="12" t="s">
        <v>134</v>
      </c>
      <c r="B88" s="1255" t="s">
        <v>160</v>
      </c>
      <c r="C88" s="1255"/>
      <c r="D88" s="61"/>
      <c r="E88" s="61"/>
      <c r="F88" s="61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</row>
    <row r="89" spans="1:30" s="46" customFormat="1" ht="12.95" hidden="1" customHeight="1">
      <c r="A89" s="14" t="s">
        <v>135</v>
      </c>
      <c r="B89" s="1272" t="s">
        <v>159</v>
      </c>
      <c r="C89" s="1272"/>
      <c r="D89" s="61"/>
      <c r="E89" s="61"/>
      <c r="F89" s="61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</row>
    <row r="90" spans="1:30" ht="12.95" customHeight="1">
      <c r="A90" s="7"/>
      <c r="B90" s="15"/>
      <c r="C90" s="15"/>
      <c r="D90" s="61"/>
      <c r="E90" s="61"/>
      <c r="F90" s="61"/>
      <c r="G90" s="30"/>
      <c r="H90" s="30"/>
      <c r="I90" s="31"/>
      <c r="J90" s="30"/>
      <c r="K90" s="30"/>
      <c r="L90" s="30"/>
      <c r="M90" s="30"/>
      <c r="N90" s="30"/>
      <c r="O90" s="30"/>
      <c r="P90" s="30"/>
      <c r="Q90" s="30"/>
      <c r="R90" s="31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</row>
    <row r="91" spans="1:30" s="46" customFormat="1" ht="12.95" customHeight="1">
      <c r="A91" s="16" t="s">
        <v>136</v>
      </c>
      <c r="B91" s="1273" t="s">
        <v>158</v>
      </c>
      <c r="C91" s="1273"/>
      <c r="D91" s="61">
        <f>+D68+D36+D10+D8</f>
        <v>565573</v>
      </c>
      <c r="E91" s="61">
        <f>+H91+N91+Q91+T91+W91+AC91+K91+Z91</f>
        <v>406936</v>
      </c>
      <c r="F91" s="61">
        <f>+I91+O91+R91+U91+X91+AD91+L91+AA91</f>
        <v>69073</v>
      </c>
      <c r="G91" s="57">
        <f>+G89+G84+G78+G68+G56+G36+G10+G8</f>
        <v>16080</v>
      </c>
      <c r="H91" s="57">
        <f t="shared" ref="H91:L91" si="43">+H89+H84+H78+H68+H56+H36+H10+H8</f>
        <v>16269</v>
      </c>
      <c r="I91" s="57">
        <f t="shared" si="43"/>
        <v>10322</v>
      </c>
      <c r="J91" s="57">
        <f t="shared" si="43"/>
        <v>32798</v>
      </c>
      <c r="K91" s="57">
        <f t="shared" si="43"/>
        <v>29386</v>
      </c>
      <c r="L91" s="57">
        <f t="shared" si="43"/>
        <v>27774</v>
      </c>
      <c r="M91" s="57">
        <f t="shared" ref="M91:AD91" si="44">+M89+M84+M78+M68+M56+M36+M10+M8</f>
        <v>13208</v>
      </c>
      <c r="N91" s="57">
        <f t="shared" si="44"/>
        <v>13593</v>
      </c>
      <c r="O91" s="57">
        <f>+O89+O84+O78+O68+O56+O36+O10+O8</f>
        <v>8933</v>
      </c>
      <c r="P91" s="57">
        <f t="shared" si="44"/>
        <v>1270</v>
      </c>
      <c r="Q91" s="57">
        <f>+Q89+Q84+Q78+Q68+Q56+Q36+Q10+Q8</f>
        <v>1270</v>
      </c>
      <c r="R91" s="57">
        <f t="shared" si="44"/>
        <v>675</v>
      </c>
      <c r="S91" s="57">
        <f t="shared" si="44"/>
        <v>1016</v>
      </c>
      <c r="T91" s="57">
        <f t="shared" si="44"/>
        <v>718</v>
      </c>
      <c r="U91" s="57">
        <f t="shared" si="44"/>
        <v>276</v>
      </c>
      <c r="V91" s="57">
        <f t="shared" si="44"/>
        <v>25267</v>
      </c>
      <c r="W91" s="57">
        <f t="shared" si="44"/>
        <v>14272</v>
      </c>
      <c r="X91" s="57">
        <f t="shared" si="44"/>
        <v>13702</v>
      </c>
      <c r="Y91" s="57"/>
      <c r="Z91" s="57">
        <f t="shared" si="44"/>
        <v>4179</v>
      </c>
      <c r="AA91" s="57">
        <f t="shared" si="44"/>
        <v>3472</v>
      </c>
      <c r="AB91" s="57">
        <f t="shared" si="44"/>
        <v>472640</v>
      </c>
      <c r="AC91" s="57">
        <f t="shared" si="44"/>
        <v>327249</v>
      </c>
      <c r="AD91" s="57">
        <f t="shared" si="44"/>
        <v>3919</v>
      </c>
    </row>
    <row r="92" spans="1:30" ht="12.95" customHeight="1">
      <c r="D92" s="61"/>
      <c r="E92" s="61"/>
      <c r="F92" s="61"/>
    </row>
    <row r="93" spans="1:30" ht="12.95" customHeight="1">
      <c r="A93" s="69" t="s">
        <v>270</v>
      </c>
      <c r="B93" s="1306" t="s">
        <v>269</v>
      </c>
      <c r="C93" s="1307"/>
      <c r="D93" s="61">
        <f>+G93+M93+P93+S93+V93+AB93+J93+Y93</f>
        <v>6160</v>
      </c>
      <c r="E93" s="61">
        <f t="shared" ref="E93:F99" si="45">+H93+N93+Q93+T93+W93+AC93+K93+Z93</f>
        <v>6673</v>
      </c>
      <c r="F93" s="61">
        <f t="shared" si="45"/>
        <v>6673</v>
      </c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>
        <v>6160</v>
      </c>
      <c r="AC93" s="19">
        <v>6673</v>
      </c>
      <c r="AD93" s="19">
        <v>6673</v>
      </c>
    </row>
    <row r="94" spans="1:30" ht="12.95" customHeight="1">
      <c r="A94" s="69" t="s">
        <v>382</v>
      </c>
      <c r="B94" s="1306" t="s">
        <v>385</v>
      </c>
      <c r="C94" s="1307"/>
      <c r="D94" s="61">
        <f t="shared" ref="D94:D99" si="46">+G94+M94+P94+S94+V94+AB94+J94+Y94</f>
        <v>0</v>
      </c>
      <c r="E94" s="61">
        <f t="shared" si="45"/>
        <v>0</v>
      </c>
      <c r="F94" s="61">
        <f t="shared" si="45"/>
        <v>0</v>
      </c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47">
        <f t="shared" ref="AD94:AD95" si="47">+AB94+AC94</f>
        <v>0</v>
      </c>
    </row>
    <row r="95" spans="1:30" ht="12.95" customHeight="1">
      <c r="A95" s="69" t="s">
        <v>383</v>
      </c>
      <c r="B95" s="1306" t="s">
        <v>384</v>
      </c>
      <c r="C95" s="1307"/>
      <c r="D95" s="61">
        <f t="shared" si="46"/>
        <v>0</v>
      </c>
      <c r="E95" s="61">
        <f t="shared" si="45"/>
        <v>0</v>
      </c>
      <c r="F95" s="61">
        <f t="shared" si="45"/>
        <v>0</v>
      </c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47">
        <f t="shared" si="47"/>
        <v>0</v>
      </c>
    </row>
    <row r="96" spans="1:30" s="46" customFormat="1" ht="12.95" customHeight="1">
      <c r="A96" s="68" t="s">
        <v>272</v>
      </c>
      <c r="B96" s="1312" t="s">
        <v>271</v>
      </c>
      <c r="C96" s="1312"/>
      <c r="D96" s="61">
        <f t="shared" si="46"/>
        <v>6160</v>
      </c>
      <c r="E96" s="61">
        <f t="shared" si="45"/>
        <v>6673</v>
      </c>
      <c r="F96" s="61">
        <f t="shared" si="45"/>
        <v>6673</v>
      </c>
      <c r="G96" s="47"/>
      <c r="H96" s="47"/>
      <c r="I96" s="47"/>
      <c r="J96" s="47"/>
      <c r="K96" s="47"/>
      <c r="L96" s="47"/>
      <c r="M96" s="47"/>
      <c r="N96" s="47"/>
      <c r="O96" s="47"/>
      <c r="P96" s="47">
        <f t="shared" ref="P96:AB96" si="48">SUM(P93:P95)</f>
        <v>0</v>
      </c>
      <c r="Q96" s="47">
        <f t="shared" si="48"/>
        <v>0</v>
      </c>
      <c r="R96" s="47">
        <f t="shared" si="48"/>
        <v>0</v>
      </c>
      <c r="S96" s="47">
        <f t="shared" si="48"/>
        <v>0</v>
      </c>
      <c r="T96" s="47">
        <f t="shared" si="48"/>
        <v>0</v>
      </c>
      <c r="U96" s="47">
        <f t="shared" si="48"/>
        <v>0</v>
      </c>
      <c r="V96" s="47">
        <f t="shared" si="48"/>
        <v>0</v>
      </c>
      <c r="W96" s="47">
        <f t="shared" si="48"/>
        <v>0</v>
      </c>
      <c r="X96" s="47">
        <f t="shared" si="48"/>
        <v>0</v>
      </c>
      <c r="Y96" s="47"/>
      <c r="Z96" s="47"/>
      <c r="AA96" s="47"/>
      <c r="AB96" s="47">
        <f t="shared" si="48"/>
        <v>6160</v>
      </c>
      <c r="AC96" s="47">
        <f>SUM(AC93:AC95)</f>
        <v>6673</v>
      </c>
      <c r="AD96" s="47">
        <f>SUM(AD93:AD95)</f>
        <v>6673</v>
      </c>
    </row>
    <row r="97" spans="1:30" s="46" customFormat="1" ht="12.95" customHeight="1">
      <c r="A97" s="68" t="s">
        <v>716</v>
      </c>
      <c r="B97" s="1312" t="s">
        <v>717</v>
      </c>
      <c r="C97" s="1312"/>
      <c r="D97" s="61">
        <f t="shared" si="46"/>
        <v>0</v>
      </c>
      <c r="E97" s="61">
        <f t="shared" si="45"/>
        <v>16953</v>
      </c>
      <c r="F97" s="61">
        <f t="shared" si="45"/>
        <v>16953</v>
      </c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>
        <v>16953</v>
      </c>
      <c r="AD97" s="47">
        <v>16953</v>
      </c>
    </row>
    <row r="98" spans="1:30" s="46" customFormat="1" ht="12.95" customHeight="1">
      <c r="A98" s="68" t="s">
        <v>386</v>
      </c>
      <c r="B98" s="1299" t="s">
        <v>387</v>
      </c>
      <c r="C98" s="1300"/>
      <c r="D98" s="61">
        <f t="shared" si="46"/>
        <v>335758</v>
      </c>
      <c r="E98" s="61">
        <f t="shared" si="45"/>
        <v>349709</v>
      </c>
      <c r="F98" s="61">
        <f t="shared" si="45"/>
        <v>343625</v>
      </c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>
        <v>335758</v>
      </c>
      <c r="AC98" s="47">
        <v>349709</v>
      </c>
      <c r="AD98" s="47">
        <v>343625</v>
      </c>
    </row>
    <row r="99" spans="1:30" s="46" customFormat="1" ht="12.95" customHeight="1">
      <c r="A99" s="68" t="s">
        <v>1283</v>
      </c>
      <c r="B99" s="1299" t="s">
        <v>1284</v>
      </c>
      <c r="C99" s="1300"/>
      <c r="D99" s="61">
        <f t="shared" si="46"/>
        <v>0</v>
      </c>
      <c r="E99" s="61">
        <f t="shared" si="45"/>
        <v>0</v>
      </c>
      <c r="F99" s="61">
        <f t="shared" si="45"/>
        <v>460250</v>
      </c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>
        <v>460250</v>
      </c>
    </row>
    <row r="100" spans="1:30" s="46" customFormat="1" ht="12.95" customHeight="1">
      <c r="A100" s="68" t="s">
        <v>273</v>
      </c>
      <c r="B100" s="80" t="s">
        <v>279</v>
      </c>
      <c r="C100" s="92"/>
      <c r="D100" s="61">
        <f t="shared" ref="D100" si="49">+G100+M100+P100+S100+V100+AB100</f>
        <v>341918</v>
      </c>
      <c r="E100" s="61">
        <f t="shared" ref="E100" si="50">+H100+N100+Q100+T100+W100+AC100</f>
        <v>373335</v>
      </c>
      <c r="F100" s="61">
        <f t="shared" ref="F100" si="51">+I100+O100+R100+U100+X100+AD100</f>
        <v>827501</v>
      </c>
      <c r="G100" s="47"/>
      <c r="H100" s="47"/>
      <c r="I100" s="47"/>
      <c r="J100" s="47"/>
      <c r="K100" s="47"/>
      <c r="L100" s="47"/>
      <c r="M100" s="47"/>
      <c r="N100" s="47"/>
      <c r="O100" s="47"/>
      <c r="P100" s="47">
        <f t="shared" ref="P100:AA100" si="52">+P98+P96</f>
        <v>0</v>
      </c>
      <c r="Q100" s="47">
        <f t="shared" si="52"/>
        <v>0</v>
      </c>
      <c r="R100" s="47">
        <f t="shared" si="52"/>
        <v>0</v>
      </c>
      <c r="S100" s="47">
        <f t="shared" si="52"/>
        <v>0</v>
      </c>
      <c r="T100" s="47">
        <f t="shared" si="52"/>
        <v>0</v>
      </c>
      <c r="U100" s="47">
        <f t="shared" si="52"/>
        <v>0</v>
      </c>
      <c r="V100" s="47">
        <f t="shared" si="52"/>
        <v>0</v>
      </c>
      <c r="W100" s="47">
        <f t="shared" si="52"/>
        <v>0</v>
      </c>
      <c r="X100" s="47">
        <f t="shared" si="52"/>
        <v>0</v>
      </c>
      <c r="Y100" s="47">
        <f t="shared" si="52"/>
        <v>0</v>
      </c>
      <c r="Z100" s="47">
        <f t="shared" si="52"/>
        <v>0</v>
      </c>
      <c r="AA100" s="47">
        <f t="shared" si="52"/>
        <v>0</v>
      </c>
      <c r="AB100" s="47">
        <f>+AB98+AB96+AB97</f>
        <v>341918</v>
      </c>
      <c r="AC100" s="47">
        <f t="shared" ref="AC100" si="53">+AC98+AC96+AC97</f>
        <v>373335</v>
      </c>
      <c r="AD100" s="47">
        <f>+AD98+AD96+AD97+AD99</f>
        <v>827501</v>
      </c>
    </row>
  </sheetData>
  <mergeCells count="91">
    <mergeCell ref="B94:C94"/>
    <mergeCell ref="B95:C95"/>
    <mergeCell ref="B98:C98"/>
    <mergeCell ref="B86:C86"/>
    <mergeCell ref="B91:C91"/>
    <mergeCell ref="B96:C96"/>
    <mergeCell ref="B97:C97"/>
    <mergeCell ref="B26:C26"/>
    <mergeCell ref="B33:C33"/>
    <mergeCell ref="B23:C23"/>
    <mergeCell ref="B73:C73"/>
    <mergeCell ref="B61:C61"/>
    <mergeCell ref="B62:C62"/>
    <mergeCell ref="B63:C63"/>
    <mergeCell ref="B68:C68"/>
    <mergeCell ref="B70:C70"/>
    <mergeCell ref="B71:C71"/>
    <mergeCell ref="B58:C58"/>
    <mergeCell ref="B29:C29"/>
    <mergeCell ref="B30:C30"/>
    <mergeCell ref="B31:C31"/>
    <mergeCell ref="B32:C32"/>
    <mergeCell ref="B41:C41"/>
    <mergeCell ref="B84:C84"/>
    <mergeCell ref="B88:C88"/>
    <mergeCell ref="B89:C89"/>
    <mergeCell ref="B74:C74"/>
    <mergeCell ref="B75:C75"/>
    <mergeCell ref="B76:C76"/>
    <mergeCell ref="B77:C77"/>
    <mergeCell ref="B78:C78"/>
    <mergeCell ref="B80:C80"/>
    <mergeCell ref="B81:C81"/>
    <mergeCell ref="B82:C82"/>
    <mergeCell ref="B83:C83"/>
    <mergeCell ref="B42:C42"/>
    <mergeCell ref="B45:C45"/>
    <mergeCell ref="B47:C47"/>
    <mergeCell ref="B49:C49"/>
    <mergeCell ref="B38:C38"/>
    <mergeCell ref="B28:C28"/>
    <mergeCell ref="B93:C93"/>
    <mergeCell ref="B22:C22"/>
    <mergeCell ref="B87:C87"/>
    <mergeCell ref="B59:C59"/>
    <mergeCell ref="B60:C60"/>
    <mergeCell ref="B39:C39"/>
    <mergeCell ref="B27:C27"/>
    <mergeCell ref="B24:C24"/>
    <mergeCell ref="B25:C25"/>
    <mergeCell ref="B34:C34"/>
    <mergeCell ref="B35:C35"/>
    <mergeCell ref="B36:C36"/>
    <mergeCell ref="B51:C51"/>
    <mergeCell ref="B56:C56"/>
    <mergeCell ref="B57:C57"/>
    <mergeCell ref="B6:C6"/>
    <mergeCell ref="B7:C7"/>
    <mergeCell ref="B8:C8"/>
    <mergeCell ref="B10:C10"/>
    <mergeCell ref="B12:C12"/>
    <mergeCell ref="S4:U4"/>
    <mergeCell ref="V4:X4"/>
    <mergeCell ref="B3:C5"/>
    <mergeCell ref="P3:R3"/>
    <mergeCell ref="P4:R4"/>
    <mergeCell ref="S3:U3"/>
    <mergeCell ref="V3:X3"/>
    <mergeCell ref="J3:L3"/>
    <mergeCell ref="B18:C18"/>
    <mergeCell ref="B14:C14"/>
    <mergeCell ref="B19:C19"/>
    <mergeCell ref="B13:C13"/>
    <mergeCell ref="B15:C15"/>
    <mergeCell ref="B16:C16"/>
    <mergeCell ref="B99:C99"/>
    <mergeCell ref="A1:AD1"/>
    <mergeCell ref="A2:AD2"/>
    <mergeCell ref="G3:I3"/>
    <mergeCell ref="M3:O3"/>
    <mergeCell ref="G4:I4"/>
    <mergeCell ref="M4:O4"/>
    <mergeCell ref="AB3:AD3"/>
    <mergeCell ref="D3:F3"/>
    <mergeCell ref="D4:F4"/>
    <mergeCell ref="A3:A5"/>
    <mergeCell ref="J4:L4"/>
    <mergeCell ref="Y3:AA3"/>
    <mergeCell ref="B20:C20"/>
    <mergeCell ref="B21:C21"/>
    <mergeCell ref="B17:C17"/>
  </mergeCells>
  <printOptions horizontalCentered="1"/>
  <pageMargins left="0.31496062992125984" right="0.31496062992125984" top="0.74803149606299213" bottom="0.15748031496062992" header="0.31496062992125984" footer="0.31496062992125984"/>
  <pageSetup paperSize="8" scale="64" fitToHeight="0" orientation="landscape" r:id="rId1"/>
  <headerFooter>
    <oddHeader>&amp;C&amp;"Times New Roman,Félkövér"&amp;12Martonvásár Város Önkormányzatának kiadásai 2015.
Egyéb tevékenység&amp;R&amp;"Times New Roman,Normál"&amp;10 5/g melléklet</oddHeader>
  </headerFooter>
  <colBreaks count="1" manualBreakCount="1">
    <brk id="15" max="1048575" man="1"/>
  </col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A111"/>
  <sheetViews>
    <sheetView topLeftCell="A46" workbookViewId="0">
      <selection activeCell="O49" sqref="O49"/>
    </sheetView>
  </sheetViews>
  <sheetFormatPr defaultRowHeight="12.75"/>
  <cols>
    <col min="1" max="1" width="7.42578125" style="26" customWidth="1"/>
    <col min="2" max="2" width="9.42578125" style="75" customWidth="1"/>
    <col min="3" max="3" width="32.28515625" style="75" customWidth="1"/>
    <col min="4" max="4" width="9.42578125" style="18" customWidth="1"/>
    <col min="5" max="5" width="7.5703125" style="18" customWidth="1"/>
    <col min="6" max="6" width="7.42578125" style="18" customWidth="1"/>
    <col min="7" max="7" width="9.42578125" style="18" customWidth="1"/>
    <col min="8" max="8" width="7.7109375" style="18" customWidth="1"/>
    <col min="9" max="9" width="9" style="18" customWidth="1"/>
    <col min="10" max="10" width="8.85546875" style="18" bestFit="1" customWidth="1"/>
    <col min="11" max="11" width="7.7109375" style="18" customWidth="1"/>
    <col min="12" max="12" width="7.85546875" style="18" customWidth="1"/>
    <col min="13" max="13" width="8.85546875" style="18" bestFit="1" customWidth="1"/>
    <col min="14" max="15" width="7" style="18" customWidth="1"/>
    <col min="16" max="16384" width="9.140625" style="18"/>
  </cols>
  <sheetData>
    <row r="1" spans="1:27" s="1" customFormat="1" ht="3.75" customHeight="1">
      <c r="A1" s="26"/>
      <c r="B1" s="27"/>
      <c r="C1" s="27"/>
      <c r="M1" s="1276" t="s">
        <v>404</v>
      </c>
      <c r="N1" s="1276"/>
      <c r="O1" s="1276"/>
      <c r="Z1" s="75"/>
      <c r="AA1" s="75"/>
    </row>
    <row r="2" spans="1:27" ht="25.5" customHeight="1">
      <c r="A2" s="1262" t="s">
        <v>0</v>
      </c>
      <c r="B2" s="1342" t="s">
        <v>285</v>
      </c>
      <c r="C2" s="1347"/>
      <c r="D2" s="1315" t="s">
        <v>302</v>
      </c>
      <c r="E2" s="1315"/>
      <c r="F2" s="1315"/>
      <c r="G2" s="1315" t="s">
        <v>294</v>
      </c>
      <c r="H2" s="1315"/>
      <c r="I2" s="1315"/>
      <c r="J2" s="1315" t="s">
        <v>295</v>
      </c>
      <c r="K2" s="1315"/>
      <c r="L2" s="1315"/>
      <c r="M2" s="1315" t="s">
        <v>743</v>
      </c>
      <c r="N2" s="1315"/>
      <c r="O2" s="1315"/>
    </row>
    <row r="3" spans="1:27" ht="24" customHeight="1">
      <c r="A3" s="1262"/>
      <c r="B3" s="1344"/>
      <c r="C3" s="1348"/>
      <c r="D3" s="549" t="s">
        <v>178</v>
      </c>
      <c r="E3" s="550" t="s">
        <v>672</v>
      </c>
      <c r="F3" s="550" t="s">
        <v>745</v>
      </c>
      <c r="G3" s="549" t="s">
        <v>178</v>
      </c>
      <c r="H3" s="550" t="s">
        <v>672</v>
      </c>
      <c r="I3" s="550" t="s">
        <v>745</v>
      </c>
      <c r="J3" s="549" t="s">
        <v>178</v>
      </c>
      <c r="K3" s="550" t="s">
        <v>672</v>
      </c>
      <c r="L3" s="550" t="s">
        <v>745</v>
      </c>
      <c r="M3" s="549" t="s">
        <v>178</v>
      </c>
      <c r="N3" s="550" t="s">
        <v>672</v>
      </c>
      <c r="O3" s="550" t="s">
        <v>745</v>
      </c>
    </row>
    <row r="4" spans="1:27">
      <c r="A4" s="77" t="s">
        <v>207</v>
      </c>
      <c r="B4" s="1323" t="s">
        <v>206</v>
      </c>
      <c r="C4" s="1324"/>
      <c r="D4" s="545">
        <f>+G4+J4+M4</f>
        <v>4000</v>
      </c>
      <c r="E4" s="545">
        <f>+H4+K4+N4</f>
        <v>7298</v>
      </c>
      <c r="F4" s="545">
        <f>+I4+L4+O4</f>
        <v>7298</v>
      </c>
      <c r="G4" s="104">
        <f t="shared" ref="G4:I4" si="0">SUM(G5:G14)</f>
        <v>0</v>
      </c>
      <c r="H4" s="104">
        <f t="shared" si="0"/>
        <v>48</v>
      </c>
      <c r="I4" s="104">
        <f t="shared" si="0"/>
        <v>48</v>
      </c>
      <c r="J4" s="104">
        <f>SUM(J5:J14)</f>
        <v>0</v>
      </c>
      <c r="K4" s="104"/>
      <c r="L4" s="104">
        <f>+J4+K4</f>
        <v>0</v>
      </c>
      <c r="M4" s="104">
        <f>SUM(M5:M14)</f>
        <v>4000</v>
      </c>
      <c r="N4" s="104">
        <v>7250</v>
      </c>
      <c r="O4" s="104">
        <f t="shared" ref="O4" si="1">SUM(O5:O14)</f>
        <v>7250</v>
      </c>
    </row>
    <row r="5" spans="1:27" s="42" customFormat="1">
      <c r="A5" s="103"/>
      <c r="B5" s="1313" t="s">
        <v>333</v>
      </c>
      <c r="C5" s="1314"/>
      <c r="D5" s="545">
        <f t="shared" ref="D5:D14" si="2">+G5+J5+M5</f>
        <v>4000</v>
      </c>
      <c r="E5" s="545">
        <f t="shared" ref="E5:E36" si="3">+H5+K5+N5</f>
        <v>7250</v>
      </c>
      <c r="F5" s="545">
        <f t="shared" ref="F5:F35" si="4">+I5+L5+O5</f>
        <v>7250</v>
      </c>
      <c r="G5" s="105"/>
      <c r="H5" s="105"/>
      <c r="I5" s="104">
        <v>0</v>
      </c>
      <c r="J5" s="105"/>
      <c r="K5" s="105"/>
      <c r="L5" s="104">
        <f t="shared" ref="L5:L46" si="5">+J5+K5</f>
        <v>0</v>
      </c>
      <c r="M5" s="105">
        <v>4000</v>
      </c>
      <c r="N5" s="105">
        <v>7250</v>
      </c>
      <c r="O5" s="874">
        <v>7250</v>
      </c>
    </row>
    <row r="6" spans="1:27" s="42" customFormat="1">
      <c r="A6" s="103"/>
      <c r="B6" s="1313" t="s">
        <v>323</v>
      </c>
      <c r="C6" s="1314"/>
      <c r="D6" s="545">
        <f t="shared" si="2"/>
        <v>0</v>
      </c>
      <c r="E6" s="545">
        <f t="shared" si="3"/>
        <v>0</v>
      </c>
      <c r="F6" s="545">
        <f t="shared" si="4"/>
        <v>0</v>
      </c>
      <c r="G6" s="105"/>
      <c r="H6" s="105"/>
      <c r="I6" s="104">
        <f t="shared" ref="I6:I46" si="6">+G6+H6</f>
        <v>0</v>
      </c>
      <c r="J6" s="105"/>
      <c r="K6" s="105"/>
      <c r="L6" s="104">
        <f t="shared" si="5"/>
        <v>0</v>
      </c>
      <c r="M6" s="105"/>
      <c r="N6" s="105"/>
      <c r="O6" s="72"/>
    </row>
    <row r="7" spans="1:27" s="42" customFormat="1">
      <c r="A7" s="103"/>
      <c r="B7" s="1313" t="s">
        <v>324</v>
      </c>
      <c r="C7" s="1314"/>
      <c r="D7" s="545">
        <f t="shared" si="2"/>
        <v>0</v>
      </c>
      <c r="E7" s="545">
        <f t="shared" si="3"/>
        <v>0</v>
      </c>
      <c r="F7" s="545">
        <f t="shared" si="4"/>
        <v>0</v>
      </c>
      <c r="G7" s="105"/>
      <c r="H7" s="105"/>
      <c r="I7" s="104">
        <f t="shared" si="6"/>
        <v>0</v>
      </c>
      <c r="J7" s="105"/>
      <c r="K7" s="105"/>
      <c r="L7" s="104">
        <f t="shared" si="5"/>
        <v>0</v>
      </c>
      <c r="M7" s="105"/>
      <c r="N7" s="105"/>
      <c r="O7" s="72"/>
    </row>
    <row r="8" spans="1:27" s="42" customFormat="1">
      <c r="A8" s="103"/>
      <c r="B8" s="1313" t="s">
        <v>325</v>
      </c>
      <c r="C8" s="1314"/>
      <c r="D8" s="545">
        <f t="shared" si="2"/>
        <v>0</v>
      </c>
      <c r="E8" s="545">
        <f t="shared" si="3"/>
        <v>48</v>
      </c>
      <c r="F8" s="545">
        <f t="shared" si="4"/>
        <v>48</v>
      </c>
      <c r="G8" s="105"/>
      <c r="H8" s="105">
        <v>48</v>
      </c>
      <c r="I8" s="104">
        <v>48</v>
      </c>
      <c r="J8" s="105"/>
      <c r="K8" s="105"/>
      <c r="L8" s="104">
        <f t="shared" si="5"/>
        <v>0</v>
      </c>
      <c r="M8" s="105"/>
      <c r="N8" s="105"/>
      <c r="O8" s="72"/>
    </row>
    <row r="9" spans="1:27" s="42" customFormat="1">
      <c r="A9" s="103"/>
      <c r="B9" s="1313" t="s">
        <v>326</v>
      </c>
      <c r="C9" s="1314"/>
      <c r="D9" s="545">
        <f t="shared" si="2"/>
        <v>0</v>
      </c>
      <c r="E9" s="545">
        <f t="shared" si="3"/>
        <v>0</v>
      </c>
      <c r="F9" s="545">
        <f t="shared" si="4"/>
        <v>0</v>
      </c>
      <c r="G9" s="105"/>
      <c r="H9" s="105"/>
      <c r="I9" s="104">
        <f t="shared" si="6"/>
        <v>0</v>
      </c>
      <c r="J9" s="105"/>
      <c r="K9" s="105"/>
      <c r="L9" s="104">
        <f t="shared" si="5"/>
        <v>0</v>
      </c>
      <c r="M9" s="105"/>
      <c r="N9" s="105"/>
      <c r="O9" s="72"/>
    </row>
    <row r="10" spans="1:27" s="42" customFormat="1">
      <c r="A10" s="103"/>
      <c r="B10" s="1313" t="s">
        <v>327</v>
      </c>
      <c r="C10" s="1314"/>
      <c r="D10" s="545">
        <f t="shared" si="2"/>
        <v>0</v>
      </c>
      <c r="E10" s="545">
        <f t="shared" si="3"/>
        <v>0</v>
      </c>
      <c r="F10" s="545">
        <f t="shared" si="4"/>
        <v>0</v>
      </c>
      <c r="G10" s="105"/>
      <c r="H10" s="105"/>
      <c r="I10" s="104">
        <f t="shared" si="6"/>
        <v>0</v>
      </c>
      <c r="J10" s="105"/>
      <c r="K10" s="105"/>
      <c r="L10" s="104">
        <f t="shared" si="5"/>
        <v>0</v>
      </c>
      <c r="M10" s="105"/>
      <c r="N10" s="105"/>
      <c r="O10" s="72"/>
    </row>
    <row r="11" spans="1:27" s="42" customFormat="1">
      <c r="A11" s="103"/>
      <c r="B11" s="1313" t="s">
        <v>100</v>
      </c>
      <c r="C11" s="1314"/>
      <c r="D11" s="545">
        <f t="shared" si="2"/>
        <v>0</v>
      </c>
      <c r="E11" s="545">
        <f t="shared" si="3"/>
        <v>0</v>
      </c>
      <c r="F11" s="545">
        <f t="shared" si="4"/>
        <v>0</v>
      </c>
      <c r="G11" s="105"/>
      <c r="H11" s="105"/>
      <c r="I11" s="104">
        <f t="shared" si="6"/>
        <v>0</v>
      </c>
      <c r="J11" s="105"/>
      <c r="K11" s="105"/>
      <c r="L11" s="104">
        <f t="shared" si="5"/>
        <v>0</v>
      </c>
      <c r="M11" s="105"/>
      <c r="N11" s="105"/>
      <c r="O11" s="72"/>
    </row>
    <row r="12" spans="1:27" s="42" customFormat="1">
      <c r="A12" s="103"/>
      <c r="B12" s="1313" t="s">
        <v>101</v>
      </c>
      <c r="C12" s="1314"/>
      <c r="D12" s="545">
        <f t="shared" si="2"/>
        <v>0</v>
      </c>
      <c r="E12" s="545">
        <f t="shared" si="3"/>
        <v>0</v>
      </c>
      <c r="F12" s="545">
        <f t="shared" si="4"/>
        <v>0</v>
      </c>
      <c r="G12" s="105"/>
      <c r="H12" s="105"/>
      <c r="I12" s="104">
        <f t="shared" si="6"/>
        <v>0</v>
      </c>
      <c r="J12" s="105"/>
      <c r="K12" s="105"/>
      <c r="L12" s="104">
        <f t="shared" si="5"/>
        <v>0</v>
      </c>
      <c r="M12" s="105"/>
      <c r="N12" s="105"/>
      <c r="O12" s="72"/>
    </row>
    <row r="13" spans="1:27" s="42" customFormat="1">
      <c r="A13" s="103"/>
      <c r="B13" s="1313" t="s">
        <v>328</v>
      </c>
      <c r="C13" s="1314"/>
      <c r="D13" s="545">
        <f t="shared" si="2"/>
        <v>0</v>
      </c>
      <c r="E13" s="545">
        <f t="shared" si="3"/>
        <v>0</v>
      </c>
      <c r="F13" s="545">
        <f t="shared" si="4"/>
        <v>0</v>
      </c>
      <c r="G13" s="105"/>
      <c r="H13" s="105"/>
      <c r="I13" s="104">
        <f t="shared" si="6"/>
        <v>0</v>
      </c>
      <c r="J13" s="105"/>
      <c r="K13" s="105"/>
      <c r="L13" s="104">
        <f t="shared" si="5"/>
        <v>0</v>
      </c>
      <c r="M13" s="105"/>
      <c r="N13" s="105"/>
      <c r="O13" s="72"/>
    </row>
    <row r="14" spans="1:27" s="42" customFormat="1">
      <c r="A14" s="103"/>
      <c r="B14" s="1313" t="s">
        <v>329</v>
      </c>
      <c r="C14" s="1314"/>
      <c r="D14" s="545">
        <f t="shared" si="2"/>
        <v>0</v>
      </c>
      <c r="E14" s="545">
        <f t="shared" si="3"/>
        <v>0</v>
      </c>
      <c r="F14" s="545">
        <f t="shared" si="4"/>
        <v>0</v>
      </c>
      <c r="G14" s="105"/>
      <c r="H14" s="105"/>
      <c r="I14" s="104">
        <f t="shared" si="6"/>
        <v>0</v>
      </c>
      <c r="J14" s="105"/>
      <c r="K14" s="105"/>
      <c r="L14" s="104">
        <f t="shared" si="5"/>
        <v>0</v>
      </c>
      <c r="M14" s="105"/>
      <c r="N14" s="105"/>
      <c r="O14" s="72"/>
    </row>
    <row r="15" spans="1:27" s="46" customFormat="1">
      <c r="A15" s="78" t="s">
        <v>208</v>
      </c>
      <c r="B15" s="1316" t="s">
        <v>421</v>
      </c>
      <c r="C15" s="1317"/>
      <c r="D15" s="219">
        <f>+G15+J15+M15</f>
        <v>4000</v>
      </c>
      <c r="E15" s="219">
        <f>+H15+K15+N15</f>
        <v>7298</v>
      </c>
      <c r="F15" s="219">
        <f>+I15+L15+O15</f>
        <v>7298</v>
      </c>
      <c r="G15" s="106">
        <f t="shared" ref="G15:H15" si="7">G4</f>
        <v>0</v>
      </c>
      <c r="H15" s="106">
        <f t="shared" si="7"/>
        <v>48</v>
      </c>
      <c r="I15" s="106">
        <f>I4</f>
        <v>48</v>
      </c>
      <c r="J15" s="106">
        <f>+J4</f>
        <v>0</v>
      </c>
      <c r="K15" s="106"/>
      <c r="L15" s="106">
        <f>+J15+K15</f>
        <v>0</v>
      </c>
      <c r="M15" s="106">
        <f>+M4</f>
        <v>4000</v>
      </c>
      <c r="N15" s="106">
        <f t="shared" ref="N15:O15" si="8">+N4</f>
        <v>7250</v>
      </c>
      <c r="O15" s="106">
        <f t="shared" si="8"/>
        <v>7250</v>
      </c>
    </row>
    <row r="16" spans="1:27">
      <c r="A16" s="77" t="s">
        <v>210</v>
      </c>
      <c r="B16" s="1323" t="s">
        <v>209</v>
      </c>
      <c r="C16" s="1324"/>
      <c r="D16" s="545">
        <f t="shared" ref="D16:D27" si="9">+G16+J16+M16</f>
        <v>2990</v>
      </c>
      <c r="E16" s="545">
        <f t="shared" si="3"/>
        <v>2990</v>
      </c>
      <c r="F16" s="545">
        <f t="shared" si="4"/>
        <v>2567</v>
      </c>
      <c r="G16" s="104"/>
      <c r="H16" s="104"/>
      <c r="I16" s="104">
        <f t="shared" si="6"/>
        <v>0</v>
      </c>
      <c r="J16" s="104">
        <f>+J19</f>
        <v>2990</v>
      </c>
      <c r="K16" s="104">
        <v>2990</v>
      </c>
      <c r="L16" s="104">
        <v>2567</v>
      </c>
      <c r="M16" s="104">
        <f>+M19</f>
        <v>0</v>
      </c>
      <c r="N16" s="104"/>
      <c r="O16" s="72"/>
    </row>
    <row r="17" spans="1:15" s="42" customFormat="1" ht="12.75" customHeight="1">
      <c r="A17" s="103"/>
      <c r="B17" s="1313" t="s">
        <v>333</v>
      </c>
      <c r="C17" s="1314"/>
      <c r="D17" s="545">
        <f t="shared" si="9"/>
        <v>0</v>
      </c>
      <c r="E17" s="545">
        <f t="shared" si="3"/>
        <v>0</v>
      </c>
      <c r="F17" s="545">
        <f t="shared" si="4"/>
        <v>0</v>
      </c>
      <c r="G17" s="105"/>
      <c r="H17" s="105"/>
      <c r="I17" s="104">
        <f t="shared" si="6"/>
        <v>0</v>
      </c>
      <c r="J17" s="105"/>
      <c r="K17" s="105"/>
      <c r="L17" s="104"/>
      <c r="M17" s="105"/>
      <c r="N17" s="105"/>
      <c r="O17" s="72"/>
    </row>
    <row r="18" spans="1:15" s="42" customFormat="1" ht="12.75" customHeight="1">
      <c r="A18" s="103"/>
      <c r="B18" s="1313" t="s">
        <v>323</v>
      </c>
      <c r="C18" s="1314"/>
      <c r="D18" s="545">
        <f t="shared" si="9"/>
        <v>0</v>
      </c>
      <c r="E18" s="545">
        <f t="shared" si="3"/>
        <v>0</v>
      </c>
      <c r="F18" s="545">
        <f t="shared" si="4"/>
        <v>0</v>
      </c>
      <c r="G18" s="105"/>
      <c r="H18" s="105"/>
      <c r="I18" s="104">
        <f t="shared" si="6"/>
        <v>0</v>
      </c>
      <c r="J18" s="105"/>
      <c r="K18" s="105"/>
      <c r="L18" s="104"/>
      <c r="M18" s="105"/>
      <c r="N18" s="105"/>
      <c r="O18" s="72"/>
    </row>
    <row r="19" spans="1:15" s="42" customFormat="1" ht="12.75" customHeight="1">
      <c r="A19" s="103"/>
      <c r="B19" s="1313" t="s">
        <v>324</v>
      </c>
      <c r="C19" s="1314"/>
      <c r="D19" s="545">
        <f t="shared" si="9"/>
        <v>2990</v>
      </c>
      <c r="E19" s="545">
        <f t="shared" si="3"/>
        <v>2990</v>
      </c>
      <c r="F19" s="545">
        <f t="shared" si="4"/>
        <v>2567</v>
      </c>
      <c r="G19" s="105"/>
      <c r="H19" s="105"/>
      <c r="I19" s="104">
        <f t="shared" si="6"/>
        <v>0</v>
      </c>
      <c r="J19" s="105">
        <v>2990</v>
      </c>
      <c r="K19" s="105">
        <v>2990</v>
      </c>
      <c r="L19" s="104">
        <v>2567</v>
      </c>
      <c r="M19" s="105"/>
      <c r="N19" s="105"/>
      <c r="O19" s="72"/>
    </row>
    <row r="20" spans="1:15" s="42" customFormat="1" ht="12.75" customHeight="1">
      <c r="A20" s="103"/>
      <c r="B20" s="1313" t="s">
        <v>325</v>
      </c>
      <c r="C20" s="1314"/>
      <c r="D20" s="545">
        <f t="shared" si="9"/>
        <v>0</v>
      </c>
      <c r="E20" s="545">
        <f t="shared" si="3"/>
        <v>0</v>
      </c>
      <c r="F20" s="545">
        <f t="shared" si="4"/>
        <v>0</v>
      </c>
      <c r="G20" s="105"/>
      <c r="H20" s="105"/>
      <c r="I20" s="104">
        <f t="shared" si="6"/>
        <v>0</v>
      </c>
      <c r="J20" s="105"/>
      <c r="K20" s="105"/>
      <c r="L20" s="104">
        <f t="shared" si="5"/>
        <v>0</v>
      </c>
      <c r="M20" s="105"/>
      <c r="N20" s="105"/>
      <c r="O20" s="72"/>
    </row>
    <row r="21" spans="1:15" s="42" customFormat="1" ht="12.75" customHeight="1">
      <c r="A21" s="103"/>
      <c r="B21" s="1313" t="s">
        <v>326</v>
      </c>
      <c r="C21" s="1314"/>
      <c r="D21" s="545">
        <f t="shared" si="9"/>
        <v>0</v>
      </c>
      <c r="E21" s="545">
        <f t="shared" si="3"/>
        <v>0</v>
      </c>
      <c r="F21" s="545">
        <f t="shared" si="4"/>
        <v>0</v>
      </c>
      <c r="G21" s="105"/>
      <c r="H21" s="105"/>
      <c r="I21" s="104">
        <f t="shared" si="6"/>
        <v>0</v>
      </c>
      <c r="J21" s="105"/>
      <c r="K21" s="105"/>
      <c r="L21" s="104">
        <f t="shared" si="5"/>
        <v>0</v>
      </c>
      <c r="M21" s="105"/>
      <c r="N21" s="105"/>
      <c r="O21" s="72"/>
    </row>
    <row r="22" spans="1:15" s="42" customFormat="1" ht="12.75" customHeight="1">
      <c r="A22" s="103"/>
      <c r="B22" s="1313" t="s">
        <v>327</v>
      </c>
      <c r="C22" s="1314"/>
      <c r="D22" s="545">
        <f t="shared" si="9"/>
        <v>0</v>
      </c>
      <c r="E22" s="545">
        <f t="shared" si="3"/>
        <v>0</v>
      </c>
      <c r="F22" s="545">
        <f t="shared" si="4"/>
        <v>0</v>
      </c>
      <c r="G22" s="105"/>
      <c r="H22" s="105"/>
      <c r="I22" s="104">
        <f t="shared" si="6"/>
        <v>0</v>
      </c>
      <c r="J22" s="105"/>
      <c r="K22" s="105"/>
      <c r="L22" s="104">
        <f t="shared" si="5"/>
        <v>0</v>
      </c>
      <c r="M22" s="105"/>
      <c r="N22" s="105"/>
      <c r="O22" s="72"/>
    </row>
    <row r="23" spans="1:15" s="42" customFormat="1" ht="12.75" customHeight="1">
      <c r="A23" s="103"/>
      <c r="B23" s="1313" t="s">
        <v>100</v>
      </c>
      <c r="C23" s="1314"/>
      <c r="D23" s="545">
        <f t="shared" si="9"/>
        <v>0</v>
      </c>
      <c r="E23" s="545">
        <f t="shared" si="3"/>
        <v>0</v>
      </c>
      <c r="F23" s="545">
        <f t="shared" si="4"/>
        <v>0</v>
      </c>
      <c r="G23" s="105"/>
      <c r="H23" s="105"/>
      <c r="I23" s="104">
        <f t="shared" si="6"/>
        <v>0</v>
      </c>
      <c r="J23" s="105"/>
      <c r="K23" s="105"/>
      <c r="L23" s="104">
        <f t="shared" si="5"/>
        <v>0</v>
      </c>
      <c r="M23" s="105"/>
      <c r="N23" s="105"/>
      <c r="O23" s="72"/>
    </row>
    <row r="24" spans="1:15" s="42" customFormat="1" ht="12.75" customHeight="1">
      <c r="A24" s="103"/>
      <c r="B24" s="1313" t="s">
        <v>101</v>
      </c>
      <c r="C24" s="1314"/>
      <c r="D24" s="545">
        <f t="shared" si="9"/>
        <v>0</v>
      </c>
      <c r="E24" s="545">
        <f t="shared" si="3"/>
        <v>0</v>
      </c>
      <c r="F24" s="545">
        <f t="shared" si="4"/>
        <v>0</v>
      </c>
      <c r="G24" s="105"/>
      <c r="H24" s="105"/>
      <c r="I24" s="104">
        <f t="shared" si="6"/>
        <v>0</v>
      </c>
      <c r="J24" s="105"/>
      <c r="K24" s="105"/>
      <c r="L24" s="104">
        <f t="shared" si="5"/>
        <v>0</v>
      </c>
      <c r="M24" s="105"/>
      <c r="N24" s="105"/>
      <c r="O24" s="72"/>
    </row>
    <row r="25" spans="1:15" s="42" customFormat="1" ht="12.75" customHeight="1">
      <c r="A25" s="103"/>
      <c r="B25" s="1313" t="s">
        <v>328</v>
      </c>
      <c r="C25" s="1314"/>
      <c r="D25" s="545">
        <f t="shared" si="9"/>
        <v>0</v>
      </c>
      <c r="E25" s="545">
        <f t="shared" si="3"/>
        <v>0</v>
      </c>
      <c r="F25" s="545">
        <f t="shared" si="4"/>
        <v>0</v>
      </c>
      <c r="G25" s="105"/>
      <c r="H25" s="105"/>
      <c r="I25" s="104">
        <f t="shared" si="6"/>
        <v>0</v>
      </c>
      <c r="J25" s="105"/>
      <c r="K25" s="105"/>
      <c r="L25" s="104">
        <f t="shared" si="5"/>
        <v>0</v>
      </c>
      <c r="M25" s="105"/>
      <c r="N25" s="105"/>
      <c r="O25" s="72"/>
    </row>
    <row r="26" spans="1:15" s="42" customFormat="1" ht="12.75" customHeight="1">
      <c r="A26" s="103"/>
      <c r="B26" s="1313" t="s">
        <v>329</v>
      </c>
      <c r="C26" s="1314"/>
      <c r="D26" s="545">
        <f t="shared" si="9"/>
        <v>0</v>
      </c>
      <c r="E26" s="545">
        <f t="shared" si="3"/>
        <v>0</v>
      </c>
      <c r="F26" s="545">
        <f t="shared" si="4"/>
        <v>0</v>
      </c>
      <c r="G26" s="105"/>
      <c r="H26" s="105"/>
      <c r="I26" s="104">
        <f t="shared" si="6"/>
        <v>0</v>
      </c>
      <c r="J26" s="105"/>
      <c r="K26" s="105"/>
      <c r="L26" s="104">
        <f t="shared" si="5"/>
        <v>0</v>
      </c>
      <c r="M26" s="105"/>
      <c r="N26" s="105"/>
      <c r="O26" s="72"/>
    </row>
    <row r="27" spans="1:15" s="46" customFormat="1">
      <c r="A27" s="78" t="s">
        <v>211</v>
      </c>
      <c r="B27" s="1316" t="s">
        <v>331</v>
      </c>
      <c r="C27" s="1317"/>
      <c r="D27" s="219">
        <f t="shared" si="9"/>
        <v>2990</v>
      </c>
      <c r="E27" s="219">
        <f>+H27+K27+N27</f>
        <v>2990</v>
      </c>
      <c r="F27" s="219">
        <f t="shared" si="4"/>
        <v>2567</v>
      </c>
      <c r="G27" s="106"/>
      <c r="H27" s="106"/>
      <c r="I27" s="106">
        <f t="shared" si="6"/>
        <v>0</v>
      </c>
      <c r="J27" s="106">
        <f>+J16</f>
        <v>2990</v>
      </c>
      <c r="K27" s="106">
        <f>+K16</f>
        <v>2990</v>
      </c>
      <c r="L27" s="106">
        <f>+L16</f>
        <v>2567</v>
      </c>
      <c r="M27" s="106">
        <f>+M16</f>
        <v>0</v>
      </c>
      <c r="N27" s="106"/>
      <c r="O27" s="550">
        <f t="shared" ref="O27" si="10">+M27+N27</f>
        <v>0</v>
      </c>
    </row>
    <row r="28" spans="1:15" s="46" customFormat="1" ht="15" customHeight="1">
      <c r="A28" s="78" t="s">
        <v>236</v>
      </c>
      <c r="B28" s="1299" t="s">
        <v>393</v>
      </c>
      <c r="C28" s="1300"/>
      <c r="D28" s="219">
        <f>+G28+J28+M28</f>
        <v>0</v>
      </c>
      <c r="E28" s="219">
        <f>+H28+K28+N28</f>
        <v>30</v>
      </c>
      <c r="F28" s="219">
        <f>+I28+L28+O28</f>
        <v>30</v>
      </c>
      <c r="G28" s="106"/>
      <c r="H28" s="106">
        <v>30</v>
      </c>
      <c r="I28" s="106">
        <v>30</v>
      </c>
      <c r="J28" s="106"/>
      <c r="K28" s="106"/>
      <c r="L28" s="104">
        <f t="shared" si="5"/>
        <v>0</v>
      </c>
      <c r="M28" s="106"/>
      <c r="N28" s="106"/>
      <c r="O28" s="72"/>
    </row>
    <row r="29" spans="1:15">
      <c r="A29" s="77" t="s">
        <v>240</v>
      </c>
      <c r="B29" s="1323" t="s">
        <v>239</v>
      </c>
      <c r="C29" s="1324"/>
      <c r="D29" s="63">
        <f>+G29+J29+M29</f>
        <v>3063</v>
      </c>
      <c r="E29" s="63">
        <f>+H29+K29+N29</f>
        <v>14644</v>
      </c>
      <c r="F29" s="63">
        <f>+I29+L29+O29</f>
        <v>12512</v>
      </c>
      <c r="G29" s="63">
        <v>250</v>
      </c>
      <c r="H29" s="63">
        <v>622</v>
      </c>
      <c r="I29" s="63">
        <v>648</v>
      </c>
      <c r="J29" s="63"/>
      <c r="K29" s="63"/>
      <c r="L29" s="104">
        <v>11</v>
      </c>
      <c r="M29" s="63">
        <f>88+1156+1209+360</f>
        <v>2813</v>
      </c>
      <c r="N29" s="63">
        <v>14022</v>
      </c>
      <c r="O29" s="72">
        <v>11853</v>
      </c>
    </row>
    <row r="30" spans="1:15">
      <c r="A30" s="77" t="s">
        <v>242</v>
      </c>
      <c r="B30" s="1318" t="s">
        <v>241</v>
      </c>
      <c r="C30" s="1319"/>
      <c r="D30" s="63">
        <f t="shared" ref="D30:D36" si="11">+G30+J30+M30</f>
        <v>0</v>
      </c>
      <c r="E30" s="63">
        <f t="shared" si="3"/>
        <v>6236</v>
      </c>
      <c r="F30" s="63">
        <f>+I30+L30+O30</f>
        <v>6195</v>
      </c>
      <c r="G30" s="63"/>
      <c r="H30" s="63">
        <v>125</v>
      </c>
      <c r="I30" s="104">
        <v>84</v>
      </c>
      <c r="J30" s="63"/>
      <c r="K30" s="63">
        <v>9</v>
      </c>
      <c r="L30" s="104">
        <v>9</v>
      </c>
      <c r="M30" s="63"/>
      <c r="N30" s="63">
        <v>6102</v>
      </c>
      <c r="O30" s="72">
        <v>6102</v>
      </c>
    </row>
    <row r="31" spans="1:15">
      <c r="A31" s="77" t="s">
        <v>244</v>
      </c>
      <c r="B31" s="1318" t="s">
        <v>763</v>
      </c>
      <c r="C31" s="1319"/>
      <c r="D31" s="63">
        <f t="shared" si="11"/>
        <v>0</v>
      </c>
      <c r="E31" s="63">
        <f t="shared" si="3"/>
        <v>0</v>
      </c>
      <c r="F31" s="63">
        <f t="shared" si="4"/>
        <v>509</v>
      </c>
      <c r="G31" s="63"/>
      <c r="H31" s="63"/>
      <c r="I31" s="104"/>
      <c r="J31" s="63"/>
      <c r="K31" s="63"/>
      <c r="L31" s="104"/>
      <c r="M31" s="63"/>
      <c r="N31" s="63"/>
      <c r="O31" s="72">
        <v>509</v>
      </c>
    </row>
    <row r="32" spans="1:15">
      <c r="A32" s="77" t="s">
        <v>248</v>
      </c>
      <c r="B32" s="1306" t="s">
        <v>247</v>
      </c>
      <c r="C32" s="1307"/>
      <c r="D32" s="63">
        <f t="shared" si="11"/>
        <v>759</v>
      </c>
      <c r="E32" s="63">
        <f t="shared" si="3"/>
        <v>4865</v>
      </c>
      <c r="F32" s="63">
        <f t="shared" si="4"/>
        <v>4822</v>
      </c>
      <c r="G32" s="63"/>
      <c r="H32" s="63"/>
      <c r="I32" s="104"/>
      <c r="J32" s="63"/>
      <c r="K32" s="63"/>
      <c r="L32" s="104">
        <f t="shared" si="5"/>
        <v>0</v>
      </c>
      <c r="M32" s="63">
        <f>24+312+326+97</f>
        <v>759</v>
      </c>
      <c r="N32" s="63">
        <v>4865</v>
      </c>
      <c r="O32" s="72">
        <v>4822</v>
      </c>
    </row>
    <row r="33" spans="1:15">
      <c r="A33" s="77" t="s">
        <v>250</v>
      </c>
      <c r="B33" s="1306" t="s">
        <v>249</v>
      </c>
      <c r="C33" s="1307"/>
      <c r="D33" s="63">
        <f t="shared" si="11"/>
        <v>486</v>
      </c>
      <c r="E33" s="63">
        <f t="shared" si="3"/>
        <v>1047</v>
      </c>
      <c r="F33" s="63">
        <f t="shared" si="4"/>
        <v>1711</v>
      </c>
      <c r="G33" s="63"/>
      <c r="H33" s="63"/>
      <c r="I33" s="104">
        <f t="shared" si="6"/>
        <v>0</v>
      </c>
      <c r="J33" s="63"/>
      <c r="K33" s="63"/>
      <c r="L33" s="104">
        <f t="shared" si="5"/>
        <v>0</v>
      </c>
      <c r="M33" s="63">
        <v>486</v>
      </c>
      <c r="N33" s="63">
        <v>1047</v>
      </c>
      <c r="O33" s="72">
        <v>1711</v>
      </c>
    </row>
    <row r="34" spans="1:15">
      <c r="A34" s="77" t="s">
        <v>252</v>
      </c>
      <c r="B34" s="1323" t="s">
        <v>251</v>
      </c>
      <c r="C34" s="1324"/>
      <c r="D34" s="63">
        <f t="shared" si="11"/>
        <v>0</v>
      </c>
      <c r="E34" s="63">
        <f t="shared" si="3"/>
        <v>0</v>
      </c>
      <c r="F34" s="63">
        <f t="shared" si="4"/>
        <v>5</v>
      </c>
      <c r="G34" s="63"/>
      <c r="H34" s="63"/>
      <c r="I34" s="104">
        <v>1</v>
      </c>
      <c r="J34" s="63"/>
      <c r="K34" s="63"/>
      <c r="L34" s="104">
        <v>2</v>
      </c>
      <c r="M34" s="63"/>
      <c r="N34" s="63"/>
      <c r="O34" s="72">
        <v>2</v>
      </c>
    </row>
    <row r="35" spans="1:15">
      <c r="A35" s="77" t="s">
        <v>256</v>
      </c>
      <c r="B35" s="1323" t="s">
        <v>731</v>
      </c>
      <c r="C35" s="1324"/>
      <c r="D35" s="63">
        <f t="shared" si="11"/>
        <v>0</v>
      </c>
      <c r="E35" s="63">
        <f t="shared" si="3"/>
        <v>138</v>
      </c>
      <c r="F35" s="63">
        <f t="shared" si="4"/>
        <v>151</v>
      </c>
      <c r="G35" s="63"/>
      <c r="H35" s="63">
        <v>138</v>
      </c>
      <c r="I35" s="545">
        <v>151</v>
      </c>
      <c r="J35" s="63"/>
      <c r="K35" s="63"/>
      <c r="L35" s="104"/>
      <c r="M35" s="63"/>
      <c r="N35" s="63"/>
      <c r="O35" s="72"/>
    </row>
    <row r="36" spans="1:15">
      <c r="A36" s="77" t="s">
        <v>730</v>
      </c>
      <c r="B36" s="1323" t="s">
        <v>255</v>
      </c>
      <c r="C36" s="1324"/>
      <c r="D36" s="63">
        <f t="shared" si="11"/>
        <v>0</v>
      </c>
      <c r="E36" s="63">
        <f t="shared" si="3"/>
        <v>61</v>
      </c>
      <c r="F36" s="63">
        <f>+I36+L36+O36</f>
        <v>31</v>
      </c>
      <c r="G36" s="63"/>
      <c r="H36" s="63">
        <v>61</v>
      </c>
      <c r="I36" s="104">
        <v>31</v>
      </c>
      <c r="J36" s="63"/>
      <c r="K36" s="63"/>
      <c r="L36" s="104">
        <f t="shared" si="5"/>
        <v>0</v>
      </c>
      <c r="M36" s="63"/>
      <c r="N36" s="63"/>
      <c r="O36" s="72"/>
    </row>
    <row r="37" spans="1:15" s="46" customFormat="1">
      <c r="A37" s="78" t="s">
        <v>257</v>
      </c>
      <c r="B37" s="1321" t="s">
        <v>282</v>
      </c>
      <c r="C37" s="1321"/>
      <c r="D37" s="70">
        <f>SUM(D29:D36)</f>
        <v>4308</v>
      </c>
      <c r="E37" s="70">
        <f>SUM(E29:E36)</f>
        <v>26991</v>
      </c>
      <c r="F37" s="70">
        <f>SUM(F29:F36)</f>
        <v>25936</v>
      </c>
      <c r="G37" s="70">
        <f>SUM(G29:G36)</f>
        <v>250</v>
      </c>
      <c r="H37" s="70">
        <f t="shared" ref="H37:I37" si="12">SUM(H29:H36)</f>
        <v>946</v>
      </c>
      <c r="I37" s="70">
        <f t="shared" si="12"/>
        <v>915</v>
      </c>
      <c r="J37" s="70">
        <f>SUM(J29:J36)</f>
        <v>0</v>
      </c>
      <c r="K37" s="70">
        <f t="shared" ref="K37:L37" si="13">SUM(K29:K36)</f>
        <v>9</v>
      </c>
      <c r="L37" s="70">
        <f t="shared" si="13"/>
        <v>22</v>
      </c>
      <c r="M37" s="70">
        <f>SUM(M29:M36)</f>
        <v>4058</v>
      </c>
      <c r="N37" s="70">
        <f>SUM(N29:N36)</f>
        <v>26036</v>
      </c>
      <c r="O37" s="70">
        <f>SUM(O29:O36)</f>
        <v>24999</v>
      </c>
    </row>
    <row r="38" spans="1:15" s="46" customFormat="1">
      <c r="A38" s="78" t="s">
        <v>258</v>
      </c>
      <c r="B38" s="1321" t="s">
        <v>281</v>
      </c>
      <c r="C38" s="1321">
        <v>0</v>
      </c>
      <c r="D38" s="70">
        <f>+G38+J38+M38</f>
        <v>0</v>
      </c>
      <c r="E38" s="70">
        <f t="shared" ref="E38:F39" si="14">+H38+K38+N38</f>
        <v>60</v>
      </c>
      <c r="F38" s="70">
        <f t="shared" si="14"/>
        <v>60</v>
      </c>
      <c r="G38" s="70"/>
      <c r="H38" s="70">
        <v>60</v>
      </c>
      <c r="I38" s="106">
        <v>60</v>
      </c>
      <c r="J38" s="70"/>
      <c r="K38" s="70"/>
      <c r="L38" s="106">
        <f t="shared" si="5"/>
        <v>0</v>
      </c>
      <c r="M38" s="70"/>
      <c r="N38" s="70"/>
      <c r="O38" s="550"/>
    </row>
    <row r="39" spans="1:15">
      <c r="A39" s="77" t="s">
        <v>260</v>
      </c>
      <c r="B39" s="1349" t="s">
        <v>259</v>
      </c>
      <c r="C39" s="1349">
        <v>42</v>
      </c>
      <c r="D39" s="63">
        <f>+G39+J39+M39</f>
        <v>0</v>
      </c>
      <c r="E39" s="63">
        <f t="shared" si="14"/>
        <v>0</v>
      </c>
      <c r="F39" s="63">
        <f t="shared" si="14"/>
        <v>0</v>
      </c>
      <c r="G39" s="63"/>
      <c r="H39" s="63"/>
      <c r="I39" s="104">
        <f t="shared" si="6"/>
        <v>0</v>
      </c>
      <c r="J39" s="63">
        <v>0</v>
      </c>
      <c r="K39" s="63"/>
      <c r="L39" s="104">
        <f t="shared" si="5"/>
        <v>0</v>
      </c>
      <c r="M39" s="63">
        <v>0</v>
      </c>
      <c r="N39" s="63"/>
      <c r="O39" s="72"/>
    </row>
    <row r="40" spans="1:15" s="46" customFormat="1">
      <c r="A40" s="78" t="s">
        <v>261</v>
      </c>
      <c r="B40" s="1321" t="s">
        <v>280</v>
      </c>
      <c r="C40" s="1321">
        <f>+C39</f>
        <v>42</v>
      </c>
      <c r="D40" s="70">
        <f>SUM(D39)</f>
        <v>0</v>
      </c>
      <c r="E40" s="70">
        <f t="shared" ref="E40:F40" si="15">SUM(E39)</f>
        <v>0</v>
      </c>
      <c r="F40" s="70">
        <f t="shared" si="15"/>
        <v>0</v>
      </c>
      <c r="G40" s="70">
        <f>+G39</f>
        <v>0</v>
      </c>
      <c r="H40" s="70"/>
      <c r="I40" s="106">
        <f t="shared" si="6"/>
        <v>0</v>
      </c>
      <c r="J40" s="70">
        <f>+J39</f>
        <v>0</v>
      </c>
      <c r="K40" s="70"/>
      <c r="L40" s="106">
        <f t="shared" si="5"/>
        <v>0</v>
      </c>
      <c r="M40" s="70">
        <f>+M39</f>
        <v>0</v>
      </c>
      <c r="N40" s="70"/>
      <c r="O40" s="550"/>
    </row>
    <row r="41" spans="1:15">
      <c r="A41" s="77" t="s">
        <v>263</v>
      </c>
      <c r="B41" s="1349" t="s">
        <v>262</v>
      </c>
      <c r="C41" s="1349"/>
      <c r="D41" s="63">
        <f>+G41+J41+M41</f>
        <v>0</v>
      </c>
      <c r="E41" s="63">
        <f t="shared" ref="E41:F41" si="16">+H41+K41+N41</f>
        <v>0</v>
      </c>
      <c r="F41" s="63">
        <f t="shared" si="16"/>
        <v>0</v>
      </c>
      <c r="G41" s="63"/>
      <c r="H41" s="63"/>
      <c r="I41" s="104">
        <f t="shared" si="6"/>
        <v>0</v>
      </c>
      <c r="J41" s="63"/>
      <c r="K41" s="63"/>
      <c r="L41" s="104">
        <f t="shared" si="5"/>
        <v>0</v>
      </c>
      <c r="M41" s="63">
        <v>0</v>
      </c>
      <c r="N41" s="63"/>
      <c r="O41" s="72"/>
    </row>
    <row r="42" spans="1:15" s="46" customFormat="1">
      <c r="A42" s="78" t="s">
        <v>264</v>
      </c>
      <c r="B42" s="1321" t="s">
        <v>286</v>
      </c>
      <c r="C42" s="1321"/>
      <c r="D42" s="70">
        <f>+D41</f>
        <v>0</v>
      </c>
      <c r="E42" s="70">
        <f t="shared" ref="E42:F42" si="17">+E41</f>
        <v>0</v>
      </c>
      <c r="F42" s="70">
        <f t="shared" si="17"/>
        <v>0</v>
      </c>
      <c r="G42" s="70">
        <f>+G41</f>
        <v>0</v>
      </c>
      <c r="H42" s="70"/>
      <c r="I42" s="106">
        <f t="shared" si="6"/>
        <v>0</v>
      </c>
      <c r="J42" s="70">
        <f>+J41</f>
        <v>0</v>
      </c>
      <c r="K42" s="70"/>
      <c r="L42" s="106">
        <f t="shared" si="5"/>
        <v>0</v>
      </c>
      <c r="M42" s="70">
        <f>+M41</f>
        <v>0</v>
      </c>
      <c r="N42" s="70"/>
      <c r="O42" s="550"/>
    </row>
    <row r="43" spans="1:15" s="46" customFormat="1">
      <c r="A43" s="78" t="s">
        <v>265</v>
      </c>
      <c r="B43" s="1321" t="s">
        <v>278</v>
      </c>
      <c r="C43" s="1321"/>
      <c r="D43" s="70">
        <f>+D42+D40+D38+D37+D27+D15+D28</f>
        <v>11298</v>
      </c>
      <c r="E43" s="70">
        <f>+E42+E40+E38+E37+E27+E15+E28</f>
        <v>37369</v>
      </c>
      <c r="F43" s="70">
        <f>+F42+F40+F38+F37+F27+F15+F28</f>
        <v>35891</v>
      </c>
      <c r="G43" s="70">
        <f>+G42+G40+G38+G37+G27+G15</f>
        <v>250</v>
      </c>
      <c r="H43" s="70">
        <f>+H42+H40+H38+H37+H27+H15+H28</f>
        <v>1084</v>
      </c>
      <c r="I43" s="70">
        <f>+I42+I40+I38+I37+I27+I15+I28</f>
        <v>1053</v>
      </c>
      <c r="J43" s="70">
        <f t="shared" ref="J43:O43" si="18">+J42+J40+J38+J37+J27+J15</f>
        <v>2990</v>
      </c>
      <c r="K43" s="70">
        <f t="shared" si="18"/>
        <v>2999</v>
      </c>
      <c r="L43" s="70">
        <f t="shared" si="18"/>
        <v>2589</v>
      </c>
      <c r="M43" s="70">
        <f t="shared" si="18"/>
        <v>8058</v>
      </c>
      <c r="N43" s="70">
        <f t="shared" si="18"/>
        <v>33286</v>
      </c>
      <c r="O43" s="70">
        <f t="shared" si="18"/>
        <v>32249</v>
      </c>
    </row>
    <row r="44" spans="1:15">
      <c r="A44" s="450" t="s">
        <v>275</v>
      </c>
      <c r="B44" s="1346" t="s">
        <v>274</v>
      </c>
      <c r="C44" s="1346"/>
      <c r="D44" s="63">
        <f>+G44+J44+M44</f>
        <v>0</v>
      </c>
      <c r="E44" s="63">
        <f t="shared" ref="E44:F46" si="19">+H44+K44+N44</f>
        <v>415</v>
      </c>
      <c r="F44" s="63">
        <f t="shared" si="19"/>
        <v>415</v>
      </c>
      <c r="G44" s="63">
        <f>+G45+G46</f>
        <v>0</v>
      </c>
      <c r="H44" s="63">
        <f t="shared" ref="H44:O44" si="20">+H45+H46</f>
        <v>175</v>
      </c>
      <c r="I44" s="63">
        <f t="shared" si="20"/>
        <v>175</v>
      </c>
      <c r="J44" s="63">
        <f t="shared" si="20"/>
        <v>0</v>
      </c>
      <c r="K44" s="63">
        <f>+K45+K46</f>
        <v>35</v>
      </c>
      <c r="L44" s="63">
        <f>+L45+L46</f>
        <v>35</v>
      </c>
      <c r="M44" s="63">
        <f t="shared" si="20"/>
        <v>0</v>
      </c>
      <c r="N44" s="63">
        <f t="shared" si="20"/>
        <v>205</v>
      </c>
      <c r="O44" s="63">
        <f t="shared" si="20"/>
        <v>205</v>
      </c>
    </row>
    <row r="45" spans="1:15" s="42" customFormat="1" ht="10.5" customHeight="1">
      <c r="A45" s="451"/>
      <c r="B45" s="546"/>
      <c r="C45" s="547" t="s">
        <v>408</v>
      </c>
      <c r="D45" s="214">
        <f>+G45+J45+M45</f>
        <v>0</v>
      </c>
      <c r="E45" s="214">
        <f t="shared" si="19"/>
        <v>415</v>
      </c>
      <c r="F45" s="214">
        <f t="shared" si="19"/>
        <v>415</v>
      </c>
      <c r="G45" s="214"/>
      <c r="H45" s="214">
        <v>175</v>
      </c>
      <c r="I45" s="712">
        <v>175</v>
      </c>
      <c r="J45" s="214"/>
      <c r="K45" s="214">
        <v>35</v>
      </c>
      <c r="L45" s="105">
        <v>35</v>
      </c>
      <c r="M45" s="214"/>
      <c r="N45" s="715">
        <v>205</v>
      </c>
      <c r="O45" s="105">
        <v>205</v>
      </c>
    </row>
    <row r="46" spans="1:15" s="42" customFormat="1" ht="11.25" customHeight="1">
      <c r="A46" s="451"/>
      <c r="B46" s="546"/>
      <c r="C46" s="547" t="s">
        <v>409</v>
      </c>
      <c r="D46" s="214">
        <f>+G46+J46+M46</f>
        <v>0</v>
      </c>
      <c r="E46" s="214">
        <f t="shared" si="19"/>
        <v>0</v>
      </c>
      <c r="F46" s="214">
        <f t="shared" si="19"/>
        <v>0</v>
      </c>
      <c r="G46" s="214"/>
      <c r="H46" s="214"/>
      <c r="I46" s="104">
        <f t="shared" si="6"/>
        <v>0</v>
      </c>
      <c r="J46" s="214"/>
      <c r="K46" s="214"/>
      <c r="L46" s="104">
        <f t="shared" si="5"/>
        <v>0</v>
      </c>
      <c r="M46" s="214"/>
      <c r="N46" s="214"/>
      <c r="O46" s="72"/>
    </row>
    <row r="47" spans="1:15" s="46" customFormat="1">
      <c r="A47" s="213" t="s">
        <v>276</v>
      </c>
      <c r="B47" s="1299" t="s">
        <v>337</v>
      </c>
      <c r="C47" s="1300"/>
      <c r="D47" s="70">
        <f>+D44</f>
        <v>0</v>
      </c>
      <c r="E47" s="70">
        <f t="shared" ref="E47:M47" si="21">+E44</f>
        <v>415</v>
      </c>
      <c r="F47" s="219">
        <f t="shared" ref="F47" si="22">+D47+E47</f>
        <v>415</v>
      </c>
      <c r="G47" s="70">
        <f t="shared" si="21"/>
        <v>0</v>
      </c>
      <c r="H47" s="70">
        <v>175</v>
      </c>
      <c r="I47" s="70">
        <v>175</v>
      </c>
      <c r="J47" s="70">
        <f t="shared" si="21"/>
        <v>0</v>
      </c>
      <c r="K47" s="70">
        <f t="shared" si="21"/>
        <v>35</v>
      </c>
      <c r="L47" s="70">
        <f t="shared" si="21"/>
        <v>35</v>
      </c>
      <c r="M47" s="70">
        <f t="shared" si="21"/>
        <v>0</v>
      </c>
      <c r="N47" s="70">
        <v>205</v>
      </c>
      <c r="O47" s="70">
        <v>205</v>
      </c>
    </row>
    <row r="48" spans="1:15">
      <c r="A48" s="77" t="s">
        <v>287</v>
      </c>
      <c r="B48" s="1322" t="s">
        <v>288</v>
      </c>
      <c r="C48" s="1322"/>
      <c r="D48" s="63">
        <f>+G48+J48+M48</f>
        <v>335758</v>
      </c>
      <c r="E48" s="63">
        <f t="shared" ref="E48:F48" si="23">+H48+K48+N48</f>
        <v>349709</v>
      </c>
      <c r="F48" s="63">
        <f t="shared" si="23"/>
        <v>343625</v>
      </c>
      <c r="G48" s="63">
        <v>147706</v>
      </c>
      <c r="H48" s="63">
        <v>155542</v>
      </c>
      <c r="I48" s="104">
        <v>153281</v>
      </c>
      <c r="J48" s="63">
        <v>146404</v>
      </c>
      <c r="K48" s="63">
        <v>147963</v>
      </c>
      <c r="L48" s="104">
        <v>144641</v>
      </c>
      <c r="M48" s="63">
        <v>41648</v>
      </c>
      <c r="N48" s="63">
        <v>46204</v>
      </c>
      <c r="O48" s="104">
        <v>45703</v>
      </c>
    </row>
    <row r="49" spans="1:15" s="46" customFormat="1">
      <c r="A49" s="78" t="s">
        <v>277</v>
      </c>
      <c r="B49" s="1316" t="s">
        <v>289</v>
      </c>
      <c r="C49" s="1317"/>
      <c r="D49" s="70">
        <f>+D48+D47</f>
        <v>335758</v>
      </c>
      <c r="E49" s="70">
        <f>+E48+E47</f>
        <v>350124</v>
      </c>
      <c r="F49" s="70">
        <f>+F48+F47</f>
        <v>344040</v>
      </c>
      <c r="G49" s="70">
        <f t="shared" ref="G49:O49" si="24">+G48+G47</f>
        <v>147706</v>
      </c>
      <c r="H49" s="70">
        <f>+H48+H47</f>
        <v>155717</v>
      </c>
      <c r="I49" s="70">
        <f>+I48+I47</f>
        <v>153456</v>
      </c>
      <c r="J49" s="70">
        <f t="shared" si="24"/>
        <v>146404</v>
      </c>
      <c r="K49" s="70">
        <f t="shared" si="24"/>
        <v>147998</v>
      </c>
      <c r="L49" s="70">
        <f t="shared" si="24"/>
        <v>144676</v>
      </c>
      <c r="M49" s="70">
        <f t="shared" si="24"/>
        <v>41648</v>
      </c>
      <c r="N49" s="70">
        <f t="shared" si="24"/>
        <v>46409</v>
      </c>
      <c r="O49" s="70">
        <f t="shared" si="24"/>
        <v>45908</v>
      </c>
    </row>
    <row r="50" spans="1:15" s="46" customFormat="1">
      <c r="A50" s="1339" t="s">
        <v>290</v>
      </c>
      <c r="B50" s="1339"/>
      <c r="C50" s="1339"/>
      <c r="D50" s="70">
        <f t="shared" ref="D50:O50" si="25">+D49+D43</f>
        <v>347056</v>
      </c>
      <c r="E50" s="70">
        <f>+E49+E43</f>
        <v>387493</v>
      </c>
      <c r="F50" s="70">
        <f>+F49+F43</f>
        <v>379931</v>
      </c>
      <c r="G50" s="70">
        <f t="shared" si="25"/>
        <v>147956</v>
      </c>
      <c r="H50" s="70">
        <f>+H49+H43</f>
        <v>156801</v>
      </c>
      <c r="I50" s="70">
        <f>+I49+I43</f>
        <v>154509</v>
      </c>
      <c r="J50" s="70">
        <f t="shared" si="25"/>
        <v>149394</v>
      </c>
      <c r="K50" s="70">
        <f t="shared" si="25"/>
        <v>150997</v>
      </c>
      <c r="L50" s="70">
        <f t="shared" si="25"/>
        <v>147265</v>
      </c>
      <c r="M50" s="70">
        <f t="shared" si="25"/>
        <v>49706</v>
      </c>
      <c r="N50" s="70">
        <f t="shared" si="25"/>
        <v>79695</v>
      </c>
      <c r="O50" s="70">
        <f t="shared" si="25"/>
        <v>78157</v>
      </c>
    </row>
    <row r="51" spans="1:15">
      <c r="D51" s="66"/>
      <c r="E51" s="66"/>
      <c r="F51" s="66"/>
    </row>
    <row r="52" spans="1:15" s="40" customFormat="1" ht="33.75" customHeight="1">
      <c r="A52" s="1340" t="s">
        <v>0</v>
      </c>
      <c r="B52" s="1342" t="s">
        <v>181</v>
      </c>
      <c r="C52" s="1343"/>
      <c r="D52" s="1338" t="s">
        <v>179</v>
      </c>
      <c r="E52" s="1338"/>
      <c r="F52" s="1338"/>
      <c r="G52" s="1315" t="s">
        <v>294</v>
      </c>
      <c r="H52" s="1315"/>
      <c r="I52" s="1315"/>
      <c r="J52" s="1315" t="s">
        <v>295</v>
      </c>
      <c r="K52" s="1315"/>
      <c r="L52" s="1315"/>
      <c r="M52" s="1315" t="s">
        <v>743</v>
      </c>
      <c r="N52" s="1315"/>
      <c r="O52" s="1315"/>
    </row>
    <row r="53" spans="1:15" s="73" customFormat="1" ht="25.5" customHeight="1">
      <c r="A53" s="1341"/>
      <c r="B53" s="1344"/>
      <c r="C53" s="1345"/>
      <c r="D53" s="549" t="s">
        <v>178</v>
      </c>
      <c r="E53" s="550" t="s">
        <v>672</v>
      </c>
      <c r="F53" s="550" t="s">
        <v>745</v>
      </c>
      <c r="G53" s="549" t="s">
        <v>178</v>
      </c>
      <c r="H53" s="550" t="s">
        <v>672</v>
      </c>
      <c r="I53" s="550" t="s">
        <v>745</v>
      </c>
      <c r="J53" s="549" t="s">
        <v>178</v>
      </c>
      <c r="K53" s="550" t="s">
        <v>672</v>
      </c>
      <c r="L53" s="550" t="s">
        <v>745</v>
      </c>
      <c r="M53" s="549" t="s">
        <v>178</v>
      </c>
      <c r="N53" s="550" t="s">
        <v>672</v>
      </c>
      <c r="O53" s="550" t="s">
        <v>745</v>
      </c>
    </row>
    <row r="54" spans="1:15">
      <c r="A54" s="3" t="s">
        <v>27</v>
      </c>
      <c r="B54" s="1325" t="s">
        <v>175</v>
      </c>
      <c r="C54" s="1325"/>
      <c r="D54" s="533">
        <f>+G54+J54+M54</f>
        <v>203826</v>
      </c>
      <c r="E54" s="533">
        <f t="shared" ref="E54:F57" si="26">+H54+K54+N54</f>
        <v>206199</v>
      </c>
      <c r="F54" s="533">
        <f t="shared" si="26"/>
        <v>202023</v>
      </c>
      <c r="G54" s="533">
        <f>+'6.a. mell. PH'!D18</f>
        <v>94811</v>
      </c>
      <c r="H54" s="533">
        <f>+'6.a. mell. PH'!E18</f>
        <v>99363</v>
      </c>
      <c r="I54" s="533">
        <f>+'6.a. mell. PH'!F18</f>
        <v>97641</v>
      </c>
      <c r="J54" s="533">
        <f>+'6.b. mell. Óvoda'!D19</f>
        <v>93794</v>
      </c>
      <c r="K54" s="533">
        <f>+'6.b. mell. Óvoda'!E19</f>
        <v>92957</v>
      </c>
      <c r="L54" s="533">
        <f>+'6.b. mell. Óvoda'!F19</f>
        <v>90707</v>
      </c>
      <c r="M54" s="533">
        <f>+'6.c. mell. BBKP'!D19</f>
        <v>15221</v>
      </c>
      <c r="N54" s="533">
        <f>+'6.c. mell. BBKP'!E19</f>
        <v>13879</v>
      </c>
      <c r="O54" s="533">
        <f>+'6.c. mell. BBKP'!F19</f>
        <v>13675</v>
      </c>
    </row>
    <row r="55" spans="1:15" ht="15" customHeight="1">
      <c r="A55" s="3" t="s">
        <v>34</v>
      </c>
      <c r="B55" s="1325" t="s">
        <v>174</v>
      </c>
      <c r="C55" s="1325"/>
      <c r="D55" s="533">
        <f t="shared" ref="D55:F76" si="27">+G55+J55+M55</f>
        <v>5127</v>
      </c>
      <c r="E55" s="533">
        <f t="shared" si="26"/>
        <v>6454</v>
      </c>
      <c r="F55" s="533">
        <f t="shared" si="26"/>
        <v>6006</v>
      </c>
      <c r="G55" s="533">
        <f>+'6.a. mell. PH'!D22</f>
        <v>1177</v>
      </c>
      <c r="H55" s="533">
        <f>+'6.a. mell. PH'!E22</f>
        <v>1404</v>
      </c>
      <c r="I55" s="533">
        <f>+'6.a. mell. PH'!F22</f>
        <v>1395</v>
      </c>
      <c r="J55" s="533">
        <f>+'6.b. mell. Óvoda'!D23</f>
        <v>2310</v>
      </c>
      <c r="K55" s="533">
        <f>+'6.b. mell. Óvoda'!E23</f>
        <v>2380</v>
      </c>
      <c r="L55" s="533">
        <f>+'6.b. mell. Óvoda'!F23</f>
        <v>1941</v>
      </c>
      <c r="M55" s="533">
        <f>+'6.c. mell. BBKP'!D23</f>
        <v>1640</v>
      </c>
      <c r="N55" s="533">
        <f>+'6.c. mell. BBKP'!E23</f>
        <v>2670</v>
      </c>
      <c r="O55" s="533">
        <f>+'6.c. mell. BBKP'!F23</f>
        <v>2670</v>
      </c>
    </row>
    <row r="56" spans="1:15" s="46" customFormat="1">
      <c r="A56" s="5" t="s">
        <v>35</v>
      </c>
      <c r="B56" s="1320" t="s">
        <v>173</v>
      </c>
      <c r="C56" s="1320"/>
      <c r="D56" s="525">
        <f t="shared" si="27"/>
        <v>208953</v>
      </c>
      <c r="E56" s="525">
        <f t="shared" si="26"/>
        <v>212653</v>
      </c>
      <c r="F56" s="525">
        <f t="shared" si="26"/>
        <v>208029</v>
      </c>
      <c r="G56" s="525">
        <f>SUM(G54:G55)</f>
        <v>95988</v>
      </c>
      <c r="H56" s="525">
        <f t="shared" ref="H56:I56" si="28">SUM(H54:H55)</f>
        <v>100767</v>
      </c>
      <c r="I56" s="525">
        <f t="shared" si="28"/>
        <v>99036</v>
      </c>
      <c r="J56" s="525">
        <f>+J55+J54</f>
        <v>96104</v>
      </c>
      <c r="K56" s="525">
        <f t="shared" ref="K56:L56" si="29">+K55+K54</f>
        <v>95337</v>
      </c>
      <c r="L56" s="525">
        <f t="shared" si="29"/>
        <v>92648</v>
      </c>
      <c r="M56" s="525">
        <f>+M55+M54</f>
        <v>16861</v>
      </c>
      <c r="N56" s="525">
        <f t="shared" ref="N56:O56" si="30">+N55+N54</f>
        <v>16549</v>
      </c>
      <c r="O56" s="525">
        <f t="shared" si="30"/>
        <v>16345</v>
      </c>
    </row>
    <row r="57" spans="1:15" s="46" customFormat="1">
      <c r="A57" s="5" t="s">
        <v>36</v>
      </c>
      <c r="B57" s="1320" t="s">
        <v>172</v>
      </c>
      <c r="C57" s="1320"/>
      <c r="D57" s="525">
        <f t="shared" si="27"/>
        <v>58345</v>
      </c>
      <c r="E57" s="525">
        <f t="shared" si="26"/>
        <v>59197</v>
      </c>
      <c r="F57" s="525">
        <f t="shared" si="26"/>
        <v>57702</v>
      </c>
      <c r="G57" s="525">
        <f>+'6.a. mell. PH'!D25</f>
        <v>27007</v>
      </c>
      <c r="H57" s="525">
        <f>+'6.a. mell. PH'!E25</f>
        <v>27710</v>
      </c>
      <c r="I57" s="525">
        <f>+'6.a. mell. PH'!F25</f>
        <v>26890</v>
      </c>
      <c r="J57" s="525">
        <f>+'6.b. mell. Óvoda'!D26</f>
        <v>26844</v>
      </c>
      <c r="K57" s="525">
        <f>+'6.b. mell. Óvoda'!E26</f>
        <v>26928</v>
      </c>
      <c r="L57" s="525">
        <f>+'6.b. mell. Óvoda'!F26</f>
        <v>26537</v>
      </c>
      <c r="M57" s="525">
        <f>+'6.c. mell. BBKP'!D26</f>
        <v>4494</v>
      </c>
      <c r="N57" s="525">
        <f>+'6.c. mell. BBKP'!E26</f>
        <v>4559</v>
      </c>
      <c r="O57" s="525">
        <f>+'6.c. mell. BBKP'!F26</f>
        <v>4275</v>
      </c>
    </row>
    <row r="58" spans="1:15">
      <c r="A58" s="1328"/>
      <c r="B58" s="1329"/>
      <c r="C58" s="1330"/>
      <c r="D58" s="533"/>
      <c r="E58" s="533"/>
      <c r="F58" s="533"/>
      <c r="G58" s="533"/>
      <c r="H58" s="533"/>
      <c r="I58" s="533"/>
      <c r="J58" s="533"/>
      <c r="K58" s="533"/>
      <c r="L58" s="533"/>
      <c r="M58" s="533"/>
      <c r="N58" s="533"/>
      <c r="O58" s="533"/>
    </row>
    <row r="59" spans="1:15">
      <c r="A59" s="3" t="s">
        <v>48</v>
      </c>
      <c r="B59" s="1325" t="s">
        <v>171</v>
      </c>
      <c r="C59" s="1325"/>
      <c r="D59" s="533">
        <f t="shared" si="27"/>
        <v>5905</v>
      </c>
      <c r="E59" s="533">
        <f t="shared" si="27"/>
        <v>6700</v>
      </c>
      <c r="F59" s="533">
        <f t="shared" si="27"/>
        <v>6410</v>
      </c>
      <c r="G59" s="533">
        <f>+'6.a. mell. PH'!D35</f>
        <v>1800</v>
      </c>
      <c r="H59" s="533">
        <f>+'6.a. mell. PH'!E35</f>
        <v>2074</v>
      </c>
      <c r="I59" s="533">
        <f>+'6.a. mell. PH'!F35</f>
        <v>2056</v>
      </c>
      <c r="J59" s="533">
        <f>+'6.b. mell. Óvoda'!D36</f>
        <v>1930</v>
      </c>
      <c r="K59" s="533">
        <f>+'6.b. mell. Óvoda'!E36</f>
        <v>1920</v>
      </c>
      <c r="L59" s="533">
        <f>+'6.b. mell. Óvoda'!F36</f>
        <v>1893</v>
      </c>
      <c r="M59" s="533">
        <f>+'6.c. mell. BBKP'!D38</f>
        <v>2175</v>
      </c>
      <c r="N59" s="533">
        <f>+'6.c. mell. BBKP'!E38</f>
        <v>2706</v>
      </c>
      <c r="O59" s="533">
        <f>+'6.c. mell. BBKP'!F38</f>
        <v>2461</v>
      </c>
    </row>
    <row r="60" spans="1:15">
      <c r="A60" s="3" t="s">
        <v>53</v>
      </c>
      <c r="B60" s="1325" t="s">
        <v>170</v>
      </c>
      <c r="C60" s="1325"/>
      <c r="D60" s="533">
        <f t="shared" ref="D60:D64" si="31">+G60+J60+M60</f>
        <v>3350</v>
      </c>
      <c r="E60" s="533">
        <f t="shared" ref="E60:E64" si="32">+H60+K60+N60</f>
        <v>3731</v>
      </c>
      <c r="F60" s="533">
        <f t="shared" ref="F60:F64" si="33">+I60+L60+O60</f>
        <v>3345</v>
      </c>
      <c r="G60" s="533">
        <f>+'6.a. mell. PH'!D38</f>
        <v>2350</v>
      </c>
      <c r="H60" s="533">
        <f>+'6.a. mell. PH'!E38</f>
        <v>2678</v>
      </c>
      <c r="I60" s="533">
        <f>+'6.a. mell. PH'!F38</f>
        <v>2532</v>
      </c>
      <c r="J60" s="533">
        <f>+'6.b. mell. Óvoda'!D39</f>
        <v>250</v>
      </c>
      <c r="K60" s="533">
        <f>+'6.b. mell. Óvoda'!E39</f>
        <v>252</v>
      </c>
      <c r="L60" s="533">
        <f>+'6.b. mell. Óvoda'!F39</f>
        <v>252</v>
      </c>
      <c r="M60" s="533">
        <f>+'6.c. mell. BBKP'!D41</f>
        <v>750</v>
      </c>
      <c r="N60" s="533">
        <f>+'6.c. mell. BBKP'!E41</f>
        <v>801</v>
      </c>
      <c r="O60" s="533">
        <f>+'6.c. mell. BBKP'!F41</f>
        <v>561</v>
      </c>
    </row>
    <row r="61" spans="1:15">
      <c r="A61" s="3" t="s">
        <v>67</v>
      </c>
      <c r="B61" s="1325" t="s">
        <v>157</v>
      </c>
      <c r="C61" s="1325"/>
      <c r="D61" s="533">
        <f t="shared" si="31"/>
        <v>24479</v>
      </c>
      <c r="E61" s="533">
        <f t="shared" si="32"/>
        <v>42506</v>
      </c>
      <c r="F61" s="533">
        <f t="shared" si="33"/>
        <v>41506</v>
      </c>
      <c r="G61" s="533">
        <f>+'6.a. mell. PH'!D48</f>
        <v>7040</v>
      </c>
      <c r="H61" s="533">
        <f>+'6.a. mell. PH'!E48</f>
        <v>8680</v>
      </c>
      <c r="I61" s="533">
        <f>+'6.a. mell. PH'!F48</f>
        <v>8639</v>
      </c>
      <c r="J61" s="533">
        <f>+'6.b. mell. Óvoda'!D49</f>
        <v>9405</v>
      </c>
      <c r="K61" s="533">
        <f>+'6.b. mell. Óvoda'!E49</f>
        <v>11488</v>
      </c>
      <c r="L61" s="533">
        <f>+'6.b. mell. Óvoda'!F49</f>
        <v>10864</v>
      </c>
      <c r="M61" s="533">
        <f>+'6.c. mell. BBKP'!D51</f>
        <v>8034</v>
      </c>
      <c r="N61" s="533">
        <f>+'6.c. mell. BBKP'!E51</f>
        <v>22338</v>
      </c>
      <c r="O61" s="533">
        <f>+'6.c. mell. BBKP'!F51</f>
        <v>22003</v>
      </c>
    </row>
    <row r="62" spans="1:15">
      <c r="A62" s="3" t="s">
        <v>72</v>
      </c>
      <c r="B62" s="1325" t="s">
        <v>156</v>
      </c>
      <c r="C62" s="1325"/>
      <c r="D62" s="533">
        <f t="shared" si="31"/>
        <v>1345</v>
      </c>
      <c r="E62" s="533">
        <f t="shared" si="32"/>
        <v>1401</v>
      </c>
      <c r="F62" s="533">
        <f t="shared" si="33"/>
        <v>1352</v>
      </c>
      <c r="G62" s="533">
        <f>+'6.a. mell. PH'!D51</f>
        <v>300</v>
      </c>
      <c r="H62" s="533">
        <f>+'6.a. mell. PH'!E51</f>
        <v>248</v>
      </c>
      <c r="I62" s="533">
        <f>+'6.a. mell. PH'!F51</f>
        <v>244</v>
      </c>
      <c r="J62" s="533">
        <f>+'6.b. mell. Óvoda'!D52</f>
        <v>120</v>
      </c>
      <c r="K62" s="533">
        <f>+'6.b. mell. Óvoda'!E52</f>
        <v>74</v>
      </c>
      <c r="L62" s="533">
        <f>+'6.b. mell. Óvoda'!F52</f>
        <v>42</v>
      </c>
      <c r="M62" s="533">
        <f>+'6.c. mell. BBKP'!D54</f>
        <v>925</v>
      </c>
      <c r="N62" s="533">
        <f>+'6.c. mell. BBKP'!E54</f>
        <v>1079</v>
      </c>
      <c r="O62" s="533">
        <f>+'6.c. mell. BBKP'!F54</f>
        <v>1066</v>
      </c>
    </row>
    <row r="63" spans="1:15">
      <c r="A63" s="3" t="s">
        <v>81</v>
      </c>
      <c r="B63" s="1325" t="s">
        <v>153</v>
      </c>
      <c r="C63" s="1325"/>
      <c r="D63" s="533">
        <f t="shared" si="31"/>
        <v>8534</v>
      </c>
      <c r="E63" s="533">
        <f t="shared" si="32"/>
        <v>16364</v>
      </c>
      <c r="F63" s="533">
        <f t="shared" si="33"/>
        <v>15825</v>
      </c>
      <c r="G63" s="533">
        <f>+'6.a. mell. PH'!D57</f>
        <v>2566</v>
      </c>
      <c r="H63" s="533">
        <f>+'6.a. mell. PH'!E57</f>
        <v>2959</v>
      </c>
      <c r="I63" s="533">
        <f>+'6.a. mell. PH'!F57</f>
        <v>2959</v>
      </c>
      <c r="J63" s="533">
        <f>+'6.b. mell. Óvoda'!D58</f>
        <v>2960</v>
      </c>
      <c r="K63" s="533">
        <f>+'6.b. mell. Óvoda'!E58</f>
        <v>3147</v>
      </c>
      <c r="L63" s="533">
        <f>+'6.b. mell. Óvoda'!F58</f>
        <v>3147</v>
      </c>
      <c r="M63" s="533">
        <f>+'6.c. mell. BBKP'!D60</f>
        <v>3008</v>
      </c>
      <c r="N63" s="533">
        <f>+'6.c. mell. BBKP'!E60</f>
        <v>10258</v>
      </c>
      <c r="O63" s="533">
        <f>+'6.c. mell. BBKP'!F60</f>
        <v>9719</v>
      </c>
    </row>
    <row r="64" spans="1:15" s="46" customFormat="1">
      <c r="A64" s="5" t="s">
        <v>82</v>
      </c>
      <c r="B64" s="1320" t="s">
        <v>152</v>
      </c>
      <c r="C64" s="1320"/>
      <c r="D64" s="525">
        <f t="shared" si="31"/>
        <v>43613</v>
      </c>
      <c r="E64" s="525">
        <f t="shared" si="32"/>
        <v>70702</v>
      </c>
      <c r="F64" s="525">
        <f t="shared" si="33"/>
        <v>68438</v>
      </c>
      <c r="G64" s="525">
        <f>SUM(G59:G63)</f>
        <v>14056</v>
      </c>
      <c r="H64" s="525">
        <f t="shared" ref="H64:I64" si="34">SUM(H59:H63)</f>
        <v>16639</v>
      </c>
      <c r="I64" s="525">
        <f t="shared" si="34"/>
        <v>16430</v>
      </c>
      <c r="J64" s="525">
        <f>SUM(J59:J63)</f>
        <v>14665</v>
      </c>
      <c r="K64" s="525">
        <f t="shared" ref="K64:L64" si="35">SUM(K59:K63)</f>
        <v>16881</v>
      </c>
      <c r="L64" s="525">
        <f t="shared" si="35"/>
        <v>16198</v>
      </c>
      <c r="M64" s="525">
        <f>SUM(M59:M63)</f>
        <v>14892</v>
      </c>
      <c r="N64" s="525">
        <f t="shared" ref="N64:O64" si="36">SUM(N59:N63)</f>
        <v>37182</v>
      </c>
      <c r="O64" s="525">
        <f t="shared" si="36"/>
        <v>35810</v>
      </c>
    </row>
    <row r="65" spans="1:15">
      <c r="A65" s="3"/>
      <c r="B65" s="1331"/>
      <c r="C65" s="1332"/>
      <c r="D65" s="533"/>
      <c r="E65" s="533"/>
      <c r="F65" s="533"/>
      <c r="G65" s="533"/>
      <c r="H65" s="533"/>
      <c r="I65" s="533"/>
      <c r="J65" s="533"/>
      <c r="K65" s="533"/>
      <c r="L65" s="533"/>
      <c r="M65" s="533"/>
      <c r="N65" s="533"/>
      <c r="O65" s="533"/>
    </row>
    <row r="66" spans="1:15" s="46" customFormat="1">
      <c r="A66" s="5" t="s">
        <v>109</v>
      </c>
      <c r="B66" s="1320" t="s">
        <v>164</v>
      </c>
      <c r="C66" s="1320"/>
      <c r="D66" s="525">
        <f t="shared" si="27"/>
        <v>34302</v>
      </c>
      <c r="E66" s="525">
        <f t="shared" ref="E66" si="37">+H66+K66+N66</f>
        <v>39212</v>
      </c>
      <c r="F66" s="525">
        <f t="shared" ref="F66" si="38">+I66+L66+O66</f>
        <v>39212</v>
      </c>
      <c r="G66" s="525">
        <f>+'6.a. mell. PH'!D64</f>
        <v>9762</v>
      </c>
      <c r="H66" s="525">
        <f>+'6.a. mell. PH'!E64</f>
        <v>10019</v>
      </c>
      <c r="I66" s="525">
        <f>+'6.a. mell. PH'!F64</f>
        <v>10019</v>
      </c>
      <c r="J66" s="525">
        <f>+'6.b. mell. Óvoda'!D65</f>
        <v>11181</v>
      </c>
      <c r="K66" s="525">
        <f>+'6.b. mell. Óvoda'!E65</f>
        <v>11274</v>
      </c>
      <c r="L66" s="525">
        <f>+'6.b. mell. Óvoda'!F65</f>
        <v>11274</v>
      </c>
      <c r="M66" s="525">
        <f>+'6.c. mell. BBKP'!D67</f>
        <v>13359</v>
      </c>
      <c r="N66" s="525">
        <f>+'6.c. mell. BBKP'!E67</f>
        <v>17919</v>
      </c>
      <c r="O66" s="525">
        <f>+'6.c. mell. BBKP'!F67</f>
        <v>17919</v>
      </c>
    </row>
    <row r="67" spans="1:15" s="46" customFormat="1">
      <c r="A67" s="5"/>
      <c r="B67" s="1333"/>
      <c r="C67" s="1334"/>
      <c r="D67" s="525"/>
      <c r="E67" s="525"/>
      <c r="F67" s="525"/>
      <c r="G67" s="525"/>
      <c r="H67" s="525"/>
      <c r="I67" s="525"/>
      <c r="J67" s="525"/>
      <c r="K67" s="525"/>
      <c r="L67" s="525"/>
      <c r="M67" s="525"/>
      <c r="N67" s="525"/>
      <c r="O67" s="525"/>
    </row>
    <row r="68" spans="1:15" s="46" customFormat="1">
      <c r="A68" s="5" t="s">
        <v>124</v>
      </c>
      <c r="B68" s="1320" t="s">
        <v>162</v>
      </c>
      <c r="C68" s="1320"/>
      <c r="D68" s="525">
        <f t="shared" si="27"/>
        <v>1843</v>
      </c>
      <c r="E68" s="525">
        <f>+H68+K68+N68</f>
        <v>5729</v>
      </c>
      <c r="F68" s="525">
        <f t="shared" ref="F68" si="39">+I68+L68+O68</f>
        <v>5662</v>
      </c>
      <c r="G68" s="525">
        <f>+'6.a. mell. PH'!D74</f>
        <v>1143</v>
      </c>
      <c r="H68" s="525">
        <f>+'6.a. mell. PH'!E74</f>
        <v>1666</v>
      </c>
      <c r="I68" s="525">
        <f>+'6.a. mell. PH'!F74</f>
        <v>1642</v>
      </c>
      <c r="J68" s="525">
        <f>+'6.b. mell. Óvoda'!D76</f>
        <v>600</v>
      </c>
      <c r="K68" s="525">
        <f>+'6.b. mell. Óvoda'!E76</f>
        <v>577</v>
      </c>
      <c r="L68" s="525">
        <f>+'6.b. mell. Óvoda'!F76</f>
        <v>550</v>
      </c>
      <c r="M68" s="525">
        <f>+'6.c. mell. BBKP'!D78</f>
        <v>100</v>
      </c>
      <c r="N68" s="525">
        <f>+'6.c. mell. BBKP'!E78</f>
        <v>3486</v>
      </c>
      <c r="O68" s="525">
        <f>+'6.c. mell. BBKP'!F78</f>
        <v>3470</v>
      </c>
    </row>
    <row r="69" spans="1:15" s="46" customFormat="1">
      <c r="A69" s="5"/>
      <c r="B69" s="1333"/>
      <c r="C69" s="1334"/>
      <c r="D69" s="525"/>
      <c r="E69" s="525"/>
      <c r="F69" s="525"/>
      <c r="G69" s="525"/>
      <c r="H69" s="525"/>
      <c r="I69" s="525"/>
      <c r="J69" s="525"/>
      <c r="K69" s="525"/>
      <c r="L69" s="525"/>
      <c r="M69" s="525"/>
      <c r="N69" s="525"/>
      <c r="O69" s="525"/>
    </row>
    <row r="70" spans="1:15" s="46" customFormat="1">
      <c r="A70" s="5" t="s">
        <v>133</v>
      </c>
      <c r="B70" s="1320" t="s">
        <v>161</v>
      </c>
      <c r="C70" s="1320"/>
      <c r="D70" s="525">
        <f t="shared" si="27"/>
        <v>0</v>
      </c>
      <c r="E70" s="525"/>
      <c r="F70" s="525"/>
      <c r="G70" s="525">
        <f>+'6.a. mell. PH'!G80</f>
        <v>0</v>
      </c>
      <c r="H70" s="525"/>
      <c r="I70" s="525"/>
      <c r="J70" s="525">
        <f>+'6.b. mell. Óvoda'!D82</f>
        <v>0</v>
      </c>
      <c r="K70" s="525"/>
      <c r="L70" s="525"/>
      <c r="M70" s="525">
        <f>+'6.c. mell. BBKP'!D84</f>
        <v>0</v>
      </c>
      <c r="N70" s="525"/>
      <c r="O70" s="525"/>
    </row>
    <row r="71" spans="1:15" s="46" customFormat="1">
      <c r="A71" s="5"/>
      <c r="B71" s="1333"/>
      <c r="C71" s="1334"/>
      <c r="D71" s="525"/>
      <c r="E71" s="525"/>
      <c r="F71" s="525"/>
      <c r="G71" s="525"/>
      <c r="H71" s="525"/>
      <c r="I71" s="525"/>
      <c r="J71" s="525"/>
      <c r="K71" s="525"/>
      <c r="L71" s="525"/>
      <c r="M71" s="525"/>
      <c r="N71" s="525"/>
      <c r="O71" s="525"/>
    </row>
    <row r="72" spans="1:15" s="46" customFormat="1">
      <c r="A72" s="5" t="s">
        <v>135</v>
      </c>
      <c r="B72" s="1320" t="s">
        <v>159</v>
      </c>
      <c r="C72" s="1320"/>
      <c r="D72" s="525">
        <f t="shared" si="27"/>
        <v>0</v>
      </c>
      <c r="E72" s="525"/>
      <c r="F72" s="525"/>
      <c r="G72" s="525">
        <f>+'6.a. mell. PH'!G82</f>
        <v>0</v>
      </c>
      <c r="H72" s="525"/>
      <c r="I72" s="525"/>
      <c r="J72" s="525">
        <f>+'6.b. mell. Óvoda'!D84</f>
        <v>0</v>
      </c>
      <c r="K72" s="525"/>
      <c r="L72" s="525"/>
      <c r="M72" s="525">
        <f>+'6.c. mell. BBKP'!D86</f>
        <v>0</v>
      </c>
      <c r="N72" s="525"/>
      <c r="O72" s="525"/>
    </row>
    <row r="73" spans="1:15" s="46" customFormat="1">
      <c r="A73" s="5"/>
      <c r="B73" s="1333"/>
      <c r="C73" s="1334"/>
      <c r="D73" s="525"/>
      <c r="E73" s="525"/>
      <c r="F73" s="525"/>
      <c r="G73" s="525"/>
      <c r="H73" s="525"/>
      <c r="I73" s="525"/>
      <c r="J73" s="525"/>
      <c r="K73" s="525"/>
      <c r="L73" s="525"/>
      <c r="M73" s="525"/>
      <c r="N73" s="525"/>
      <c r="O73" s="525"/>
    </row>
    <row r="74" spans="1:15" s="46" customFormat="1">
      <c r="A74" s="74" t="s">
        <v>136</v>
      </c>
      <c r="B74" s="1320" t="s">
        <v>158</v>
      </c>
      <c r="C74" s="1320"/>
      <c r="D74" s="525">
        <f t="shared" si="27"/>
        <v>347056</v>
      </c>
      <c r="E74" s="525">
        <f t="shared" ref="E74" si="40">+H74+K74+N74</f>
        <v>387493</v>
      </c>
      <c r="F74" s="525">
        <f t="shared" ref="F74" si="41">+I74+L74+O74</f>
        <v>379043</v>
      </c>
      <c r="G74" s="525">
        <f>+G72+G70+G68+G66+G64+G57+G56</f>
        <v>147956</v>
      </c>
      <c r="H74" s="525">
        <f t="shared" ref="H74:O74" si="42">+H72+H70+H68+H66+H64+H57+H56</f>
        <v>156801</v>
      </c>
      <c r="I74" s="525">
        <f t="shared" si="42"/>
        <v>154017</v>
      </c>
      <c r="J74" s="525">
        <f t="shared" si="42"/>
        <v>149394</v>
      </c>
      <c r="K74" s="525">
        <f t="shared" si="42"/>
        <v>150997</v>
      </c>
      <c r="L74" s="525">
        <f t="shared" si="42"/>
        <v>147207</v>
      </c>
      <c r="M74" s="525">
        <f t="shared" si="42"/>
        <v>49706</v>
      </c>
      <c r="N74" s="525">
        <f t="shared" si="42"/>
        <v>79695</v>
      </c>
      <c r="O74" s="525">
        <f t="shared" si="42"/>
        <v>77819</v>
      </c>
    </row>
    <row r="75" spans="1:15" s="46" customFormat="1">
      <c r="A75" s="81"/>
      <c r="B75" s="1326"/>
      <c r="C75" s="1327"/>
      <c r="D75" s="525"/>
      <c r="E75" s="525"/>
      <c r="F75" s="525"/>
      <c r="G75" s="525"/>
      <c r="H75" s="525"/>
      <c r="I75" s="525"/>
      <c r="J75" s="525"/>
      <c r="K75" s="525"/>
      <c r="L75" s="525"/>
      <c r="M75" s="525"/>
      <c r="N75" s="525"/>
      <c r="O75" s="525"/>
    </row>
    <row r="76" spans="1:15" s="46" customFormat="1">
      <c r="A76" s="81" t="s">
        <v>273</v>
      </c>
      <c r="B76" s="82" t="s">
        <v>279</v>
      </c>
      <c r="C76" s="82"/>
      <c r="D76" s="525">
        <f t="shared" si="27"/>
        <v>0</v>
      </c>
      <c r="E76" s="525"/>
      <c r="F76" s="525"/>
      <c r="G76" s="525">
        <v>0</v>
      </c>
      <c r="H76" s="525"/>
      <c r="I76" s="525"/>
      <c r="J76" s="525">
        <v>0</v>
      </c>
      <c r="K76" s="525"/>
      <c r="L76" s="525"/>
      <c r="M76" s="525">
        <v>0</v>
      </c>
      <c r="N76" s="525"/>
      <c r="O76" s="525"/>
    </row>
    <row r="77" spans="1:15" s="46" customFormat="1">
      <c r="A77" s="81"/>
      <c r="B77" s="1326"/>
      <c r="C77" s="1327"/>
      <c r="D77" s="525"/>
      <c r="E77" s="525"/>
      <c r="F77" s="525"/>
      <c r="G77" s="525"/>
      <c r="H77" s="525"/>
      <c r="I77" s="525"/>
      <c r="J77" s="525"/>
      <c r="K77" s="525"/>
      <c r="L77" s="525"/>
      <c r="M77" s="525"/>
      <c r="N77" s="525"/>
      <c r="O77" s="525"/>
    </row>
    <row r="78" spans="1:15" s="46" customFormat="1">
      <c r="A78" s="1335" t="s">
        <v>291</v>
      </c>
      <c r="B78" s="1336"/>
      <c r="C78" s="1337"/>
      <c r="D78" s="525">
        <f>+G78+J78+M78</f>
        <v>347056</v>
      </c>
      <c r="E78" s="525">
        <f t="shared" ref="E78:F78" si="43">+H78+K78+N78</f>
        <v>387493</v>
      </c>
      <c r="F78" s="525">
        <f t="shared" si="43"/>
        <v>379043</v>
      </c>
      <c r="G78" s="525">
        <f>+G76+G74</f>
        <v>147956</v>
      </c>
      <c r="H78" s="525">
        <f t="shared" ref="H78:O78" si="44">+H76+H74</f>
        <v>156801</v>
      </c>
      <c r="I78" s="525">
        <f t="shared" si="44"/>
        <v>154017</v>
      </c>
      <c r="J78" s="525">
        <f t="shared" si="44"/>
        <v>149394</v>
      </c>
      <c r="K78" s="525">
        <f t="shared" si="44"/>
        <v>150997</v>
      </c>
      <c r="L78" s="525">
        <f t="shared" si="44"/>
        <v>147207</v>
      </c>
      <c r="M78" s="525">
        <f t="shared" si="44"/>
        <v>49706</v>
      </c>
      <c r="N78" s="525">
        <f t="shared" si="44"/>
        <v>79695</v>
      </c>
      <c r="O78" s="525">
        <f t="shared" si="44"/>
        <v>77819</v>
      </c>
    </row>
    <row r="79" spans="1:15"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</row>
    <row r="80" spans="1:15"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</row>
    <row r="81" spans="1:15"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</row>
    <row r="82" spans="1:15"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</row>
    <row r="83" spans="1:15"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</row>
    <row r="84" spans="1:15"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</row>
    <row r="85" spans="1:15"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</row>
    <row r="86" spans="1:15"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</row>
    <row r="87" spans="1:15"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</row>
    <row r="88" spans="1:15">
      <c r="G88" s="66"/>
      <c r="H88" s="66"/>
      <c r="I88" s="66"/>
      <c r="J88" s="66"/>
      <c r="K88" s="66"/>
      <c r="L88" s="66"/>
      <c r="M88" s="66"/>
      <c r="N88" s="66"/>
      <c r="O88" s="66"/>
    </row>
    <row r="92" spans="1:15">
      <c r="A92" s="79"/>
      <c r="B92" s="76"/>
      <c r="C92" s="76"/>
      <c r="D92" s="64"/>
      <c r="E92" s="64"/>
      <c r="G92" s="64"/>
      <c r="H92" s="64"/>
      <c r="J92" s="64"/>
      <c r="K92" s="64"/>
      <c r="M92" s="64"/>
      <c r="N92" s="64"/>
    </row>
    <row r="98" spans="1:1">
      <c r="A98" s="18"/>
    </row>
    <row r="99" spans="1:1">
      <c r="A99" s="18"/>
    </row>
    <row r="100" spans="1:1">
      <c r="A100" s="18"/>
    </row>
    <row r="101" spans="1:1">
      <c r="A101" s="18"/>
    </row>
    <row r="102" spans="1:1">
      <c r="A102" s="18"/>
    </row>
    <row r="103" spans="1:1">
      <c r="A103" s="18"/>
    </row>
    <row r="104" spans="1:1">
      <c r="A104" s="18"/>
    </row>
    <row r="105" spans="1:1">
      <c r="A105" s="18"/>
    </row>
    <row r="106" spans="1:1">
      <c r="A106" s="18"/>
    </row>
    <row r="107" spans="1:1">
      <c r="A107" s="18"/>
    </row>
    <row r="108" spans="1:1">
      <c r="A108" s="18"/>
    </row>
    <row r="109" spans="1:1">
      <c r="A109" s="18"/>
    </row>
    <row r="110" spans="1:1">
      <c r="A110" s="18"/>
    </row>
    <row r="111" spans="1:1">
      <c r="A111" s="18"/>
    </row>
  </sheetData>
  <mergeCells count="82">
    <mergeCell ref="B33:C33"/>
    <mergeCell ref="B35:C35"/>
    <mergeCell ref="B42:C42"/>
    <mergeCell ref="A2:A3"/>
    <mergeCell ref="B2:C3"/>
    <mergeCell ref="B28:C28"/>
    <mergeCell ref="B37:C37"/>
    <mergeCell ref="B38:C38"/>
    <mergeCell ref="B39:C39"/>
    <mergeCell ref="B40:C40"/>
    <mergeCell ref="B41:C41"/>
    <mergeCell ref="B16:C16"/>
    <mergeCell ref="B5:C5"/>
    <mergeCell ref="B6:C6"/>
    <mergeCell ref="B7:C7"/>
    <mergeCell ref="B8:C8"/>
    <mergeCell ref="A50:C50"/>
    <mergeCell ref="A52:A53"/>
    <mergeCell ref="B52:C53"/>
    <mergeCell ref="B44:C44"/>
    <mergeCell ref="B47:C47"/>
    <mergeCell ref="B77:C77"/>
    <mergeCell ref="A78:C78"/>
    <mergeCell ref="G2:I2"/>
    <mergeCell ref="G52:I52"/>
    <mergeCell ref="B36:C36"/>
    <mergeCell ref="B34:C34"/>
    <mergeCell ref="B29:C29"/>
    <mergeCell ref="B62:C62"/>
    <mergeCell ref="B73:C73"/>
    <mergeCell ref="B23:C23"/>
    <mergeCell ref="B24:C24"/>
    <mergeCell ref="B25:C25"/>
    <mergeCell ref="B12:C12"/>
    <mergeCell ref="B67:C67"/>
    <mergeCell ref="D52:F52"/>
    <mergeCell ref="B54:C54"/>
    <mergeCell ref="B75:C75"/>
    <mergeCell ref="A58:C58"/>
    <mergeCell ref="B59:C59"/>
    <mergeCell ref="B60:C60"/>
    <mergeCell ref="B61:C61"/>
    <mergeCell ref="B63:C63"/>
    <mergeCell ref="B64:C64"/>
    <mergeCell ref="B65:C65"/>
    <mergeCell ref="B68:C68"/>
    <mergeCell ref="B74:C74"/>
    <mergeCell ref="B69:C69"/>
    <mergeCell ref="B70:C70"/>
    <mergeCell ref="B71:C71"/>
    <mergeCell ref="B72:C72"/>
    <mergeCell ref="B66:C66"/>
    <mergeCell ref="B57:C57"/>
    <mergeCell ref="B43:C43"/>
    <mergeCell ref="M1:O1"/>
    <mergeCell ref="B48:C48"/>
    <mergeCell ref="J52:L52"/>
    <mergeCell ref="M2:O2"/>
    <mergeCell ref="M52:O52"/>
    <mergeCell ref="B27:C27"/>
    <mergeCell ref="B20:C20"/>
    <mergeCell ref="B21:C21"/>
    <mergeCell ref="J2:L2"/>
    <mergeCell ref="B4:C4"/>
    <mergeCell ref="B14:C14"/>
    <mergeCell ref="B49:C49"/>
    <mergeCell ref="B55:C55"/>
    <mergeCell ref="B56:C56"/>
    <mergeCell ref="B11:C11"/>
    <mergeCell ref="B13:C13"/>
    <mergeCell ref="D2:F2"/>
    <mergeCell ref="B9:C9"/>
    <mergeCell ref="B32:C32"/>
    <mergeCell ref="B15:C15"/>
    <mergeCell ref="B26:C26"/>
    <mergeCell ref="B17:C17"/>
    <mergeCell ref="B18:C18"/>
    <mergeCell ref="B19:C19"/>
    <mergeCell ref="B30:C30"/>
    <mergeCell ref="B22:C22"/>
    <mergeCell ref="B10:C10"/>
    <mergeCell ref="B31:C3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2" orientation="landscape" r:id="rId1"/>
  <headerFooter>
    <oddHeader>&amp;C&amp;"Times New Roman,Félkövér"&amp;12Martonvásár Város Önkormányzatának kiadásai 2015. Intézmények mindösszesen&amp;R&amp;"Times New Roman,Normál"&amp;10 6. melléklet</oddHeader>
  </headerFooter>
  <rowBreaks count="1" manualBreakCount="1">
    <brk id="50" max="16383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4"/>
  <sheetViews>
    <sheetView topLeftCell="A46" workbookViewId="0">
      <selection activeCell="I14" sqref="I14"/>
    </sheetView>
  </sheetViews>
  <sheetFormatPr defaultRowHeight="15"/>
  <cols>
    <col min="1" max="1" width="9.140625" style="26"/>
    <col min="2" max="2" width="7.140625" style="27" customWidth="1"/>
    <col min="3" max="3" width="32.140625" style="27" customWidth="1"/>
    <col min="4" max="4" width="10.140625" style="27" customWidth="1"/>
    <col min="5" max="5" width="9.140625" style="27" customWidth="1"/>
    <col min="6" max="6" width="9" style="27" customWidth="1"/>
    <col min="7" max="7" width="10.140625" style="66" customWidth="1"/>
    <col min="8" max="8" width="10.5703125" style="18" bestFit="1" customWidth="1"/>
    <col min="9" max="9" width="9.5703125" style="18" bestFit="1" customWidth="1"/>
    <col min="10" max="10" width="10.140625" style="66" customWidth="1"/>
    <col min="11" max="12" width="8.85546875" style="18" customWidth="1"/>
    <col min="13" max="16384" width="9.140625" style="1"/>
  </cols>
  <sheetData>
    <row r="1" spans="1:12" ht="10.5" customHeight="1" thickBot="1">
      <c r="G1" s="1276"/>
      <c r="H1" s="1276"/>
      <c r="I1" s="1276"/>
      <c r="J1" s="1276" t="s">
        <v>404</v>
      </c>
      <c r="K1" s="1276"/>
      <c r="L1" s="1276"/>
    </row>
    <row r="2" spans="1:12" ht="42" customHeight="1">
      <c r="A2" s="1340" t="s">
        <v>0</v>
      </c>
      <c r="B2" s="1347" t="s">
        <v>181</v>
      </c>
      <c r="C2" s="1347"/>
      <c r="D2" s="1353" t="s">
        <v>179</v>
      </c>
      <c r="E2" s="1354"/>
      <c r="F2" s="1355"/>
      <c r="G2" s="1369" t="s">
        <v>297</v>
      </c>
      <c r="H2" s="1315"/>
      <c r="I2" s="1315"/>
      <c r="J2" s="1367" t="s">
        <v>746</v>
      </c>
      <c r="K2" s="1368"/>
      <c r="L2" s="1369"/>
    </row>
    <row r="3" spans="1:12" s="2" customFormat="1" ht="12.75" customHeight="1">
      <c r="A3" s="1359"/>
      <c r="B3" s="1366"/>
      <c r="C3" s="1366"/>
      <c r="D3" s="836" t="s">
        <v>178</v>
      </c>
      <c r="E3" s="550" t="s">
        <v>742</v>
      </c>
      <c r="F3" s="837" t="s">
        <v>745</v>
      </c>
      <c r="G3" s="830" t="s">
        <v>178</v>
      </c>
      <c r="H3" s="550" t="s">
        <v>742</v>
      </c>
      <c r="I3" s="550" t="s">
        <v>745</v>
      </c>
      <c r="J3" s="703" t="s">
        <v>178</v>
      </c>
      <c r="K3" s="550" t="s">
        <v>742</v>
      </c>
      <c r="L3" s="550" t="s">
        <v>745</v>
      </c>
    </row>
    <row r="4" spans="1:12" s="83" customFormat="1" ht="13.5" customHeight="1">
      <c r="A4" s="1341"/>
      <c r="B4" s="1348"/>
      <c r="C4" s="1348"/>
      <c r="D4" s="1350" t="s">
        <v>188</v>
      </c>
      <c r="E4" s="1351"/>
      <c r="F4" s="1352"/>
      <c r="G4" s="1351" t="s">
        <v>188</v>
      </c>
      <c r="H4" s="1351"/>
      <c r="I4" s="1371"/>
      <c r="J4" s="1370" t="s">
        <v>188</v>
      </c>
      <c r="K4" s="1351"/>
      <c r="L4" s="1371"/>
    </row>
    <row r="5" spans="1:12" ht="12" customHeight="1">
      <c r="A5" s="12" t="s">
        <v>2</v>
      </c>
      <c r="B5" s="1253" t="s">
        <v>1</v>
      </c>
      <c r="C5" s="1270"/>
      <c r="D5" s="838">
        <f>G5+J5</f>
        <v>82412</v>
      </c>
      <c r="E5" s="706">
        <f>H5+K5</f>
        <v>78254</v>
      </c>
      <c r="F5" s="839">
        <f t="shared" ref="E5:F17" si="0">I5+L5</f>
        <v>77057</v>
      </c>
      <c r="G5" s="831">
        <f>80618+1794</f>
        <v>82412</v>
      </c>
      <c r="H5" s="4">
        <f>76335+1919</f>
        <v>78254</v>
      </c>
      <c r="I5" s="28">
        <f>75138+1919</f>
        <v>77057</v>
      </c>
      <c r="J5" s="28"/>
      <c r="K5" s="4"/>
      <c r="L5" s="28"/>
    </row>
    <row r="6" spans="1:12" ht="12" customHeight="1">
      <c r="A6" s="3" t="s">
        <v>4</v>
      </c>
      <c r="B6" s="1253" t="s">
        <v>3</v>
      </c>
      <c r="C6" s="1270"/>
      <c r="D6" s="838">
        <f t="shared" ref="D6:E17" si="1">G6+J6</f>
        <v>0</v>
      </c>
      <c r="E6" s="706">
        <f t="shared" si="1"/>
        <v>2675</v>
      </c>
      <c r="F6" s="839">
        <f t="shared" si="0"/>
        <v>2675</v>
      </c>
      <c r="G6" s="831"/>
      <c r="H6" s="4">
        <v>2675</v>
      </c>
      <c r="I6" s="28">
        <v>2675</v>
      </c>
      <c r="J6" s="28"/>
      <c r="K6" s="4"/>
      <c r="L6" s="28"/>
    </row>
    <row r="7" spans="1:12" ht="12" customHeight="1">
      <c r="A7" s="3" t="s">
        <v>6</v>
      </c>
      <c r="B7" s="1253" t="s">
        <v>5</v>
      </c>
      <c r="C7" s="1270"/>
      <c r="D7" s="838">
        <f t="shared" si="1"/>
        <v>3960</v>
      </c>
      <c r="E7" s="706">
        <f t="shared" si="1"/>
        <v>3970</v>
      </c>
      <c r="F7" s="839">
        <f t="shared" si="0"/>
        <v>3970</v>
      </c>
      <c r="G7" s="831">
        <v>3960</v>
      </c>
      <c r="H7" s="4">
        <v>3970</v>
      </c>
      <c r="I7" s="28">
        <v>3970</v>
      </c>
      <c r="J7" s="28"/>
      <c r="K7" s="4"/>
      <c r="L7" s="28"/>
    </row>
    <row r="8" spans="1:12" ht="12" customHeight="1">
      <c r="A8" s="3" t="s">
        <v>8</v>
      </c>
      <c r="B8" s="1253" t="s">
        <v>7</v>
      </c>
      <c r="C8" s="1270"/>
      <c r="D8" s="838">
        <f t="shared" si="1"/>
        <v>0</v>
      </c>
      <c r="E8" s="706">
        <f t="shared" si="1"/>
        <v>1917</v>
      </c>
      <c r="F8" s="839">
        <f t="shared" si="0"/>
        <v>1917</v>
      </c>
      <c r="G8" s="831"/>
      <c r="H8" s="4">
        <v>1917</v>
      </c>
      <c r="I8" s="28">
        <v>1917</v>
      </c>
      <c r="J8" s="28"/>
      <c r="K8" s="4"/>
      <c r="L8" s="28"/>
    </row>
    <row r="9" spans="1:12" ht="12" customHeight="1">
      <c r="A9" s="3" t="s">
        <v>10</v>
      </c>
      <c r="B9" s="1253" t="s">
        <v>9</v>
      </c>
      <c r="C9" s="1270"/>
      <c r="D9" s="838">
        <f t="shared" si="1"/>
        <v>0</v>
      </c>
      <c r="E9" s="706">
        <f t="shared" si="0"/>
        <v>0</v>
      </c>
      <c r="F9" s="839">
        <f t="shared" si="0"/>
        <v>0</v>
      </c>
      <c r="G9" s="831"/>
      <c r="H9" s="4">
        <v>0</v>
      </c>
      <c r="I9" s="28"/>
      <c r="J9" s="28"/>
      <c r="K9" s="4"/>
      <c r="L9" s="28"/>
    </row>
    <row r="10" spans="1:12" ht="12" customHeight="1">
      <c r="A10" s="3" t="s">
        <v>12</v>
      </c>
      <c r="B10" s="1253" t="s">
        <v>11</v>
      </c>
      <c r="C10" s="1270"/>
      <c r="D10" s="838">
        <f t="shared" si="1"/>
        <v>0</v>
      </c>
      <c r="E10" s="706">
        <f t="shared" si="0"/>
        <v>0</v>
      </c>
      <c r="F10" s="839">
        <f t="shared" si="0"/>
        <v>0</v>
      </c>
      <c r="G10" s="31"/>
      <c r="H10" s="19">
        <v>0</v>
      </c>
      <c r="I10" s="28"/>
      <c r="J10" s="29"/>
      <c r="K10" s="19"/>
      <c r="L10" s="28"/>
    </row>
    <row r="11" spans="1:12" ht="12" customHeight="1">
      <c r="A11" s="3" t="s">
        <v>14</v>
      </c>
      <c r="B11" s="1253" t="s">
        <v>13</v>
      </c>
      <c r="C11" s="1270"/>
      <c r="D11" s="838">
        <f t="shared" si="1"/>
        <v>3817</v>
      </c>
      <c r="E11" s="706">
        <f t="shared" si="1"/>
        <v>3817</v>
      </c>
      <c r="F11" s="839">
        <f t="shared" si="0"/>
        <v>3693</v>
      </c>
      <c r="G11" s="31">
        <f>3757+60</f>
        <v>3817</v>
      </c>
      <c r="H11" s="19">
        <v>3817</v>
      </c>
      <c r="I11" s="28">
        <v>3693</v>
      </c>
      <c r="J11" s="29"/>
      <c r="K11" s="19"/>
      <c r="L11" s="28"/>
    </row>
    <row r="12" spans="1:12" ht="12" customHeight="1">
      <c r="A12" s="3" t="s">
        <v>16</v>
      </c>
      <c r="B12" s="1253" t="s">
        <v>15</v>
      </c>
      <c r="C12" s="1270"/>
      <c r="D12" s="838">
        <f t="shared" si="1"/>
        <v>0</v>
      </c>
      <c r="E12" s="706">
        <f t="shared" si="0"/>
        <v>0</v>
      </c>
      <c r="F12" s="839">
        <f t="shared" si="0"/>
        <v>0</v>
      </c>
      <c r="G12" s="31"/>
      <c r="H12" s="19"/>
      <c r="I12" s="28"/>
      <c r="J12" s="29"/>
      <c r="K12" s="19"/>
      <c r="L12" s="28"/>
    </row>
    <row r="13" spans="1:12" ht="12" customHeight="1">
      <c r="A13" s="3" t="s">
        <v>18</v>
      </c>
      <c r="B13" s="1253" t="s">
        <v>17</v>
      </c>
      <c r="C13" s="1270"/>
      <c r="D13" s="838">
        <f t="shared" si="1"/>
        <v>4308</v>
      </c>
      <c r="E13" s="706">
        <f t="shared" si="1"/>
        <v>3238</v>
      </c>
      <c r="F13" s="839">
        <f t="shared" si="0"/>
        <v>2917</v>
      </c>
      <c r="G13" s="31">
        <v>4308</v>
      </c>
      <c r="H13" s="19">
        <v>3238</v>
      </c>
      <c r="I13" s="28">
        <v>2917</v>
      </c>
      <c r="J13" s="29"/>
      <c r="K13" s="19"/>
      <c r="L13" s="28"/>
    </row>
    <row r="14" spans="1:12" ht="12" customHeight="1">
      <c r="A14" s="3" t="s">
        <v>20</v>
      </c>
      <c r="B14" s="1253" t="s">
        <v>19</v>
      </c>
      <c r="C14" s="1270"/>
      <c r="D14" s="838">
        <f t="shared" si="1"/>
        <v>114</v>
      </c>
      <c r="E14" s="706">
        <f t="shared" si="1"/>
        <v>525</v>
      </c>
      <c r="F14" s="839">
        <f t="shared" si="0"/>
        <v>488</v>
      </c>
      <c r="G14" s="31">
        <v>114</v>
      </c>
      <c r="H14" s="19">
        <v>525</v>
      </c>
      <c r="I14" s="28">
        <v>488</v>
      </c>
      <c r="J14" s="29"/>
      <c r="K14" s="19"/>
      <c r="L14" s="28"/>
    </row>
    <row r="15" spans="1:12" ht="12" customHeight="1">
      <c r="A15" s="3" t="s">
        <v>22</v>
      </c>
      <c r="B15" s="1253" t="s">
        <v>21</v>
      </c>
      <c r="C15" s="1270"/>
      <c r="D15" s="838">
        <f t="shared" si="1"/>
        <v>0</v>
      </c>
      <c r="E15" s="706">
        <f t="shared" si="0"/>
        <v>0</v>
      </c>
      <c r="F15" s="839">
        <f t="shared" si="0"/>
        <v>0</v>
      </c>
      <c r="G15" s="31"/>
      <c r="H15" s="19">
        <v>0</v>
      </c>
      <c r="I15" s="28"/>
      <c r="J15" s="29"/>
      <c r="K15" s="19"/>
      <c r="L15" s="28"/>
    </row>
    <row r="16" spans="1:12" ht="12" customHeight="1">
      <c r="A16" s="3" t="s">
        <v>24</v>
      </c>
      <c r="B16" s="1253" t="s">
        <v>23</v>
      </c>
      <c r="C16" s="1270"/>
      <c r="D16" s="838">
        <f t="shared" si="1"/>
        <v>200</v>
      </c>
      <c r="E16" s="706">
        <f t="shared" si="1"/>
        <v>2727</v>
      </c>
      <c r="F16" s="839">
        <f t="shared" si="0"/>
        <v>2727</v>
      </c>
      <c r="G16" s="31">
        <v>200</v>
      </c>
      <c r="H16" s="19">
        <v>2727</v>
      </c>
      <c r="I16" s="28">
        <v>2727</v>
      </c>
      <c r="J16" s="29"/>
      <c r="K16" s="19"/>
      <c r="L16" s="28"/>
    </row>
    <row r="17" spans="1:12" ht="12" customHeight="1">
      <c r="A17" s="3" t="s">
        <v>25</v>
      </c>
      <c r="B17" s="1253" t="s">
        <v>176</v>
      </c>
      <c r="C17" s="1270"/>
      <c r="D17" s="838">
        <f t="shared" si="1"/>
        <v>0</v>
      </c>
      <c r="E17" s="706">
        <f t="shared" si="1"/>
        <v>2240</v>
      </c>
      <c r="F17" s="839">
        <f t="shared" si="0"/>
        <v>2197</v>
      </c>
      <c r="G17" s="31"/>
      <c r="H17" s="19">
        <v>2240</v>
      </c>
      <c r="I17" s="28">
        <v>2197</v>
      </c>
      <c r="J17" s="29"/>
      <c r="K17" s="19"/>
      <c r="L17" s="28"/>
    </row>
    <row r="18" spans="1:12" ht="12" customHeight="1">
      <c r="A18" s="5" t="s">
        <v>27</v>
      </c>
      <c r="B18" s="1257" t="s">
        <v>175</v>
      </c>
      <c r="C18" s="1356"/>
      <c r="D18" s="840">
        <f t="shared" ref="D18:I18" si="2">SUM(D5:D17)</f>
        <v>94811</v>
      </c>
      <c r="E18" s="708">
        <f t="shared" si="2"/>
        <v>99363</v>
      </c>
      <c r="F18" s="841">
        <f t="shared" si="2"/>
        <v>97641</v>
      </c>
      <c r="G18" s="832">
        <f t="shared" si="2"/>
        <v>94811</v>
      </c>
      <c r="H18" s="47">
        <f t="shared" si="2"/>
        <v>99363</v>
      </c>
      <c r="I18" s="47">
        <f t="shared" si="2"/>
        <v>97641</v>
      </c>
      <c r="J18" s="61">
        <v>0</v>
      </c>
      <c r="K18" s="47">
        <f>SUM(K5:K17)</f>
        <v>0</v>
      </c>
      <c r="L18" s="47">
        <f>SUM(L5:L17)</f>
        <v>0</v>
      </c>
    </row>
    <row r="19" spans="1:12" ht="12" customHeight="1">
      <c r="A19" s="3" t="s">
        <v>29</v>
      </c>
      <c r="B19" s="1253" t="s">
        <v>28</v>
      </c>
      <c r="C19" s="1270"/>
      <c r="D19" s="842"/>
      <c r="E19" s="821"/>
      <c r="F19" s="819"/>
      <c r="G19" s="31"/>
      <c r="H19" s="19"/>
      <c r="I19" s="29">
        <f>+G19+H19</f>
        <v>0</v>
      </c>
      <c r="J19" s="29"/>
      <c r="K19" s="19"/>
      <c r="L19" s="29">
        <f>+J19+K19</f>
        <v>0</v>
      </c>
    </row>
    <row r="20" spans="1:12" ht="12" customHeight="1">
      <c r="A20" s="3" t="s">
        <v>31</v>
      </c>
      <c r="B20" s="1253" t="s">
        <v>30</v>
      </c>
      <c r="C20" s="1270"/>
      <c r="D20" s="843">
        <f>G20+J20</f>
        <v>1100</v>
      </c>
      <c r="E20" s="705">
        <f t="shared" ref="E20:F21" si="3">H20+K20</f>
        <v>1100</v>
      </c>
      <c r="F20" s="844">
        <f t="shared" si="3"/>
        <v>1100</v>
      </c>
      <c r="G20" s="31">
        <v>1100</v>
      </c>
      <c r="H20" s="19">
        <v>1100</v>
      </c>
      <c r="I20" s="29">
        <v>1100</v>
      </c>
      <c r="J20" s="29"/>
      <c r="K20" s="19"/>
      <c r="L20" s="29"/>
    </row>
    <row r="21" spans="1:12" ht="12" customHeight="1">
      <c r="A21" s="3" t="s">
        <v>33</v>
      </c>
      <c r="B21" s="1253" t="s">
        <v>32</v>
      </c>
      <c r="C21" s="1270"/>
      <c r="D21" s="843">
        <f>G21+J21</f>
        <v>77</v>
      </c>
      <c r="E21" s="705">
        <f t="shared" si="3"/>
        <v>304</v>
      </c>
      <c r="F21" s="844">
        <f t="shared" si="3"/>
        <v>295</v>
      </c>
      <c r="G21" s="31">
        <v>77</v>
      </c>
      <c r="H21" s="19">
        <v>304</v>
      </c>
      <c r="I21" s="29">
        <v>295</v>
      </c>
      <c r="J21" s="29"/>
      <c r="K21" s="19"/>
      <c r="L21" s="29"/>
    </row>
    <row r="22" spans="1:12" ht="12" customHeight="1">
      <c r="A22" s="5" t="s">
        <v>34</v>
      </c>
      <c r="B22" s="1257" t="s">
        <v>174</v>
      </c>
      <c r="C22" s="1356"/>
      <c r="D22" s="845">
        <f t="shared" ref="D22" si="4">SUM(D19:D21)</f>
        <v>1177</v>
      </c>
      <c r="E22" s="61">
        <f t="shared" ref="E22" si="5">SUM(E19:E21)</f>
        <v>1404</v>
      </c>
      <c r="F22" s="846">
        <f t="shared" ref="F22" si="6">SUM(F19:F21)</f>
        <v>1395</v>
      </c>
      <c r="G22" s="832">
        <f t="shared" ref="G22:L22" si="7">SUM(G19:G21)</f>
        <v>1177</v>
      </c>
      <c r="H22" s="47">
        <f t="shared" si="7"/>
        <v>1404</v>
      </c>
      <c r="I22" s="47">
        <f t="shared" si="7"/>
        <v>1395</v>
      </c>
      <c r="J22" s="61">
        <f t="shared" si="7"/>
        <v>0</v>
      </c>
      <c r="K22" s="47">
        <f t="shared" si="7"/>
        <v>0</v>
      </c>
      <c r="L22" s="47">
        <f t="shared" si="7"/>
        <v>0</v>
      </c>
    </row>
    <row r="23" spans="1:12" s="49" customFormat="1" ht="12" customHeight="1">
      <c r="A23" s="6" t="s">
        <v>35</v>
      </c>
      <c r="B23" s="1256" t="s">
        <v>173</v>
      </c>
      <c r="C23" s="1361"/>
      <c r="D23" s="872">
        <f t="shared" ref="D23" si="8">+D22+D18</f>
        <v>95988</v>
      </c>
      <c r="E23" s="871">
        <f t="shared" ref="E23" si="9">+E22+E18</f>
        <v>100767</v>
      </c>
      <c r="F23" s="873">
        <f t="shared" ref="F23" si="10">+F22+F18</f>
        <v>99036</v>
      </c>
      <c r="G23" s="870">
        <f t="shared" ref="G23:L23" si="11">+G22+G18</f>
        <v>95988</v>
      </c>
      <c r="H23" s="871">
        <f t="shared" si="11"/>
        <v>100767</v>
      </c>
      <c r="I23" s="871">
        <f t="shared" si="11"/>
        <v>99036</v>
      </c>
      <c r="J23" s="58">
        <f t="shared" si="11"/>
        <v>0</v>
      </c>
      <c r="K23" s="45">
        <f t="shared" si="11"/>
        <v>0</v>
      </c>
      <c r="L23" s="45">
        <f t="shared" si="11"/>
        <v>0</v>
      </c>
    </row>
    <row r="24" spans="1:12" ht="10.5" customHeight="1">
      <c r="A24" s="7"/>
      <c r="B24" s="8"/>
      <c r="C24" s="8"/>
      <c r="D24" s="849"/>
      <c r="E24" s="8"/>
      <c r="F24" s="850"/>
      <c r="G24" s="30"/>
      <c r="H24" s="21"/>
      <c r="I24" s="22"/>
      <c r="J24" s="30"/>
      <c r="K24" s="21"/>
      <c r="L24" s="22"/>
    </row>
    <row r="25" spans="1:12" s="49" customFormat="1" ht="12" customHeight="1">
      <c r="A25" s="9" t="s">
        <v>36</v>
      </c>
      <c r="B25" s="1256" t="s">
        <v>172</v>
      </c>
      <c r="C25" s="1361"/>
      <c r="D25" s="851">
        <f t="shared" ref="D25" si="12">SUM(D26:D30)</f>
        <v>27007</v>
      </c>
      <c r="E25" s="57">
        <f t="shared" ref="E25" si="13">SUM(E26:E30)</f>
        <v>27710</v>
      </c>
      <c r="F25" s="852">
        <f t="shared" ref="F25" si="14">SUM(F26:F30)</f>
        <v>26890</v>
      </c>
      <c r="G25" s="834">
        <f t="shared" ref="G25:L25" si="15">SUM(G26:G30)</f>
        <v>27007</v>
      </c>
      <c r="H25" s="48">
        <f t="shared" si="15"/>
        <v>27708</v>
      </c>
      <c r="I25" s="48">
        <f t="shared" si="15"/>
        <v>26888</v>
      </c>
      <c r="J25" s="57">
        <f t="shared" si="15"/>
        <v>0</v>
      </c>
      <c r="K25" s="48">
        <f t="shared" si="15"/>
        <v>2</v>
      </c>
      <c r="L25" s="48">
        <f t="shared" si="15"/>
        <v>2</v>
      </c>
    </row>
    <row r="26" spans="1:12" ht="12" customHeight="1">
      <c r="A26" s="34" t="s">
        <v>36</v>
      </c>
      <c r="B26" s="41"/>
      <c r="C26" s="827" t="s">
        <v>37</v>
      </c>
      <c r="D26" s="853">
        <f>G26+J26</f>
        <v>23618</v>
      </c>
      <c r="E26" s="707">
        <f>H26+K26</f>
        <v>24535</v>
      </c>
      <c r="F26" s="854">
        <f>I26+L26</f>
        <v>24535</v>
      </c>
      <c r="G26" s="31">
        <f>23134+484</f>
        <v>23618</v>
      </c>
      <c r="H26" s="19">
        <v>24533</v>
      </c>
      <c r="I26" s="29">
        <v>24533</v>
      </c>
      <c r="J26" s="31"/>
      <c r="K26" s="19">
        <v>2</v>
      </c>
      <c r="L26" s="29">
        <v>2</v>
      </c>
    </row>
    <row r="27" spans="1:12" ht="12" customHeight="1">
      <c r="A27" s="34" t="s">
        <v>36</v>
      </c>
      <c r="B27" s="41"/>
      <c r="C27" s="827" t="s">
        <v>38</v>
      </c>
      <c r="D27" s="853">
        <f t="shared" ref="D27:D30" si="16">G27+J27</f>
        <v>1929</v>
      </c>
      <c r="E27" s="707">
        <f t="shared" ref="E27:E30" si="17">H27+K27</f>
        <v>1603</v>
      </c>
      <c r="F27" s="854">
        <f t="shared" ref="F27:F30" si="18">I27+L27</f>
        <v>842</v>
      </c>
      <c r="G27" s="31">
        <v>1929</v>
      </c>
      <c r="H27" s="19">
        <v>1603</v>
      </c>
      <c r="I27" s="29">
        <v>842</v>
      </c>
      <c r="J27" s="31"/>
      <c r="K27" s="19"/>
      <c r="L27" s="29"/>
    </row>
    <row r="28" spans="1:12" ht="12" customHeight="1">
      <c r="A28" s="34" t="s">
        <v>36</v>
      </c>
      <c r="B28" s="41"/>
      <c r="C28" s="827" t="s">
        <v>39</v>
      </c>
      <c r="D28" s="853">
        <f t="shared" si="16"/>
        <v>696</v>
      </c>
      <c r="E28" s="707">
        <f t="shared" si="17"/>
        <v>735</v>
      </c>
      <c r="F28" s="854">
        <f t="shared" si="18"/>
        <v>719</v>
      </c>
      <c r="G28" s="31">
        <f>686+10</f>
        <v>696</v>
      </c>
      <c r="H28" s="19">
        <v>735</v>
      </c>
      <c r="I28" s="29">
        <v>719</v>
      </c>
      <c r="J28" s="31"/>
      <c r="K28" s="19"/>
      <c r="L28" s="29"/>
    </row>
    <row r="29" spans="1:12" ht="12" customHeight="1">
      <c r="A29" s="34" t="s">
        <v>36</v>
      </c>
      <c r="B29" s="41"/>
      <c r="C29" s="827" t="s">
        <v>40</v>
      </c>
      <c r="D29" s="853">
        <f t="shared" si="16"/>
        <v>0</v>
      </c>
      <c r="E29" s="707">
        <f t="shared" si="17"/>
        <v>50</v>
      </c>
      <c r="F29" s="854">
        <f t="shared" si="18"/>
        <v>33</v>
      </c>
      <c r="G29" s="31"/>
      <c r="H29" s="19">
        <v>50</v>
      </c>
      <c r="I29" s="29">
        <v>33</v>
      </c>
      <c r="J29" s="31"/>
      <c r="K29" s="19"/>
      <c r="L29" s="29"/>
    </row>
    <row r="30" spans="1:12" ht="12" customHeight="1">
      <c r="A30" s="36" t="s">
        <v>36</v>
      </c>
      <c r="B30" s="41"/>
      <c r="C30" s="827" t="s">
        <v>41</v>
      </c>
      <c r="D30" s="853">
        <f t="shared" si="16"/>
        <v>764</v>
      </c>
      <c r="E30" s="707">
        <f t="shared" si="17"/>
        <v>787</v>
      </c>
      <c r="F30" s="854">
        <f t="shared" si="18"/>
        <v>761</v>
      </c>
      <c r="G30" s="413">
        <f>752+12</f>
        <v>764</v>
      </c>
      <c r="H30" s="20">
        <v>787</v>
      </c>
      <c r="I30" s="29">
        <v>761</v>
      </c>
      <c r="J30" s="413"/>
      <c r="K30" s="20"/>
      <c r="L30" s="29"/>
    </row>
    <row r="31" spans="1:12" ht="8.25" customHeight="1">
      <c r="A31" s="10"/>
      <c r="B31" s="25"/>
      <c r="C31" s="11"/>
      <c r="D31" s="855"/>
      <c r="E31" s="11"/>
      <c r="F31" s="856"/>
      <c r="G31" s="30"/>
      <c r="H31" s="21"/>
      <c r="I31" s="22"/>
      <c r="J31" s="30"/>
      <c r="K31" s="21"/>
      <c r="L31" s="22"/>
    </row>
    <row r="32" spans="1:12" ht="12" customHeight="1">
      <c r="A32" s="12" t="s">
        <v>43</v>
      </c>
      <c r="B32" s="1255" t="s">
        <v>42</v>
      </c>
      <c r="C32" s="1358"/>
      <c r="D32" s="857">
        <f>G32+J32</f>
        <v>150</v>
      </c>
      <c r="E32" s="709">
        <f t="shared" ref="E32:F34" si="19">H32+K32</f>
        <v>298</v>
      </c>
      <c r="F32" s="858">
        <f t="shared" si="19"/>
        <v>298</v>
      </c>
      <c r="G32" s="190">
        <v>150</v>
      </c>
      <c r="H32" s="23">
        <v>298</v>
      </c>
      <c r="I32" s="32">
        <v>298</v>
      </c>
      <c r="J32" s="32"/>
      <c r="K32" s="23"/>
      <c r="L32" s="32"/>
    </row>
    <row r="33" spans="1:12" ht="12" customHeight="1">
      <c r="A33" s="3" t="s">
        <v>45</v>
      </c>
      <c r="B33" s="1253" t="s">
        <v>44</v>
      </c>
      <c r="C33" s="1270"/>
      <c r="D33" s="857">
        <f t="shared" ref="D33:D34" si="20">G33+J33</f>
        <v>1650</v>
      </c>
      <c r="E33" s="709">
        <f t="shared" si="19"/>
        <v>1776</v>
      </c>
      <c r="F33" s="858">
        <f t="shared" si="19"/>
        <v>1758</v>
      </c>
      <c r="G33" s="31">
        <v>1650</v>
      </c>
      <c r="H33" s="19">
        <v>1776</v>
      </c>
      <c r="I33" s="32">
        <v>1758</v>
      </c>
      <c r="J33" s="29"/>
      <c r="K33" s="19"/>
      <c r="L33" s="32"/>
    </row>
    <row r="34" spans="1:12" ht="12" customHeight="1">
      <c r="A34" s="3" t="s">
        <v>47</v>
      </c>
      <c r="B34" s="1253" t="s">
        <v>46</v>
      </c>
      <c r="C34" s="1270"/>
      <c r="D34" s="857">
        <f t="shared" si="20"/>
        <v>0</v>
      </c>
      <c r="E34" s="709">
        <f t="shared" si="19"/>
        <v>0</v>
      </c>
      <c r="F34" s="858">
        <f t="shared" si="19"/>
        <v>0</v>
      </c>
      <c r="G34" s="31">
        <v>0</v>
      </c>
      <c r="H34" s="19">
        <v>0</v>
      </c>
      <c r="I34" s="32"/>
      <c r="J34" s="29">
        <v>0</v>
      </c>
      <c r="K34" s="19"/>
      <c r="L34" s="32"/>
    </row>
    <row r="35" spans="1:12" s="49" customFormat="1" ht="12" customHeight="1">
      <c r="A35" s="5" t="s">
        <v>48</v>
      </c>
      <c r="B35" s="1257" t="s">
        <v>171</v>
      </c>
      <c r="C35" s="1356"/>
      <c r="D35" s="845">
        <f t="shared" ref="D35:F35" si="21">SUM(D32:D34)</f>
        <v>1800</v>
      </c>
      <c r="E35" s="61">
        <f t="shared" si="21"/>
        <v>2074</v>
      </c>
      <c r="F35" s="846">
        <f t="shared" si="21"/>
        <v>2056</v>
      </c>
      <c r="G35" s="832">
        <f>SUM(G32:G34)</f>
        <v>1800</v>
      </c>
      <c r="H35" s="61">
        <f t="shared" ref="H35:I35" si="22">SUM(H32:H34)</f>
        <v>2074</v>
      </c>
      <c r="I35" s="61">
        <f t="shared" si="22"/>
        <v>2056</v>
      </c>
      <c r="J35" s="61">
        <f>SUM(J32:J34)</f>
        <v>0</v>
      </c>
      <c r="K35" s="61">
        <f t="shared" ref="K35:L35" si="23">SUM(K32:K34)</f>
        <v>0</v>
      </c>
      <c r="L35" s="61">
        <f t="shared" si="23"/>
        <v>0</v>
      </c>
    </row>
    <row r="36" spans="1:12" ht="12" customHeight="1">
      <c r="A36" s="3" t="s">
        <v>50</v>
      </c>
      <c r="B36" s="1253" t="s">
        <v>49</v>
      </c>
      <c r="C36" s="1270"/>
      <c r="D36" s="838">
        <f>G36+J36</f>
        <v>1250</v>
      </c>
      <c r="E36" s="706">
        <f t="shared" ref="E36:F37" si="24">H36+K36</f>
        <v>1428</v>
      </c>
      <c r="F36" s="839">
        <f t="shared" si="24"/>
        <v>1314</v>
      </c>
      <c r="G36" s="31">
        <v>1250</v>
      </c>
      <c r="H36" s="19">
        <v>1428</v>
      </c>
      <c r="I36" s="32">
        <v>1314</v>
      </c>
      <c r="J36" s="29"/>
      <c r="K36" s="19"/>
      <c r="L36" s="32"/>
    </row>
    <row r="37" spans="1:12" ht="12" customHeight="1">
      <c r="A37" s="3" t="s">
        <v>52</v>
      </c>
      <c r="B37" s="1253" t="s">
        <v>51</v>
      </c>
      <c r="C37" s="1270"/>
      <c r="D37" s="838">
        <f>G37+J37</f>
        <v>1100</v>
      </c>
      <c r="E37" s="706">
        <f t="shared" si="24"/>
        <v>1250</v>
      </c>
      <c r="F37" s="839">
        <f t="shared" si="24"/>
        <v>1218</v>
      </c>
      <c r="G37" s="31">
        <v>1100</v>
      </c>
      <c r="H37" s="19">
        <v>1250</v>
      </c>
      <c r="I37" s="32">
        <v>1218</v>
      </c>
      <c r="J37" s="29"/>
      <c r="K37" s="19"/>
      <c r="L37" s="32"/>
    </row>
    <row r="38" spans="1:12" s="49" customFormat="1" ht="12" customHeight="1">
      <c r="A38" s="5" t="s">
        <v>53</v>
      </c>
      <c r="B38" s="1257" t="s">
        <v>170</v>
      </c>
      <c r="C38" s="1356"/>
      <c r="D38" s="845">
        <f t="shared" ref="D38:F38" si="25">SUM(D36:D37)</f>
        <v>2350</v>
      </c>
      <c r="E38" s="61">
        <f t="shared" si="25"/>
        <v>2678</v>
      </c>
      <c r="F38" s="846">
        <f t="shared" si="25"/>
        <v>2532</v>
      </c>
      <c r="G38" s="832">
        <f>SUM(G36:G37)</f>
        <v>2350</v>
      </c>
      <c r="H38" s="61">
        <f t="shared" ref="H38:I38" si="26">SUM(H36:H37)</f>
        <v>2678</v>
      </c>
      <c r="I38" s="61">
        <f t="shared" si="26"/>
        <v>2532</v>
      </c>
      <c r="J38" s="61">
        <f>SUM(J36:J37)</f>
        <v>0</v>
      </c>
      <c r="K38" s="61">
        <f t="shared" ref="K38:L38" si="27">SUM(K36:K37)</f>
        <v>0</v>
      </c>
      <c r="L38" s="61">
        <f t="shared" si="27"/>
        <v>0</v>
      </c>
    </row>
    <row r="39" spans="1:12" ht="12" customHeight="1">
      <c r="A39" s="3" t="s">
        <v>55</v>
      </c>
      <c r="B39" s="1253" t="s">
        <v>54</v>
      </c>
      <c r="C39" s="1270"/>
      <c r="D39" s="842"/>
      <c r="E39" s="821"/>
      <c r="F39" s="819"/>
      <c r="G39" s="31"/>
      <c r="H39" s="19"/>
      <c r="I39" s="32">
        <f t="shared" ref="I39:I55" si="28">+G39+H39</f>
        <v>0</v>
      </c>
      <c r="J39" s="29"/>
      <c r="K39" s="19"/>
      <c r="L39" s="32"/>
    </row>
    <row r="40" spans="1:12" ht="12" customHeight="1">
      <c r="A40" s="3" t="s">
        <v>57</v>
      </c>
      <c r="B40" s="1253" t="s">
        <v>56</v>
      </c>
      <c r="C40" s="1270"/>
      <c r="D40" s="842"/>
      <c r="E40" s="821"/>
      <c r="F40" s="819"/>
      <c r="G40" s="31"/>
      <c r="H40" s="19"/>
      <c r="I40" s="32">
        <f t="shared" si="28"/>
        <v>0</v>
      </c>
      <c r="J40" s="29"/>
      <c r="K40" s="19"/>
      <c r="L40" s="32"/>
    </row>
    <row r="41" spans="1:12" ht="12" customHeight="1">
      <c r="A41" s="3" t="s">
        <v>58</v>
      </c>
      <c r="B41" s="1253" t="s">
        <v>168</v>
      </c>
      <c r="C41" s="1270"/>
      <c r="D41" s="842"/>
      <c r="E41" s="821"/>
      <c r="F41" s="819"/>
      <c r="G41" s="31"/>
      <c r="H41" s="19"/>
      <c r="I41" s="32">
        <f t="shared" si="28"/>
        <v>0</v>
      </c>
      <c r="J41" s="29"/>
      <c r="K41" s="19"/>
      <c r="L41" s="32"/>
    </row>
    <row r="42" spans="1:12" ht="12" customHeight="1">
      <c r="A42" s="3" t="s">
        <v>60</v>
      </c>
      <c r="B42" s="1253" t="s">
        <v>59</v>
      </c>
      <c r="C42" s="1270"/>
      <c r="D42" s="838">
        <f>G42+J42</f>
        <v>965</v>
      </c>
      <c r="E42" s="706">
        <f t="shared" ref="E42:F47" si="29">H42+K42</f>
        <v>1203</v>
      </c>
      <c r="F42" s="839">
        <f t="shared" si="29"/>
        <v>1185</v>
      </c>
      <c r="G42" s="31">
        <v>965</v>
      </c>
      <c r="H42" s="19">
        <v>1203</v>
      </c>
      <c r="I42" s="32">
        <v>1185</v>
      </c>
      <c r="J42" s="29"/>
      <c r="K42" s="19"/>
      <c r="L42" s="32"/>
    </row>
    <row r="43" spans="1:12" ht="12" customHeight="1">
      <c r="A43" s="3" t="s">
        <v>61</v>
      </c>
      <c r="B43" s="1275" t="s">
        <v>167</v>
      </c>
      <c r="C43" s="1357"/>
      <c r="D43" s="838">
        <f t="shared" ref="D43:D47" si="30">G43+J43</f>
        <v>0</v>
      </c>
      <c r="E43" s="706">
        <f t="shared" si="29"/>
        <v>107</v>
      </c>
      <c r="F43" s="839">
        <f t="shared" si="29"/>
        <v>105</v>
      </c>
      <c r="G43" s="31">
        <f>+G44+G45</f>
        <v>0</v>
      </c>
      <c r="H43" s="19">
        <v>107</v>
      </c>
      <c r="I43" s="32">
        <v>105</v>
      </c>
      <c r="J43" s="29"/>
      <c r="K43" s="19"/>
      <c r="L43" s="32"/>
    </row>
    <row r="44" spans="1:12" ht="12" customHeight="1">
      <c r="A44" s="34" t="s">
        <v>61</v>
      </c>
      <c r="B44" s="41"/>
      <c r="C44" s="827" t="s">
        <v>62</v>
      </c>
      <c r="D44" s="838">
        <f t="shared" si="30"/>
        <v>0</v>
      </c>
      <c r="E44" s="706">
        <f t="shared" si="29"/>
        <v>0</v>
      </c>
      <c r="F44" s="839">
        <f t="shared" si="29"/>
        <v>0</v>
      </c>
      <c r="G44" s="31"/>
      <c r="H44" s="19"/>
      <c r="I44" s="32">
        <f t="shared" si="28"/>
        <v>0</v>
      </c>
      <c r="J44" s="31"/>
      <c r="K44" s="19"/>
      <c r="L44" s="32"/>
    </row>
    <row r="45" spans="1:12" ht="12" customHeight="1">
      <c r="A45" s="34" t="s">
        <v>61</v>
      </c>
      <c r="B45" s="41"/>
      <c r="C45" s="827" t="s">
        <v>169</v>
      </c>
      <c r="D45" s="838">
        <f t="shared" si="30"/>
        <v>0</v>
      </c>
      <c r="E45" s="706">
        <f t="shared" si="29"/>
        <v>107</v>
      </c>
      <c r="F45" s="839">
        <f t="shared" si="29"/>
        <v>105</v>
      </c>
      <c r="G45" s="31"/>
      <c r="H45" s="19">
        <v>107</v>
      </c>
      <c r="I45" s="32">
        <v>105</v>
      </c>
      <c r="J45" s="31"/>
      <c r="K45" s="19"/>
      <c r="L45" s="32"/>
    </row>
    <row r="46" spans="1:12" ht="12" customHeight="1">
      <c r="A46" s="3" t="s">
        <v>64</v>
      </c>
      <c r="B46" s="1255" t="s">
        <v>63</v>
      </c>
      <c r="C46" s="1358"/>
      <c r="D46" s="838">
        <f t="shared" si="30"/>
        <v>1165</v>
      </c>
      <c r="E46" s="706">
        <f t="shared" si="29"/>
        <v>1417</v>
      </c>
      <c r="F46" s="839">
        <f t="shared" si="29"/>
        <v>1407</v>
      </c>
      <c r="G46" s="31">
        <v>1165</v>
      </c>
      <c r="H46" s="19">
        <v>1417</v>
      </c>
      <c r="I46" s="32">
        <v>1407</v>
      </c>
      <c r="J46" s="29"/>
      <c r="K46" s="19"/>
      <c r="L46" s="32"/>
    </row>
    <row r="47" spans="1:12" ht="12" customHeight="1">
      <c r="A47" s="3" t="s">
        <v>66</v>
      </c>
      <c r="B47" s="1253" t="s">
        <v>65</v>
      </c>
      <c r="C47" s="1270"/>
      <c r="D47" s="838">
        <f t="shared" si="30"/>
        <v>4910</v>
      </c>
      <c r="E47" s="706">
        <f t="shared" si="29"/>
        <v>5953</v>
      </c>
      <c r="F47" s="839">
        <f t="shared" si="29"/>
        <v>5942</v>
      </c>
      <c r="G47" s="31">
        <v>4910</v>
      </c>
      <c r="H47" s="19">
        <v>5953</v>
      </c>
      <c r="I47" s="32">
        <v>5942</v>
      </c>
      <c r="J47" s="29"/>
      <c r="K47" s="19"/>
      <c r="L47" s="32"/>
    </row>
    <row r="48" spans="1:12" s="49" customFormat="1" ht="12" customHeight="1">
      <c r="A48" s="5" t="s">
        <v>67</v>
      </c>
      <c r="B48" s="1257" t="s">
        <v>157</v>
      </c>
      <c r="C48" s="1356"/>
      <c r="D48" s="845">
        <f t="shared" ref="D48:F48" si="31">+D47+D46+D43+D42+D41+D40+D39</f>
        <v>7040</v>
      </c>
      <c r="E48" s="61">
        <f t="shared" si="31"/>
        <v>8680</v>
      </c>
      <c r="F48" s="846">
        <f t="shared" si="31"/>
        <v>8639</v>
      </c>
      <c r="G48" s="832">
        <f>+G47+G46+G43+G42+G41+G40+G39</f>
        <v>7040</v>
      </c>
      <c r="H48" s="61">
        <f t="shared" ref="H48:I48" si="32">+H47+H46+H43+H42+H41+H40+H39</f>
        <v>8680</v>
      </c>
      <c r="I48" s="61">
        <f t="shared" si="32"/>
        <v>8639</v>
      </c>
      <c r="J48" s="61">
        <f>+J47+J46+J43+J42+J41+J40+J39</f>
        <v>0</v>
      </c>
      <c r="K48" s="61">
        <f t="shared" ref="K48:L48" si="33">+K47+K46+K43+K42+K41+K40+K39</f>
        <v>0</v>
      </c>
      <c r="L48" s="61">
        <f t="shared" si="33"/>
        <v>0</v>
      </c>
    </row>
    <row r="49" spans="1:12" ht="12" customHeight="1">
      <c r="A49" s="3" t="s">
        <v>69</v>
      </c>
      <c r="B49" s="1253" t="s">
        <v>68</v>
      </c>
      <c r="C49" s="1270"/>
      <c r="D49" s="838">
        <f>G49+J49</f>
        <v>300</v>
      </c>
      <c r="E49" s="706">
        <f t="shared" ref="E49:F49" si="34">H49+K49</f>
        <v>248</v>
      </c>
      <c r="F49" s="839">
        <f t="shared" si="34"/>
        <v>244</v>
      </c>
      <c r="G49" s="31">
        <v>300</v>
      </c>
      <c r="H49" s="19">
        <v>248</v>
      </c>
      <c r="I49" s="32">
        <v>244</v>
      </c>
      <c r="J49" s="29"/>
      <c r="K49" s="19"/>
      <c r="L49" s="32"/>
    </row>
    <row r="50" spans="1:12" ht="12" customHeight="1">
      <c r="A50" s="3" t="s">
        <v>71</v>
      </c>
      <c r="B50" s="1253" t="s">
        <v>70</v>
      </c>
      <c r="C50" s="1270"/>
      <c r="D50" s="842"/>
      <c r="E50" s="821"/>
      <c r="F50" s="819"/>
      <c r="G50" s="31"/>
      <c r="H50" s="19"/>
      <c r="I50" s="32">
        <f t="shared" si="28"/>
        <v>0</v>
      </c>
      <c r="J50" s="29"/>
      <c r="K50" s="19"/>
      <c r="L50" s="32">
        <f t="shared" ref="L50" si="35">+J50+K50</f>
        <v>0</v>
      </c>
    </row>
    <row r="51" spans="1:12" ht="12" customHeight="1">
      <c r="A51" s="5" t="s">
        <v>72</v>
      </c>
      <c r="B51" s="1257" t="s">
        <v>156</v>
      </c>
      <c r="C51" s="1356"/>
      <c r="D51" s="845">
        <f t="shared" ref="D51:F51" si="36">SUM(D49:D50)</f>
        <v>300</v>
      </c>
      <c r="E51" s="61">
        <f t="shared" si="36"/>
        <v>248</v>
      </c>
      <c r="F51" s="846">
        <f t="shared" si="36"/>
        <v>244</v>
      </c>
      <c r="G51" s="832">
        <f>SUM(G49:G50)</f>
        <v>300</v>
      </c>
      <c r="H51" s="61">
        <f t="shared" ref="H51:I51" si="37">SUM(H49:H50)</f>
        <v>248</v>
      </c>
      <c r="I51" s="61">
        <f t="shared" si="37"/>
        <v>244</v>
      </c>
      <c r="J51" s="61">
        <f>SUM(J49:J50)</f>
        <v>0</v>
      </c>
      <c r="K51" s="61">
        <f t="shared" ref="K51:L51" si="38">SUM(K49:K50)</f>
        <v>0</v>
      </c>
      <c r="L51" s="61">
        <f t="shared" si="38"/>
        <v>0</v>
      </c>
    </row>
    <row r="52" spans="1:12" ht="12" customHeight="1">
      <c r="A52" s="3" t="s">
        <v>74</v>
      </c>
      <c r="B52" s="1253" t="s">
        <v>73</v>
      </c>
      <c r="C52" s="1270"/>
      <c r="D52" s="838">
        <f>G52+J52</f>
        <v>1700</v>
      </c>
      <c r="E52" s="706">
        <f t="shared" ref="E52:F52" si="39">H52+K52</f>
        <v>1940</v>
      </c>
      <c r="F52" s="839">
        <f t="shared" si="39"/>
        <v>1940</v>
      </c>
      <c r="G52" s="31">
        <v>1700</v>
      </c>
      <c r="H52" s="19">
        <v>1940</v>
      </c>
      <c r="I52" s="32">
        <v>1940</v>
      </c>
      <c r="J52" s="29"/>
      <c r="K52" s="19"/>
      <c r="L52" s="32"/>
    </row>
    <row r="53" spans="1:12" ht="12" customHeight="1">
      <c r="A53" s="3" t="s">
        <v>76</v>
      </c>
      <c r="B53" s="1253" t="s">
        <v>75</v>
      </c>
      <c r="C53" s="1270"/>
      <c r="D53" s="842"/>
      <c r="E53" s="821"/>
      <c r="F53" s="819"/>
      <c r="G53" s="31"/>
      <c r="H53" s="19"/>
      <c r="I53" s="32">
        <f t="shared" si="28"/>
        <v>0</v>
      </c>
      <c r="J53" s="29"/>
      <c r="K53" s="19"/>
      <c r="L53" s="32">
        <f t="shared" ref="L53:L55" si="40">+J53+K53</f>
        <v>0</v>
      </c>
    </row>
    <row r="54" spans="1:12" ht="12" customHeight="1">
      <c r="A54" s="3" t="s">
        <v>77</v>
      </c>
      <c r="B54" s="1253" t="s">
        <v>155</v>
      </c>
      <c r="C54" s="1270"/>
      <c r="D54" s="842"/>
      <c r="E54" s="821"/>
      <c r="F54" s="819"/>
      <c r="G54" s="31"/>
      <c r="H54" s="19"/>
      <c r="I54" s="32">
        <f t="shared" si="28"/>
        <v>0</v>
      </c>
      <c r="J54" s="29"/>
      <c r="K54" s="19"/>
      <c r="L54" s="32">
        <f t="shared" si="40"/>
        <v>0</v>
      </c>
    </row>
    <row r="55" spans="1:12" ht="12" customHeight="1">
      <c r="A55" s="3" t="s">
        <v>78</v>
      </c>
      <c r="B55" s="1253" t="s">
        <v>154</v>
      </c>
      <c r="C55" s="1270"/>
      <c r="D55" s="842"/>
      <c r="E55" s="821"/>
      <c r="F55" s="819"/>
      <c r="G55" s="31"/>
      <c r="H55" s="19"/>
      <c r="I55" s="32">
        <f t="shared" si="28"/>
        <v>0</v>
      </c>
      <c r="J55" s="29"/>
      <c r="K55" s="19"/>
      <c r="L55" s="32">
        <f t="shared" si="40"/>
        <v>0</v>
      </c>
    </row>
    <row r="56" spans="1:12" ht="12" customHeight="1">
      <c r="A56" s="3" t="s">
        <v>80</v>
      </c>
      <c r="B56" s="1253" t="s">
        <v>79</v>
      </c>
      <c r="C56" s="1270"/>
      <c r="D56" s="838">
        <f>G56+J56</f>
        <v>866</v>
      </c>
      <c r="E56" s="706">
        <f t="shared" ref="E56:F56" si="41">H56+K56</f>
        <v>1019</v>
      </c>
      <c r="F56" s="839">
        <f t="shared" si="41"/>
        <v>1019</v>
      </c>
      <c r="G56" s="31">
        <v>866</v>
      </c>
      <c r="H56" s="19">
        <v>1016</v>
      </c>
      <c r="I56" s="32">
        <v>1016</v>
      </c>
      <c r="J56" s="29"/>
      <c r="K56" s="19">
        <v>3</v>
      </c>
      <c r="L56" s="32">
        <v>3</v>
      </c>
    </row>
    <row r="57" spans="1:12" ht="12" customHeight="1">
      <c r="A57" s="5" t="s">
        <v>81</v>
      </c>
      <c r="B57" s="1257" t="s">
        <v>153</v>
      </c>
      <c r="C57" s="1356"/>
      <c r="D57" s="845">
        <f t="shared" ref="D57:F57" si="42">SUM(D52:D56)</f>
        <v>2566</v>
      </c>
      <c r="E57" s="61">
        <f t="shared" si="42"/>
        <v>2959</v>
      </c>
      <c r="F57" s="846">
        <f t="shared" si="42"/>
        <v>2959</v>
      </c>
      <c r="G57" s="832">
        <f>SUM(G52:G56)</f>
        <v>2566</v>
      </c>
      <c r="H57" s="61">
        <f t="shared" ref="H57:I57" si="43">SUM(H52:H56)</f>
        <v>2956</v>
      </c>
      <c r="I57" s="61">
        <f t="shared" si="43"/>
        <v>2956</v>
      </c>
      <c r="J57" s="61">
        <f>SUM(J52:J56)</f>
        <v>0</v>
      </c>
      <c r="K57" s="61">
        <f t="shared" ref="K57:L57" si="44">SUM(K52:K56)</f>
        <v>3</v>
      </c>
      <c r="L57" s="61">
        <f t="shared" si="44"/>
        <v>3</v>
      </c>
    </row>
    <row r="58" spans="1:12" ht="12" customHeight="1">
      <c r="A58" s="6" t="s">
        <v>82</v>
      </c>
      <c r="B58" s="1256" t="s">
        <v>152</v>
      </c>
      <c r="C58" s="1361"/>
      <c r="D58" s="847">
        <f t="shared" ref="D58:F58" si="45">+D57+D51+D48+D38+D35</f>
        <v>14056</v>
      </c>
      <c r="E58" s="58">
        <f t="shared" si="45"/>
        <v>16639</v>
      </c>
      <c r="F58" s="848">
        <f t="shared" si="45"/>
        <v>16430</v>
      </c>
      <c r="G58" s="833">
        <f>+G57+G51+G48+G38+G35</f>
        <v>14056</v>
      </c>
      <c r="H58" s="58">
        <f t="shared" ref="H58" si="46">+H57+H51+H48+H38+H35</f>
        <v>16636</v>
      </c>
      <c r="I58" s="58">
        <f>+I57+I51+I48+I38+I35</f>
        <v>16427</v>
      </c>
      <c r="J58" s="58">
        <f>+J57+J51+J48+J38+J35</f>
        <v>0</v>
      </c>
      <c r="K58" s="58">
        <f t="shared" ref="K58:L58" si="47">+K57+K51+K48+K38+K35</f>
        <v>3</v>
      </c>
      <c r="L58" s="58">
        <f t="shared" si="47"/>
        <v>3</v>
      </c>
    </row>
    <row r="59" spans="1:12" ht="12" customHeight="1">
      <c r="A59" s="7"/>
      <c r="B59" s="8"/>
      <c r="C59" s="8"/>
      <c r="D59" s="849"/>
      <c r="E59" s="8"/>
      <c r="F59" s="850"/>
      <c r="G59" s="30"/>
      <c r="H59" s="21"/>
      <c r="I59" s="22"/>
      <c r="J59" s="30"/>
      <c r="K59" s="21"/>
      <c r="L59" s="22"/>
    </row>
    <row r="60" spans="1:12" ht="12" customHeight="1">
      <c r="A60" s="3" t="s">
        <v>97</v>
      </c>
      <c r="B60" s="1264" t="s">
        <v>732</v>
      </c>
      <c r="C60" s="1365"/>
      <c r="D60" s="859">
        <f>G60+J60</f>
        <v>0</v>
      </c>
      <c r="E60" s="710">
        <f t="shared" ref="E60:F63" si="48">H60+K60</f>
        <v>56</v>
      </c>
      <c r="F60" s="860">
        <f t="shared" si="48"/>
        <v>56</v>
      </c>
      <c r="G60" s="31"/>
      <c r="H60" s="19">
        <v>56</v>
      </c>
      <c r="I60" s="29">
        <v>56</v>
      </c>
      <c r="J60" s="29"/>
      <c r="K60" s="19"/>
      <c r="L60" s="29"/>
    </row>
    <row r="61" spans="1:12" ht="12" customHeight="1">
      <c r="A61" s="3" t="s">
        <v>102</v>
      </c>
      <c r="B61" s="1264" t="s">
        <v>733</v>
      </c>
      <c r="C61" s="1365"/>
      <c r="D61" s="859">
        <f t="shared" ref="D61:D63" si="49">G61+J61</f>
        <v>0</v>
      </c>
      <c r="E61" s="710">
        <f t="shared" si="48"/>
        <v>188</v>
      </c>
      <c r="F61" s="860">
        <f t="shared" si="48"/>
        <v>188</v>
      </c>
      <c r="G61" s="31"/>
      <c r="H61" s="19">
        <f>175+13</f>
        <v>188</v>
      </c>
      <c r="I61" s="29">
        <f>175+13</f>
        <v>188</v>
      </c>
      <c r="J61" s="29"/>
      <c r="K61" s="19"/>
      <c r="L61" s="29"/>
    </row>
    <row r="62" spans="1:12" ht="12" customHeight="1">
      <c r="A62" s="3" t="s">
        <v>106</v>
      </c>
      <c r="B62" s="1363" t="s">
        <v>165</v>
      </c>
      <c r="C62" s="1364"/>
      <c r="D62" s="859">
        <f t="shared" si="49"/>
        <v>9762</v>
      </c>
      <c r="E62" s="710">
        <f t="shared" si="48"/>
        <v>9775</v>
      </c>
      <c r="F62" s="860">
        <f t="shared" si="48"/>
        <v>9775</v>
      </c>
      <c r="G62" s="31">
        <f>+G63</f>
        <v>9762</v>
      </c>
      <c r="H62" s="19">
        <v>9775</v>
      </c>
      <c r="I62" s="796">
        <v>9775</v>
      </c>
      <c r="J62" s="29"/>
      <c r="K62" s="19"/>
      <c r="L62" s="29"/>
    </row>
    <row r="63" spans="1:12" ht="12" customHeight="1">
      <c r="A63" s="43" t="s">
        <v>106</v>
      </c>
      <c r="B63" s="41"/>
      <c r="C63" s="828" t="s">
        <v>105</v>
      </c>
      <c r="D63" s="859">
        <f t="shared" si="49"/>
        <v>9762</v>
      </c>
      <c r="E63" s="710">
        <f t="shared" si="48"/>
        <v>9775</v>
      </c>
      <c r="F63" s="860">
        <f t="shared" si="48"/>
        <v>9775</v>
      </c>
      <c r="G63" s="60">
        <v>9762</v>
      </c>
      <c r="H63" s="704">
        <v>9775</v>
      </c>
      <c r="I63" s="55">
        <v>9775</v>
      </c>
      <c r="J63" s="55"/>
      <c r="K63" s="704"/>
      <c r="L63" s="55"/>
    </row>
    <row r="64" spans="1:12" ht="12" customHeight="1">
      <c r="A64" s="6" t="s">
        <v>109</v>
      </c>
      <c r="B64" s="1256" t="s">
        <v>164</v>
      </c>
      <c r="C64" s="1361"/>
      <c r="D64" s="847">
        <f t="shared" ref="D64:F64" si="50">+D62+D60+D61</f>
        <v>9762</v>
      </c>
      <c r="E64" s="58">
        <f t="shared" si="50"/>
        <v>10019</v>
      </c>
      <c r="F64" s="848">
        <f t="shared" si="50"/>
        <v>10019</v>
      </c>
      <c r="G64" s="833">
        <f>+G62+G60+G61</f>
        <v>9762</v>
      </c>
      <c r="H64" s="58">
        <f t="shared" ref="H64:I64" si="51">+H62+H60+H61</f>
        <v>10019</v>
      </c>
      <c r="I64" s="58">
        <f t="shared" si="51"/>
        <v>10019</v>
      </c>
      <c r="J64" s="58">
        <f>+J62+J60+J61</f>
        <v>0</v>
      </c>
      <c r="K64" s="58">
        <f t="shared" ref="K64:L64" si="52">+K62+K60+K61</f>
        <v>0</v>
      </c>
      <c r="L64" s="58">
        <f t="shared" si="52"/>
        <v>0</v>
      </c>
    </row>
    <row r="65" spans="1:12" ht="12" customHeight="1">
      <c r="A65" s="7"/>
      <c r="B65" s="8"/>
      <c r="C65" s="8"/>
      <c r="D65" s="849"/>
      <c r="E65" s="8"/>
      <c r="F65" s="850"/>
      <c r="G65" s="30"/>
      <c r="H65" s="21"/>
      <c r="I65" s="22"/>
      <c r="J65" s="30"/>
      <c r="K65" s="21"/>
      <c r="L65" s="22"/>
    </row>
    <row r="66" spans="1:12" ht="12" customHeight="1">
      <c r="A66" s="12" t="s">
        <v>111</v>
      </c>
      <c r="B66" s="1255" t="s">
        <v>110</v>
      </c>
      <c r="C66" s="1358"/>
      <c r="D66" s="857">
        <f>G66+J66</f>
        <v>100</v>
      </c>
      <c r="E66" s="709">
        <f t="shared" ref="E66:F73" si="53">H66+K66</f>
        <v>17</v>
      </c>
      <c r="F66" s="858">
        <f t="shared" si="53"/>
        <v>0</v>
      </c>
      <c r="G66" s="190">
        <v>100</v>
      </c>
      <c r="H66" s="23">
        <v>17</v>
      </c>
      <c r="I66" s="32">
        <v>0</v>
      </c>
      <c r="J66" s="32"/>
      <c r="K66" s="23"/>
      <c r="L66" s="32"/>
    </row>
    <row r="67" spans="1:12" ht="12" customHeight="1">
      <c r="A67" s="3" t="s">
        <v>112</v>
      </c>
      <c r="B67" s="1253" t="s">
        <v>163</v>
      </c>
      <c r="C67" s="1270"/>
      <c r="D67" s="857">
        <f t="shared" ref="D67:D73" si="54">G67+J67</f>
        <v>0</v>
      </c>
      <c r="E67" s="709">
        <f t="shared" si="53"/>
        <v>0</v>
      </c>
      <c r="F67" s="858">
        <f t="shared" si="53"/>
        <v>0</v>
      </c>
      <c r="G67" s="31"/>
      <c r="H67" s="19"/>
      <c r="I67" s="32">
        <f t="shared" ref="I67:I72" si="55">+G67+H67</f>
        <v>0</v>
      </c>
      <c r="J67" s="29"/>
      <c r="K67" s="19"/>
      <c r="L67" s="32">
        <f t="shared" ref="L67:L68" si="56">+J67+K67</f>
        <v>0</v>
      </c>
    </row>
    <row r="68" spans="1:12" ht="12" customHeight="1">
      <c r="A68" s="38" t="s">
        <v>112</v>
      </c>
      <c r="B68" s="41"/>
      <c r="C68" s="829" t="s">
        <v>113</v>
      </c>
      <c r="D68" s="857">
        <f t="shared" si="54"/>
        <v>0</v>
      </c>
      <c r="E68" s="709">
        <f t="shared" si="53"/>
        <v>0</v>
      </c>
      <c r="F68" s="858">
        <f t="shared" si="53"/>
        <v>0</v>
      </c>
      <c r="G68" s="31"/>
      <c r="H68" s="19"/>
      <c r="I68" s="32">
        <f t="shared" si="55"/>
        <v>0</v>
      </c>
      <c r="J68" s="29"/>
      <c r="K68" s="19"/>
      <c r="L68" s="32">
        <f t="shared" si="56"/>
        <v>0</v>
      </c>
    </row>
    <row r="69" spans="1:12" ht="12" customHeight="1">
      <c r="A69" s="3" t="s">
        <v>115</v>
      </c>
      <c r="B69" s="1253" t="s">
        <v>114</v>
      </c>
      <c r="C69" s="1270"/>
      <c r="D69" s="857">
        <f t="shared" si="54"/>
        <v>300</v>
      </c>
      <c r="E69" s="709">
        <f t="shared" si="53"/>
        <v>796</v>
      </c>
      <c r="F69" s="858">
        <f t="shared" si="53"/>
        <v>796</v>
      </c>
      <c r="G69" s="31">
        <v>300</v>
      </c>
      <c r="H69" s="19">
        <v>796</v>
      </c>
      <c r="I69" s="32">
        <v>796</v>
      </c>
      <c r="J69" s="29"/>
      <c r="K69" s="19"/>
      <c r="L69" s="32"/>
    </row>
    <row r="70" spans="1:12" ht="12" customHeight="1">
      <c r="A70" s="3" t="s">
        <v>117</v>
      </c>
      <c r="B70" s="1253" t="s">
        <v>116</v>
      </c>
      <c r="C70" s="1270"/>
      <c r="D70" s="857">
        <f t="shared" si="54"/>
        <v>500</v>
      </c>
      <c r="E70" s="709">
        <f t="shared" si="53"/>
        <v>498</v>
      </c>
      <c r="F70" s="858">
        <f t="shared" si="53"/>
        <v>498</v>
      </c>
      <c r="G70" s="31">
        <v>500</v>
      </c>
      <c r="H70" s="19">
        <v>498</v>
      </c>
      <c r="I70" s="32">
        <v>498</v>
      </c>
      <c r="J70" s="29"/>
      <c r="K70" s="19"/>
      <c r="L70" s="32"/>
    </row>
    <row r="71" spans="1:12" ht="12" customHeight="1">
      <c r="A71" s="3" t="s">
        <v>119</v>
      </c>
      <c r="B71" s="1253" t="s">
        <v>118</v>
      </c>
      <c r="C71" s="1270"/>
      <c r="D71" s="857">
        <f t="shared" si="54"/>
        <v>0</v>
      </c>
      <c r="E71" s="709">
        <f t="shared" si="53"/>
        <v>0</v>
      </c>
      <c r="F71" s="858">
        <f t="shared" si="53"/>
        <v>0</v>
      </c>
      <c r="G71" s="31"/>
      <c r="H71" s="19"/>
      <c r="I71" s="32">
        <f t="shared" si="55"/>
        <v>0</v>
      </c>
      <c r="J71" s="29"/>
      <c r="K71" s="19"/>
      <c r="L71" s="32">
        <f t="shared" ref="L71:L73" si="57">+J71+K71</f>
        <v>0</v>
      </c>
    </row>
    <row r="72" spans="1:12" ht="12" customHeight="1">
      <c r="A72" s="3" t="s">
        <v>121</v>
      </c>
      <c r="B72" s="1253" t="s">
        <v>120</v>
      </c>
      <c r="C72" s="1270"/>
      <c r="D72" s="857">
        <f t="shared" si="54"/>
        <v>0</v>
      </c>
      <c r="E72" s="709">
        <f t="shared" si="53"/>
        <v>0</v>
      </c>
      <c r="F72" s="858">
        <f t="shared" si="53"/>
        <v>0</v>
      </c>
      <c r="G72" s="31"/>
      <c r="H72" s="19"/>
      <c r="I72" s="32">
        <f t="shared" si="55"/>
        <v>0</v>
      </c>
      <c r="J72" s="29"/>
      <c r="K72" s="19"/>
      <c r="L72" s="32">
        <f t="shared" si="57"/>
        <v>0</v>
      </c>
    </row>
    <row r="73" spans="1:12" ht="12" customHeight="1">
      <c r="A73" s="3" t="s">
        <v>123</v>
      </c>
      <c r="B73" s="1253" t="s">
        <v>122</v>
      </c>
      <c r="C73" s="1270"/>
      <c r="D73" s="857">
        <f t="shared" si="54"/>
        <v>243</v>
      </c>
      <c r="E73" s="709">
        <f t="shared" si="53"/>
        <v>355</v>
      </c>
      <c r="F73" s="858">
        <f t="shared" si="53"/>
        <v>348</v>
      </c>
      <c r="G73" s="31">
        <v>243</v>
      </c>
      <c r="H73" s="19">
        <v>355</v>
      </c>
      <c r="I73" s="32">
        <v>348</v>
      </c>
      <c r="J73" s="29"/>
      <c r="K73" s="19"/>
      <c r="L73" s="32">
        <f t="shared" si="57"/>
        <v>0</v>
      </c>
    </row>
    <row r="74" spans="1:12" ht="12" customHeight="1">
      <c r="A74" s="6" t="s">
        <v>124</v>
      </c>
      <c r="B74" s="1256" t="s">
        <v>162</v>
      </c>
      <c r="C74" s="1361"/>
      <c r="D74" s="847">
        <f t="shared" ref="D74" si="58">+D73+D72+D71+D70+D69+D67+D66</f>
        <v>1143</v>
      </c>
      <c r="E74" s="58">
        <f t="shared" ref="E74" si="59">+E73+E72+E71+E70+E69+E67+E66</f>
        <v>1666</v>
      </c>
      <c r="F74" s="848">
        <f t="shared" ref="F74" si="60">+F73+F72+F71+F70+F69+F67+F66</f>
        <v>1642</v>
      </c>
      <c r="G74" s="833">
        <f t="shared" ref="G74:L74" si="61">+G73+G72+G71+G70+G69+G67+G66</f>
        <v>1143</v>
      </c>
      <c r="H74" s="45">
        <f t="shared" si="61"/>
        <v>1666</v>
      </c>
      <c r="I74" s="45">
        <f t="shared" si="61"/>
        <v>1642</v>
      </c>
      <c r="J74" s="58">
        <f t="shared" si="61"/>
        <v>0</v>
      </c>
      <c r="K74" s="45">
        <f t="shared" si="61"/>
        <v>0</v>
      </c>
      <c r="L74" s="45">
        <f t="shared" si="61"/>
        <v>0</v>
      </c>
    </row>
    <row r="75" spans="1:12" ht="12" customHeight="1">
      <c r="A75" s="7"/>
      <c r="B75" s="8"/>
      <c r="C75" s="8"/>
      <c r="D75" s="849"/>
      <c r="E75" s="8"/>
      <c r="F75" s="850"/>
      <c r="G75" s="30"/>
      <c r="H75" s="21"/>
      <c r="I75" s="22"/>
      <c r="J75" s="30"/>
      <c r="K75" s="21"/>
      <c r="L75" s="22"/>
    </row>
    <row r="76" spans="1:12" ht="12" hidden="1" customHeight="1">
      <c r="A76" s="12" t="s">
        <v>126</v>
      </c>
      <c r="B76" s="1255" t="s">
        <v>125</v>
      </c>
      <c r="C76" s="1358"/>
      <c r="D76" s="861"/>
      <c r="E76" s="822"/>
      <c r="F76" s="820"/>
      <c r="G76" s="190"/>
      <c r="H76" s="23"/>
      <c r="I76" s="23"/>
      <c r="J76" s="32"/>
      <c r="K76" s="23"/>
      <c r="L76" s="23"/>
    </row>
    <row r="77" spans="1:12" ht="12" hidden="1" customHeight="1">
      <c r="A77" s="3" t="s">
        <v>128</v>
      </c>
      <c r="B77" s="1253" t="s">
        <v>127</v>
      </c>
      <c r="C77" s="1270"/>
      <c r="D77" s="842"/>
      <c r="E77" s="821"/>
      <c r="F77" s="819"/>
      <c r="G77" s="31"/>
      <c r="H77" s="19"/>
      <c r="I77" s="19"/>
      <c r="J77" s="29"/>
      <c r="K77" s="19"/>
      <c r="L77" s="19"/>
    </row>
    <row r="78" spans="1:12" ht="12" hidden="1" customHeight="1">
      <c r="A78" s="3" t="s">
        <v>130</v>
      </c>
      <c r="B78" s="1253" t="s">
        <v>129</v>
      </c>
      <c r="C78" s="1270"/>
      <c r="D78" s="842"/>
      <c r="E78" s="821"/>
      <c r="F78" s="819"/>
      <c r="G78" s="31"/>
      <c r="H78" s="19"/>
      <c r="I78" s="19"/>
      <c r="J78" s="29"/>
      <c r="K78" s="19"/>
      <c r="L78" s="19"/>
    </row>
    <row r="79" spans="1:12" ht="12" hidden="1" customHeight="1">
      <c r="A79" s="3" t="s">
        <v>132</v>
      </c>
      <c r="B79" s="1253" t="s">
        <v>131</v>
      </c>
      <c r="C79" s="1270"/>
      <c r="D79" s="842"/>
      <c r="E79" s="821"/>
      <c r="F79" s="819"/>
      <c r="G79" s="31"/>
      <c r="H79" s="19"/>
      <c r="I79" s="19"/>
      <c r="J79" s="29"/>
      <c r="K79" s="19"/>
      <c r="L79" s="19"/>
    </row>
    <row r="80" spans="1:12" ht="12" customHeight="1">
      <c r="A80" s="5" t="s">
        <v>133</v>
      </c>
      <c r="B80" s="1257" t="s">
        <v>161</v>
      </c>
      <c r="C80" s="1356"/>
      <c r="D80" s="845">
        <f t="shared" ref="D80" si="62">SUM(D76:D79)</f>
        <v>0</v>
      </c>
      <c r="E80" s="61">
        <f t="shared" ref="E80" si="63">SUM(E76:E79)</f>
        <v>0</v>
      </c>
      <c r="F80" s="846">
        <f t="shared" ref="F80" si="64">SUM(F76:F79)</f>
        <v>0</v>
      </c>
      <c r="G80" s="832">
        <f t="shared" ref="G80:L80" si="65">SUM(G76:G79)</f>
        <v>0</v>
      </c>
      <c r="H80" s="47">
        <f t="shared" si="65"/>
        <v>0</v>
      </c>
      <c r="I80" s="47">
        <f t="shared" si="65"/>
        <v>0</v>
      </c>
      <c r="J80" s="61">
        <f t="shared" si="65"/>
        <v>0</v>
      </c>
      <c r="K80" s="47">
        <f t="shared" si="65"/>
        <v>0</v>
      </c>
      <c r="L80" s="47">
        <f t="shared" si="65"/>
        <v>0</v>
      </c>
    </row>
    <row r="81" spans="1:12" ht="12" customHeight="1">
      <c r="A81" s="7"/>
      <c r="B81" s="15"/>
      <c r="C81" s="15"/>
      <c r="D81" s="862"/>
      <c r="E81" s="15"/>
      <c r="F81" s="863"/>
      <c r="G81" s="30"/>
      <c r="H81" s="21"/>
      <c r="I81" s="22"/>
      <c r="J81" s="30"/>
      <c r="K81" s="21"/>
      <c r="L81" s="22"/>
    </row>
    <row r="82" spans="1:12" ht="12" customHeight="1">
      <c r="A82" s="14" t="s">
        <v>135</v>
      </c>
      <c r="B82" s="1272" t="s">
        <v>159</v>
      </c>
      <c r="C82" s="1362"/>
      <c r="D82" s="864"/>
      <c r="E82" s="823"/>
      <c r="F82" s="865"/>
      <c r="G82" s="31"/>
      <c r="H82" s="19"/>
      <c r="I82" s="19"/>
      <c r="J82" s="29"/>
      <c r="K82" s="19"/>
      <c r="L82" s="19"/>
    </row>
    <row r="83" spans="1:12" ht="12" customHeight="1" thickBot="1">
      <c r="A83" s="50"/>
      <c r="B83" s="51"/>
      <c r="C83" s="51"/>
      <c r="D83" s="866"/>
      <c r="E83" s="51"/>
      <c r="F83" s="867"/>
      <c r="G83" s="340"/>
      <c r="H83" s="52"/>
      <c r="I83" s="24"/>
      <c r="J83" s="340"/>
      <c r="K83" s="52"/>
      <c r="L83" s="24"/>
    </row>
    <row r="84" spans="1:12" ht="12" customHeight="1" thickBot="1">
      <c r="A84" s="53" t="s">
        <v>136</v>
      </c>
      <c r="B84" s="1263" t="s">
        <v>158</v>
      </c>
      <c r="C84" s="1360"/>
      <c r="D84" s="868">
        <f t="shared" ref="D84:L84" si="66">+D82+D80+D74+D64+D58+D25+D23</f>
        <v>147956</v>
      </c>
      <c r="E84" s="67">
        <f t="shared" si="66"/>
        <v>156801</v>
      </c>
      <c r="F84" s="869">
        <f t="shared" si="66"/>
        <v>154017</v>
      </c>
      <c r="G84" s="835">
        <f t="shared" si="66"/>
        <v>147956</v>
      </c>
      <c r="H84" s="54">
        <f t="shared" si="66"/>
        <v>156796</v>
      </c>
      <c r="I84" s="67">
        <f t="shared" si="66"/>
        <v>154012</v>
      </c>
      <c r="J84" s="67">
        <f t="shared" si="66"/>
        <v>0</v>
      </c>
      <c r="K84" s="54">
        <f t="shared" si="66"/>
        <v>5</v>
      </c>
      <c r="L84" s="54">
        <f t="shared" si="66"/>
        <v>5</v>
      </c>
    </row>
  </sheetData>
  <mergeCells count="74">
    <mergeCell ref="J1:L1"/>
    <mergeCell ref="J2:L2"/>
    <mergeCell ref="J4:L4"/>
    <mergeCell ref="G2:I2"/>
    <mergeCell ref="G4:I4"/>
    <mergeCell ref="G1:I1"/>
    <mergeCell ref="B25:C25"/>
    <mergeCell ref="B21:C21"/>
    <mergeCell ref="B6:C6"/>
    <mergeCell ref="B32:C32"/>
    <mergeCell ref="B18:C18"/>
    <mergeCell ref="B17:C17"/>
    <mergeCell ref="B22:C22"/>
    <mergeCell ref="B23:C23"/>
    <mergeCell ref="B2:C4"/>
    <mergeCell ref="B13:C13"/>
    <mergeCell ref="B14:C14"/>
    <mergeCell ref="B15:C15"/>
    <mergeCell ref="B16:C16"/>
    <mergeCell ref="B7:C7"/>
    <mergeCell ref="B8:C8"/>
    <mergeCell ref="B10:C10"/>
    <mergeCell ref="B11:C11"/>
    <mergeCell ref="B9:C9"/>
    <mergeCell ref="B5:C5"/>
    <mergeCell ref="B71:C71"/>
    <mergeCell ref="B72:C72"/>
    <mergeCell ref="B73:C73"/>
    <mergeCell ref="B56:C56"/>
    <mergeCell ref="B57:C57"/>
    <mergeCell ref="B58:C58"/>
    <mergeCell ref="B62:C62"/>
    <mergeCell ref="B64:C64"/>
    <mergeCell ref="B66:C66"/>
    <mergeCell ref="B67:C67"/>
    <mergeCell ref="B60:C60"/>
    <mergeCell ref="B61:C61"/>
    <mergeCell ref="A2:A4"/>
    <mergeCell ref="B37:C37"/>
    <mergeCell ref="B38:C38"/>
    <mergeCell ref="B12:C12"/>
    <mergeCell ref="B84:C84"/>
    <mergeCell ref="B74:C74"/>
    <mergeCell ref="B76:C76"/>
    <mergeCell ref="B77:C77"/>
    <mergeCell ref="B78:C78"/>
    <mergeCell ref="B79:C79"/>
    <mergeCell ref="B54:C54"/>
    <mergeCell ref="B55:C55"/>
    <mergeCell ref="B80:C80"/>
    <mergeCell ref="B82:C82"/>
    <mergeCell ref="B69:C69"/>
    <mergeCell ref="B70:C70"/>
    <mergeCell ref="B47:C47"/>
    <mergeCell ref="B35:C35"/>
    <mergeCell ref="B36:C36"/>
    <mergeCell ref="B33:C33"/>
    <mergeCell ref="B34:C34"/>
    <mergeCell ref="D4:F4"/>
    <mergeCell ref="D2:F2"/>
    <mergeCell ref="B51:C51"/>
    <mergeCell ref="B52:C52"/>
    <mergeCell ref="B53:C53"/>
    <mergeCell ref="B48:C48"/>
    <mergeCell ref="B39:C39"/>
    <mergeCell ref="B40:C40"/>
    <mergeCell ref="B49:C49"/>
    <mergeCell ref="B50:C50"/>
    <mergeCell ref="B19:C19"/>
    <mergeCell ref="B20:C20"/>
    <mergeCell ref="B41:C41"/>
    <mergeCell ref="B42:C42"/>
    <mergeCell ref="B43:C43"/>
    <mergeCell ref="B46:C46"/>
  </mergeCells>
  <printOptions horizontalCentered="1"/>
  <pageMargins left="0.70866141732283472" right="0.31496062992125984" top="0.55118110236220474" bottom="0.15748031496062992" header="0.31496062992125984" footer="0.31496062992125984"/>
  <pageSetup paperSize="9" scale="68" orientation="portrait" r:id="rId1"/>
  <headerFooter>
    <oddHeader>&amp;C&amp;"Times New Roman,Félkövér"&amp;12Martonvásár Város Önkormányzatának kiadásai 2015. 
Polgármesteri Hivatal&amp;R&amp;"Times New Roman,Normál"&amp;10 6/a melléklet</oddHeader>
  </headerFooter>
  <rowBreaks count="1" manualBreakCount="1">
    <brk id="58" max="16383" man="1"/>
  </row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U86"/>
  <sheetViews>
    <sheetView view="pageLayout" topLeftCell="G1" workbookViewId="0">
      <selection activeCell="I63" sqref="I63"/>
    </sheetView>
  </sheetViews>
  <sheetFormatPr defaultColWidth="8.7109375" defaultRowHeight="15"/>
  <cols>
    <col min="1" max="1" width="6.140625" style="277" customWidth="1"/>
    <col min="2" max="2" width="7.140625" style="278" customWidth="1"/>
    <col min="3" max="3" width="25" style="278" customWidth="1"/>
    <col min="4" max="4" width="7.42578125" style="279" customWidth="1"/>
    <col min="5" max="5" width="8.7109375" style="279" customWidth="1"/>
    <col min="6" max="6" width="7.42578125" style="279" customWidth="1"/>
    <col min="7" max="7" width="7.140625" style="279" customWidth="1"/>
    <col min="8" max="8" width="6.7109375" style="279" customWidth="1"/>
    <col min="9" max="9" width="7.42578125" style="279" customWidth="1"/>
    <col min="10" max="10" width="8.28515625" style="279" customWidth="1"/>
    <col min="11" max="11" width="8" style="279" customWidth="1"/>
    <col min="12" max="12" width="7.7109375" style="279" customWidth="1"/>
    <col min="13" max="13" width="6.85546875" style="279" customWidth="1"/>
    <col min="14" max="15" width="7.42578125" style="279" customWidth="1"/>
    <col min="16" max="16" width="7.42578125" style="279" hidden="1" customWidth="1"/>
    <col min="17" max="17" width="6.7109375" style="279" hidden="1" customWidth="1"/>
    <col min="18" max="18" width="7.42578125" style="279" hidden="1" customWidth="1"/>
    <col min="19" max="19" width="7.42578125" style="279" customWidth="1"/>
    <col min="20" max="20" width="6.85546875" style="279" customWidth="1"/>
    <col min="21" max="21" width="7.7109375" style="279" customWidth="1"/>
    <col min="22" max="16384" width="8.7109375" style="235"/>
  </cols>
  <sheetData>
    <row r="1" spans="1:21">
      <c r="A1" s="236"/>
      <c r="B1" s="237"/>
      <c r="C1" s="237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1372" t="s">
        <v>404</v>
      </c>
      <c r="T1" s="1372"/>
      <c r="U1" s="1372"/>
    </row>
    <row r="2" spans="1:21" ht="40.5" customHeight="1">
      <c r="A2" s="1380" t="s">
        <v>0</v>
      </c>
      <c r="B2" s="1380" t="s">
        <v>181</v>
      </c>
      <c r="C2" s="1380"/>
      <c r="D2" s="1374" t="s">
        <v>179</v>
      </c>
      <c r="E2" s="1375"/>
      <c r="F2" s="1376"/>
      <c r="G2" s="1373" t="s">
        <v>184</v>
      </c>
      <c r="H2" s="1373"/>
      <c r="I2" s="1373"/>
      <c r="J2" s="1373" t="s">
        <v>292</v>
      </c>
      <c r="K2" s="1373"/>
      <c r="L2" s="1373"/>
      <c r="M2" s="1373" t="s">
        <v>293</v>
      </c>
      <c r="N2" s="1373"/>
      <c r="O2" s="1373"/>
      <c r="P2" s="1373" t="s">
        <v>293</v>
      </c>
      <c r="Q2" s="1373"/>
      <c r="R2" s="1373"/>
      <c r="S2" s="1373" t="s">
        <v>668</v>
      </c>
      <c r="T2" s="1373"/>
      <c r="U2" s="1373"/>
    </row>
    <row r="3" spans="1:21">
      <c r="A3" s="1380"/>
      <c r="B3" s="1380"/>
      <c r="C3" s="1380"/>
      <c r="D3" s="1374"/>
      <c r="E3" s="1375"/>
      <c r="F3" s="1376"/>
      <c r="G3" s="1373" t="s">
        <v>188</v>
      </c>
      <c r="H3" s="1373"/>
      <c r="I3" s="1373"/>
      <c r="J3" s="1373" t="s">
        <v>188</v>
      </c>
      <c r="K3" s="1373"/>
      <c r="L3" s="1373"/>
      <c r="M3" s="1373" t="s">
        <v>188</v>
      </c>
      <c r="N3" s="1373"/>
      <c r="O3" s="1373"/>
      <c r="P3" s="1373" t="s">
        <v>296</v>
      </c>
      <c r="Q3" s="1373"/>
      <c r="R3" s="1373"/>
      <c r="S3" s="1373" t="s">
        <v>188</v>
      </c>
      <c r="T3" s="1373"/>
      <c r="U3" s="1373"/>
    </row>
    <row r="4" spans="1:21" s="239" customFormat="1" ht="25.5" customHeight="1">
      <c r="A4" s="1380"/>
      <c r="B4" s="1380"/>
      <c r="C4" s="1380"/>
      <c r="D4" s="412" t="s">
        <v>178</v>
      </c>
      <c r="E4" s="550" t="s">
        <v>672</v>
      </c>
      <c r="F4" s="550" t="s">
        <v>747</v>
      </c>
      <c r="G4" s="412" t="s">
        <v>178</v>
      </c>
      <c r="H4" s="550" t="s">
        <v>672</v>
      </c>
      <c r="I4" s="550" t="s">
        <v>747</v>
      </c>
      <c r="J4" s="412" t="s">
        <v>178</v>
      </c>
      <c r="K4" s="550" t="s">
        <v>672</v>
      </c>
      <c r="L4" s="550" t="s">
        <v>747</v>
      </c>
      <c r="M4" s="412" t="s">
        <v>178</v>
      </c>
      <c r="N4" s="550" t="s">
        <v>672</v>
      </c>
      <c r="O4" s="550" t="s">
        <v>747</v>
      </c>
      <c r="P4" s="412" t="s">
        <v>178</v>
      </c>
      <c r="Q4" s="550" t="s">
        <v>672</v>
      </c>
      <c r="R4" s="550" t="s">
        <v>747</v>
      </c>
      <c r="S4" s="412" t="s">
        <v>178</v>
      </c>
      <c r="T4" s="550" t="s">
        <v>672</v>
      </c>
      <c r="U4" s="550" t="s">
        <v>747</v>
      </c>
    </row>
    <row r="5" spans="1:21">
      <c r="A5" s="240" t="s">
        <v>2</v>
      </c>
      <c r="B5" s="1378" t="s">
        <v>1</v>
      </c>
      <c r="C5" s="1378"/>
      <c r="D5" s="241">
        <f>+G5+J5+M5+P5+S5</f>
        <v>89725</v>
      </c>
      <c r="E5" s="323">
        <f t="shared" ref="E5:F18" si="0">+H5+K5+N5+Q5+T5</f>
        <v>83632</v>
      </c>
      <c r="F5" s="323">
        <f t="shared" si="0"/>
        <v>82252</v>
      </c>
      <c r="G5" s="241">
        <v>89725</v>
      </c>
      <c r="H5" s="241">
        <v>83632</v>
      </c>
      <c r="I5" s="241">
        <v>82252</v>
      </c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</row>
    <row r="6" spans="1:21">
      <c r="A6" s="240" t="s">
        <v>4</v>
      </c>
      <c r="B6" s="1378" t="s">
        <v>3</v>
      </c>
      <c r="C6" s="1378"/>
      <c r="D6" s="241">
        <f t="shared" ref="D6:D18" si="1">+G6+J6+M6+P6+S6</f>
        <v>0</v>
      </c>
      <c r="E6" s="323">
        <f t="shared" si="0"/>
        <v>0</v>
      </c>
      <c r="F6" s="323">
        <f t="shared" si="0"/>
        <v>0</v>
      </c>
      <c r="G6" s="241"/>
      <c r="H6" s="241"/>
      <c r="I6" s="323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</row>
    <row r="7" spans="1:21">
      <c r="A7" s="240" t="s">
        <v>6</v>
      </c>
      <c r="B7" s="1378" t="s">
        <v>5</v>
      </c>
      <c r="C7" s="1378"/>
      <c r="D7" s="241">
        <f t="shared" si="1"/>
        <v>0</v>
      </c>
      <c r="E7" s="323">
        <f t="shared" si="0"/>
        <v>1696</v>
      </c>
      <c r="F7" s="323">
        <f t="shared" si="0"/>
        <v>1696</v>
      </c>
      <c r="G7" s="241"/>
      <c r="H7" s="241">
        <v>1696</v>
      </c>
      <c r="I7" s="323">
        <v>1696</v>
      </c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</row>
    <row r="8" spans="1:21">
      <c r="A8" s="240" t="s">
        <v>8</v>
      </c>
      <c r="B8" s="1378" t="s">
        <v>7</v>
      </c>
      <c r="C8" s="1378"/>
      <c r="D8" s="241">
        <f t="shared" si="1"/>
        <v>1034</v>
      </c>
      <c r="E8" s="323">
        <f t="shared" si="0"/>
        <v>1034</v>
      </c>
      <c r="F8" s="323">
        <f t="shared" si="0"/>
        <v>447</v>
      </c>
      <c r="G8" s="241">
        <v>1034</v>
      </c>
      <c r="H8" s="241">
        <v>1034</v>
      </c>
      <c r="I8" s="323">
        <v>447</v>
      </c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</row>
    <row r="9" spans="1:21">
      <c r="A9" s="240" t="s">
        <v>10</v>
      </c>
      <c r="B9" s="1378" t="s">
        <v>9</v>
      </c>
      <c r="C9" s="1378"/>
      <c r="D9" s="241">
        <f t="shared" si="1"/>
        <v>0</v>
      </c>
      <c r="E9" s="323">
        <f t="shared" si="0"/>
        <v>0</v>
      </c>
      <c r="F9" s="323">
        <f t="shared" si="0"/>
        <v>0</v>
      </c>
      <c r="G9" s="241"/>
      <c r="H9" s="241"/>
      <c r="I9" s="323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</row>
    <row r="10" spans="1:21">
      <c r="A10" s="240" t="s">
        <v>12</v>
      </c>
      <c r="B10" s="1378" t="s">
        <v>11</v>
      </c>
      <c r="C10" s="1378"/>
      <c r="D10" s="241">
        <f t="shared" si="1"/>
        <v>0</v>
      </c>
      <c r="E10" s="323">
        <f t="shared" si="0"/>
        <v>0</v>
      </c>
      <c r="F10" s="323">
        <f t="shared" si="0"/>
        <v>0</v>
      </c>
      <c r="G10" s="241"/>
      <c r="H10" s="241"/>
      <c r="I10" s="323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</row>
    <row r="11" spans="1:21">
      <c r="A11" s="240" t="s">
        <v>14</v>
      </c>
      <c r="B11" s="1378" t="s">
        <v>13</v>
      </c>
      <c r="C11" s="1378"/>
      <c r="D11" s="241">
        <f t="shared" si="1"/>
        <v>2100</v>
      </c>
      <c r="E11" s="323">
        <f t="shared" si="0"/>
        <v>3286</v>
      </c>
      <c r="F11" s="323">
        <f t="shared" si="0"/>
        <v>3286</v>
      </c>
      <c r="G11" s="241">
        <v>2100</v>
      </c>
      <c r="H11" s="241">
        <v>3286</v>
      </c>
      <c r="I11" s="323">
        <v>3286</v>
      </c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</row>
    <row r="12" spans="1:21">
      <c r="A12" s="240" t="s">
        <v>16</v>
      </c>
      <c r="B12" s="1378" t="s">
        <v>15</v>
      </c>
      <c r="C12" s="1378"/>
      <c r="D12" s="241">
        <f t="shared" si="1"/>
        <v>0</v>
      </c>
      <c r="E12" s="323">
        <f t="shared" si="0"/>
        <v>0</v>
      </c>
      <c r="F12" s="323">
        <f>+I12+L12+O12+R12+U12</f>
        <v>0</v>
      </c>
      <c r="G12" s="241"/>
      <c r="H12" s="241"/>
      <c r="I12" s="323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</row>
    <row r="13" spans="1:21">
      <c r="A13" s="240" t="s">
        <v>18</v>
      </c>
      <c r="B13" s="1378" t="s">
        <v>17</v>
      </c>
      <c r="C13" s="1378"/>
      <c r="D13" s="241">
        <f t="shared" si="1"/>
        <v>935</v>
      </c>
      <c r="E13" s="323">
        <f t="shared" si="0"/>
        <v>935</v>
      </c>
      <c r="F13" s="323">
        <f t="shared" si="0"/>
        <v>652</v>
      </c>
      <c r="G13" s="241">
        <v>935</v>
      </c>
      <c r="H13" s="241">
        <v>935</v>
      </c>
      <c r="I13" s="323">
        <v>652</v>
      </c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</row>
    <row r="14" spans="1:21">
      <c r="A14" s="240" t="s">
        <v>20</v>
      </c>
      <c r="B14" s="1378" t="s">
        <v>19</v>
      </c>
      <c r="C14" s="1378"/>
      <c r="D14" s="241">
        <f t="shared" si="1"/>
        <v>0</v>
      </c>
      <c r="E14" s="323">
        <f t="shared" si="0"/>
        <v>0</v>
      </c>
      <c r="F14" s="323">
        <f t="shared" si="0"/>
        <v>0</v>
      </c>
      <c r="G14" s="241"/>
      <c r="H14" s="241"/>
      <c r="I14" s="323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</row>
    <row r="15" spans="1:21">
      <c r="A15" s="240" t="s">
        <v>22</v>
      </c>
      <c r="B15" s="1378" t="s">
        <v>21</v>
      </c>
      <c r="C15" s="1378"/>
      <c r="D15" s="241">
        <f t="shared" si="1"/>
        <v>0</v>
      </c>
      <c r="E15" s="323">
        <f t="shared" si="0"/>
        <v>0</v>
      </c>
      <c r="F15" s="323">
        <f t="shared" si="0"/>
        <v>0</v>
      </c>
      <c r="G15" s="241"/>
      <c r="H15" s="241"/>
      <c r="I15" s="323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</row>
    <row r="16" spans="1:21">
      <c r="A16" s="240" t="s">
        <v>24</v>
      </c>
      <c r="B16" s="1378" t="s">
        <v>23</v>
      </c>
      <c r="C16" s="1378"/>
      <c r="D16" s="241">
        <f t="shared" si="1"/>
        <v>0</v>
      </c>
      <c r="E16" s="323">
        <f t="shared" si="0"/>
        <v>0</v>
      </c>
      <c r="F16" s="323">
        <f t="shared" si="0"/>
        <v>0</v>
      </c>
      <c r="G16" s="241"/>
      <c r="H16" s="241"/>
      <c r="I16" s="323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</row>
    <row r="17" spans="1:21">
      <c r="A17" s="240" t="s">
        <v>25</v>
      </c>
      <c r="B17" s="1378" t="s">
        <v>176</v>
      </c>
      <c r="C17" s="1378"/>
      <c r="D17" s="241">
        <f t="shared" si="1"/>
        <v>0</v>
      </c>
      <c r="E17" s="323">
        <f t="shared" si="0"/>
        <v>2374</v>
      </c>
      <c r="F17" s="323">
        <f t="shared" si="0"/>
        <v>2374</v>
      </c>
      <c r="G17" s="241"/>
      <c r="H17" s="241">
        <v>2374</v>
      </c>
      <c r="I17" s="323">
        <v>2374</v>
      </c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</row>
    <row r="18" spans="1:21">
      <c r="A18" s="240" t="s">
        <v>25</v>
      </c>
      <c r="B18" s="1378" t="s">
        <v>26</v>
      </c>
      <c r="C18" s="1378"/>
      <c r="D18" s="241">
        <f t="shared" si="1"/>
        <v>0</v>
      </c>
      <c r="E18" s="323">
        <f t="shared" si="0"/>
        <v>0</v>
      </c>
      <c r="F18" s="323">
        <f t="shared" si="0"/>
        <v>0</v>
      </c>
      <c r="G18" s="241"/>
      <c r="H18" s="241"/>
      <c r="I18" s="323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</row>
    <row r="19" spans="1:21" s="326" customFormat="1">
      <c r="A19" s="324" t="s">
        <v>27</v>
      </c>
      <c r="B19" s="1377" t="s">
        <v>439</v>
      </c>
      <c r="C19" s="1377"/>
      <c r="D19" s="325">
        <f>SUM(D5:D18)</f>
        <v>93794</v>
      </c>
      <c r="E19" s="325">
        <f t="shared" ref="E19:U19" si="2">SUM(E5:E18)</f>
        <v>92957</v>
      </c>
      <c r="F19" s="325">
        <f t="shared" si="2"/>
        <v>90707</v>
      </c>
      <c r="G19" s="325">
        <f t="shared" si="2"/>
        <v>93794</v>
      </c>
      <c r="H19" s="325">
        <f t="shared" si="2"/>
        <v>92957</v>
      </c>
      <c r="I19" s="325">
        <f t="shared" si="2"/>
        <v>90707</v>
      </c>
      <c r="J19" s="325">
        <f t="shared" si="2"/>
        <v>0</v>
      </c>
      <c r="K19" s="325">
        <f t="shared" si="2"/>
        <v>0</v>
      </c>
      <c r="L19" s="325">
        <f t="shared" si="2"/>
        <v>0</v>
      </c>
      <c r="M19" s="325">
        <f t="shared" si="2"/>
        <v>0</v>
      </c>
      <c r="N19" s="325">
        <f t="shared" si="2"/>
        <v>0</v>
      </c>
      <c r="O19" s="325">
        <f t="shared" si="2"/>
        <v>0</v>
      </c>
      <c r="P19" s="325">
        <f t="shared" si="2"/>
        <v>0</v>
      </c>
      <c r="Q19" s="325">
        <f t="shared" si="2"/>
        <v>0</v>
      </c>
      <c r="R19" s="325">
        <f t="shared" si="2"/>
        <v>0</v>
      </c>
      <c r="S19" s="325">
        <f t="shared" si="2"/>
        <v>0</v>
      </c>
      <c r="T19" s="325">
        <f t="shared" si="2"/>
        <v>0</v>
      </c>
      <c r="U19" s="325">
        <f t="shared" si="2"/>
        <v>0</v>
      </c>
    </row>
    <row r="20" spans="1:21">
      <c r="A20" s="240" t="s">
        <v>29</v>
      </c>
      <c r="B20" s="1378" t="s">
        <v>28</v>
      </c>
      <c r="C20" s="1378"/>
      <c r="D20" s="241">
        <f>(((+G20+J20)+M20)+P20)+S20</f>
        <v>0</v>
      </c>
      <c r="E20" s="323">
        <f t="shared" ref="E20:F20" si="3">(((+H20+K20)+N20)+Q20)+T20</f>
        <v>0</v>
      </c>
      <c r="F20" s="323">
        <f t="shared" si="3"/>
        <v>0</v>
      </c>
      <c r="G20" s="241"/>
      <c r="H20" s="241"/>
      <c r="I20" s="241">
        <f>+G20+H20</f>
        <v>0</v>
      </c>
      <c r="J20" s="241"/>
      <c r="K20" s="241"/>
      <c r="L20" s="241"/>
      <c r="M20" s="241"/>
      <c r="N20" s="241"/>
      <c r="O20" s="241">
        <f>+M20+N20</f>
        <v>0</v>
      </c>
      <c r="P20" s="241"/>
      <c r="Q20" s="241"/>
      <c r="R20" s="241"/>
      <c r="S20" s="241"/>
      <c r="T20" s="241"/>
      <c r="U20" s="241"/>
    </row>
    <row r="21" spans="1:21" ht="28.5" customHeight="1">
      <c r="A21" s="240" t="s">
        <v>31</v>
      </c>
      <c r="B21" s="1378" t="s">
        <v>30</v>
      </c>
      <c r="C21" s="1378"/>
      <c r="D21" s="241">
        <f>+G21+J21+M21+P21+S21</f>
        <v>2310</v>
      </c>
      <c r="E21" s="323">
        <f t="shared" ref="E21:F22" si="4">+H21+K21+N21+Q21+T21</f>
        <v>2355</v>
      </c>
      <c r="F21" s="323">
        <f>+I21+L21+O21+R21+U21</f>
        <v>1919</v>
      </c>
      <c r="G21" s="241"/>
      <c r="H21" s="241">
        <v>51</v>
      </c>
      <c r="I21" s="323">
        <v>1170</v>
      </c>
      <c r="J21" s="241"/>
      <c r="K21" s="241"/>
      <c r="L21" s="241"/>
      <c r="M21" s="241">
        <v>2310</v>
      </c>
      <c r="N21" s="241">
        <v>2304</v>
      </c>
      <c r="O21" s="323">
        <v>749</v>
      </c>
      <c r="P21" s="241"/>
      <c r="Q21" s="241"/>
      <c r="R21" s="241"/>
      <c r="S21" s="241"/>
      <c r="T21" s="241"/>
      <c r="U21" s="241"/>
    </row>
    <row r="22" spans="1:21">
      <c r="A22" s="240" t="s">
        <v>33</v>
      </c>
      <c r="B22" s="1378" t="s">
        <v>32</v>
      </c>
      <c r="C22" s="1378"/>
      <c r="D22" s="241">
        <f>+G22+J22+M22+P22+S22</f>
        <v>0</v>
      </c>
      <c r="E22" s="323">
        <f t="shared" si="4"/>
        <v>25</v>
      </c>
      <c r="F22" s="323">
        <f t="shared" si="4"/>
        <v>22</v>
      </c>
      <c r="G22" s="241"/>
      <c r="H22" s="241">
        <v>25</v>
      </c>
      <c r="I22" s="323">
        <v>22</v>
      </c>
      <c r="J22" s="241"/>
      <c r="K22" s="241"/>
      <c r="L22" s="241"/>
      <c r="M22" s="241"/>
      <c r="N22" s="241"/>
      <c r="O22" s="323">
        <f t="shared" ref="O22" si="5">+M22+N22</f>
        <v>0</v>
      </c>
      <c r="P22" s="241"/>
      <c r="Q22" s="241"/>
      <c r="R22" s="241"/>
      <c r="S22" s="241"/>
      <c r="T22" s="241"/>
      <c r="U22" s="241"/>
    </row>
    <row r="23" spans="1:21" s="326" customFormat="1">
      <c r="A23" s="324" t="s">
        <v>34</v>
      </c>
      <c r="B23" s="1377" t="s">
        <v>440</v>
      </c>
      <c r="C23" s="1377"/>
      <c r="D23" s="325">
        <f>SUM(D20:D22)</f>
        <v>2310</v>
      </c>
      <c r="E23" s="325">
        <f t="shared" ref="E23:U23" si="6">SUM(E20:E22)</f>
        <v>2380</v>
      </c>
      <c r="F23" s="325">
        <f t="shared" si="6"/>
        <v>1941</v>
      </c>
      <c r="G23" s="325">
        <f t="shared" si="6"/>
        <v>0</v>
      </c>
      <c r="H23" s="325">
        <f t="shared" si="6"/>
        <v>76</v>
      </c>
      <c r="I23" s="325">
        <f t="shared" si="6"/>
        <v>1192</v>
      </c>
      <c r="J23" s="325">
        <f t="shared" si="6"/>
        <v>0</v>
      </c>
      <c r="K23" s="325">
        <f t="shared" si="6"/>
        <v>0</v>
      </c>
      <c r="L23" s="325">
        <f t="shared" si="6"/>
        <v>0</v>
      </c>
      <c r="M23" s="325">
        <f t="shared" si="6"/>
        <v>2310</v>
      </c>
      <c r="N23" s="325">
        <f t="shared" si="6"/>
        <v>2304</v>
      </c>
      <c r="O23" s="325">
        <f t="shared" si="6"/>
        <v>749</v>
      </c>
      <c r="P23" s="325">
        <f t="shared" si="6"/>
        <v>0</v>
      </c>
      <c r="Q23" s="325">
        <f t="shared" si="6"/>
        <v>0</v>
      </c>
      <c r="R23" s="325">
        <f t="shared" si="6"/>
        <v>0</v>
      </c>
      <c r="S23" s="325">
        <f t="shared" si="6"/>
        <v>0</v>
      </c>
      <c r="T23" s="325">
        <f t="shared" si="6"/>
        <v>0</v>
      </c>
      <c r="U23" s="325">
        <f t="shared" si="6"/>
        <v>0</v>
      </c>
    </row>
    <row r="24" spans="1:21" s="245" customFormat="1">
      <c r="A24" s="243" t="s">
        <v>35</v>
      </c>
      <c r="B24" s="1377" t="s">
        <v>441</v>
      </c>
      <c r="C24" s="1377"/>
      <c r="D24" s="244">
        <f>+D23+D19</f>
        <v>96104</v>
      </c>
      <c r="E24" s="244">
        <f t="shared" ref="E24:U24" si="7">+E23+E19</f>
        <v>95337</v>
      </c>
      <c r="F24" s="244">
        <f t="shared" si="7"/>
        <v>92648</v>
      </c>
      <c r="G24" s="244">
        <f t="shared" si="7"/>
        <v>93794</v>
      </c>
      <c r="H24" s="244">
        <f t="shared" si="7"/>
        <v>93033</v>
      </c>
      <c r="I24" s="244">
        <f t="shared" si="7"/>
        <v>91899</v>
      </c>
      <c r="J24" s="244">
        <f t="shared" si="7"/>
        <v>0</v>
      </c>
      <c r="K24" s="244">
        <f t="shared" si="7"/>
        <v>0</v>
      </c>
      <c r="L24" s="244">
        <f t="shared" si="7"/>
        <v>0</v>
      </c>
      <c r="M24" s="244">
        <f t="shared" si="7"/>
        <v>2310</v>
      </c>
      <c r="N24" s="244">
        <f>+N23+N19</f>
        <v>2304</v>
      </c>
      <c r="O24" s="244">
        <f t="shared" si="7"/>
        <v>749</v>
      </c>
      <c r="P24" s="244">
        <f t="shared" si="7"/>
        <v>0</v>
      </c>
      <c r="Q24" s="244">
        <f t="shared" si="7"/>
        <v>0</v>
      </c>
      <c r="R24" s="244">
        <f t="shared" si="7"/>
        <v>0</v>
      </c>
      <c r="S24" s="244">
        <f t="shared" si="7"/>
        <v>0</v>
      </c>
      <c r="T24" s="244">
        <f t="shared" si="7"/>
        <v>0</v>
      </c>
      <c r="U24" s="244">
        <f t="shared" si="7"/>
        <v>0</v>
      </c>
    </row>
    <row r="25" spans="1:21">
      <c r="A25" s="246"/>
      <c r="B25" s="247"/>
      <c r="C25" s="247"/>
      <c r="D25" s="248"/>
      <c r="E25" s="248"/>
      <c r="F25" s="249"/>
      <c r="G25" s="250"/>
      <c r="H25" s="248"/>
      <c r="I25" s="249"/>
      <c r="J25" s="250"/>
      <c r="K25" s="248"/>
      <c r="L25" s="249"/>
      <c r="M25" s="250"/>
      <c r="N25" s="248"/>
      <c r="O25" s="249"/>
      <c r="P25" s="250"/>
      <c r="Q25" s="248"/>
      <c r="R25" s="249"/>
      <c r="S25" s="250"/>
      <c r="T25" s="248"/>
      <c r="U25" s="249"/>
    </row>
    <row r="26" spans="1:21" s="327" customFormat="1">
      <c r="A26" s="324" t="s">
        <v>36</v>
      </c>
      <c r="B26" s="1377" t="s">
        <v>442</v>
      </c>
      <c r="C26" s="1377"/>
      <c r="D26" s="325">
        <f t="shared" ref="D26:D31" si="8">+G26+J26+M26+P26+S26</f>
        <v>26844</v>
      </c>
      <c r="E26" s="325">
        <f t="shared" ref="E26" si="9">+H26+K26+N26+Q26+T26</f>
        <v>26928</v>
      </c>
      <c r="F26" s="325">
        <f t="shared" ref="F26" si="10">+I26+L26+O26+R26+U26</f>
        <v>26537</v>
      </c>
      <c r="G26" s="325">
        <f t="shared" ref="G26:U26" si="11">SUM(G27:G31)</f>
        <v>26220</v>
      </c>
      <c r="H26" s="325">
        <f t="shared" si="11"/>
        <v>26304</v>
      </c>
      <c r="I26" s="325">
        <f t="shared" si="11"/>
        <v>26372</v>
      </c>
      <c r="J26" s="325">
        <f t="shared" si="11"/>
        <v>0</v>
      </c>
      <c r="K26" s="325">
        <f t="shared" si="11"/>
        <v>0</v>
      </c>
      <c r="L26" s="325">
        <f t="shared" si="11"/>
        <v>0</v>
      </c>
      <c r="M26" s="325">
        <f t="shared" si="11"/>
        <v>624</v>
      </c>
      <c r="N26" s="325">
        <f t="shared" si="11"/>
        <v>624</v>
      </c>
      <c r="O26" s="325">
        <f t="shared" si="11"/>
        <v>165</v>
      </c>
      <c r="P26" s="325">
        <f t="shared" si="11"/>
        <v>0</v>
      </c>
      <c r="Q26" s="325">
        <f t="shared" si="11"/>
        <v>0</v>
      </c>
      <c r="R26" s="325">
        <f t="shared" si="11"/>
        <v>0</v>
      </c>
      <c r="S26" s="325">
        <f t="shared" si="11"/>
        <v>0</v>
      </c>
      <c r="T26" s="325">
        <f t="shared" si="11"/>
        <v>0</v>
      </c>
      <c r="U26" s="325">
        <f t="shared" si="11"/>
        <v>0</v>
      </c>
    </row>
    <row r="27" spans="1:21" ht="25.5">
      <c r="A27" s="251" t="s">
        <v>36</v>
      </c>
      <c r="B27" s="252"/>
      <c r="C27" s="253" t="s">
        <v>37</v>
      </c>
      <c r="D27" s="323">
        <f t="shared" si="8"/>
        <v>25129</v>
      </c>
      <c r="E27" s="323">
        <f t="shared" ref="E27:E31" si="12">+H27+K27+N27+Q27+T27</f>
        <v>25093</v>
      </c>
      <c r="F27" s="323">
        <f t="shared" ref="F27:F31" si="13">+I27+L27+O27+R27+U27</f>
        <v>23746</v>
      </c>
      <c r="G27" s="241">
        <v>24505</v>
      </c>
      <c r="H27" s="241">
        <v>24469</v>
      </c>
      <c r="I27" s="241">
        <v>23581</v>
      </c>
      <c r="J27" s="241"/>
      <c r="K27" s="241"/>
      <c r="L27" s="241"/>
      <c r="M27" s="241">
        <v>624</v>
      </c>
      <c r="N27" s="241">
        <v>624</v>
      </c>
      <c r="O27" s="241">
        <v>165</v>
      </c>
      <c r="P27" s="241"/>
      <c r="Q27" s="241"/>
      <c r="R27" s="241"/>
      <c r="S27" s="241"/>
      <c r="T27" s="241"/>
      <c r="U27" s="241"/>
    </row>
    <row r="28" spans="1:21" ht="25.5">
      <c r="A28" s="251" t="s">
        <v>36</v>
      </c>
      <c r="B28" s="252"/>
      <c r="C28" s="253" t="s">
        <v>38</v>
      </c>
      <c r="D28" s="323">
        <f t="shared" si="8"/>
        <v>965</v>
      </c>
      <c r="E28" s="323">
        <f t="shared" si="12"/>
        <v>965</v>
      </c>
      <c r="F28" s="323">
        <f t="shared" si="13"/>
        <v>965</v>
      </c>
      <c r="G28" s="241">
        <v>965</v>
      </c>
      <c r="H28" s="241">
        <v>965</v>
      </c>
      <c r="I28" s="323">
        <v>965</v>
      </c>
      <c r="J28" s="241"/>
      <c r="K28" s="241"/>
      <c r="L28" s="241"/>
      <c r="M28" s="241"/>
      <c r="N28" s="241"/>
      <c r="O28" s="323">
        <f t="shared" ref="O28:O31" si="14">+M28+N28</f>
        <v>0</v>
      </c>
      <c r="P28" s="241"/>
      <c r="Q28" s="241"/>
      <c r="R28" s="241"/>
      <c r="S28" s="241"/>
      <c r="T28" s="241"/>
      <c r="U28" s="241"/>
    </row>
    <row r="29" spans="1:21" ht="25.5">
      <c r="A29" s="251" t="s">
        <v>36</v>
      </c>
      <c r="B29" s="252"/>
      <c r="C29" s="253" t="s">
        <v>39</v>
      </c>
      <c r="D29" s="323">
        <f t="shared" si="8"/>
        <v>350</v>
      </c>
      <c r="E29" s="323">
        <f t="shared" si="12"/>
        <v>355</v>
      </c>
      <c r="F29" s="323">
        <f t="shared" si="13"/>
        <v>554</v>
      </c>
      <c r="G29" s="241">
        <v>350</v>
      </c>
      <c r="H29" s="241">
        <v>355</v>
      </c>
      <c r="I29" s="323">
        <v>554</v>
      </c>
      <c r="J29" s="241"/>
      <c r="K29" s="241"/>
      <c r="L29" s="241"/>
      <c r="M29" s="241"/>
      <c r="N29" s="241"/>
      <c r="O29" s="323">
        <f t="shared" si="14"/>
        <v>0</v>
      </c>
      <c r="P29" s="241"/>
      <c r="Q29" s="241"/>
      <c r="R29" s="241"/>
      <c r="S29" s="241"/>
      <c r="T29" s="241"/>
      <c r="U29" s="241"/>
    </row>
    <row r="30" spans="1:21" ht="13.5" customHeight="1">
      <c r="A30" s="251" t="s">
        <v>36</v>
      </c>
      <c r="B30" s="252"/>
      <c r="C30" s="253" t="s">
        <v>40</v>
      </c>
      <c r="D30" s="323">
        <f t="shared" si="8"/>
        <v>0</v>
      </c>
      <c r="E30" s="323">
        <f t="shared" si="12"/>
        <v>112</v>
      </c>
      <c r="F30" s="323">
        <f t="shared" si="13"/>
        <v>643</v>
      </c>
      <c r="G30" s="241"/>
      <c r="H30" s="241">
        <v>112</v>
      </c>
      <c r="I30" s="323">
        <v>643</v>
      </c>
      <c r="J30" s="241"/>
      <c r="K30" s="241"/>
      <c r="L30" s="241"/>
      <c r="M30" s="241"/>
      <c r="N30" s="241"/>
      <c r="O30" s="323">
        <f t="shared" si="14"/>
        <v>0</v>
      </c>
      <c r="P30" s="241"/>
      <c r="Q30" s="241"/>
      <c r="R30" s="241"/>
      <c r="S30" s="241"/>
      <c r="T30" s="241"/>
      <c r="U30" s="241"/>
    </row>
    <row r="31" spans="1:21" ht="25.5" customHeight="1">
      <c r="A31" s="251" t="s">
        <v>36</v>
      </c>
      <c r="B31" s="252"/>
      <c r="C31" s="253" t="s">
        <v>41</v>
      </c>
      <c r="D31" s="323">
        <f t="shared" si="8"/>
        <v>400</v>
      </c>
      <c r="E31" s="323">
        <f t="shared" si="12"/>
        <v>403</v>
      </c>
      <c r="F31" s="323">
        <f t="shared" si="13"/>
        <v>629</v>
      </c>
      <c r="G31" s="241">
        <v>400</v>
      </c>
      <c r="H31" s="241">
        <v>403</v>
      </c>
      <c r="I31" s="323">
        <v>629</v>
      </c>
      <c r="J31" s="241"/>
      <c r="K31" s="241"/>
      <c r="L31" s="241"/>
      <c r="M31" s="241"/>
      <c r="N31" s="241"/>
      <c r="O31" s="323">
        <f t="shared" si="14"/>
        <v>0</v>
      </c>
      <c r="P31" s="241"/>
      <c r="Q31" s="241"/>
      <c r="R31" s="241"/>
      <c r="S31" s="241"/>
      <c r="T31" s="241"/>
      <c r="U31" s="241"/>
    </row>
    <row r="32" spans="1:21">
      <c r="A32" s="254"/>
      <c r="B32" s="255"/>
      <c r="C32" s="256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</row>
    <row r="33" spans="1:21">
      <c r="A33" s="240" t="s">
        <v>43</v>
      </c>
      <c r="B33" s="1378" t="s">
        <v>42</v>
      </c>
      <c r="C33" s="1378"/>
      <c r="D33" s="241">
        <f>+G33+J33+M33+P33+S33</f>
        <v>705</v>
      </c>
      <c r="E33" s="323">
        <f t="shared" ref="E33:F35" si="15">+H33+K33+N33+Q33+T33</f>
        <v>695</v>
      </c>
      <c r="F33" s="323">
        <f t="shared" si="15"/>
        <v>681</v>
      </c>
      <c r="G33" s="241">
        <v>705</v>
      </c>
      <c r="H33" s="241">
        <v>695</v>
      </c>
      <c r="I33" s="241">
        <v>681</v>
      </c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</row>
    <row r="34" spans="1:21">
      <c r="A34" s="240" t="s">
        <v>45</v>
      </c>
      <c r="B34" s="1378" t="s">
        <v>44</v>
      </c>
      <c r="C34" s="1378"/>
      <c r="D34" s="241">
        <f t="shared" ref="D34:D57" si="16">+G34+J34+M34+P34+S34</f>
        <v>1225</v>
      </c>
      <c r="E34" s="323">
        <f t="shared" si="15"/>
        <v>1225</v>
      </c>
      <c r="F34" s="323">
        <f t="shared" si="15"/>
        <v>1212</v>
      </c>
      <c r="G34" s="241">
        <v>1225</v>
      </c>
      <c r="H34" s="241">
        <v>1225</v>
      </c>
      <c r="I34" s="323">
        <v>1212</v>
      </c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</row>
    <row r="35" spans="1:21">
      <c r="A35" s="240" t="s">
        <v>47</v>
      </c>
      <c r="B35" s="1378" t="s">
        <v>46</v>
      </c>
      <c r="C35" s="1378"/>
      <c r="D35" s="241">
        <f t="shared" si="16"/>
        <v>0</v>
      </c>
      <c r="E35" s="323">
        <f t="shared" si="15"/>
        <v>0</v>
      </c>
      <c r="F35" s="323">
        <f t="shared" si="15"/>
        <v>0</v>
      </c>
      <c r="G35" s="241"/>
      <c r="H35" s="241"/>
      <c r="I35" s="323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</row>
    <row r="36" spans="1:21" s="327" customFormat="1">
      <c r="A36" s="324" t="s">
        <v>48</v>
      </c>
      <c r="B36" s="1377" t="s">
        <v>444</v>
      </c>
      <c r="C36" s="1377"/>
      <c r="D36" s="325">
        <f>SUM(D33:D35)</f>
        <v>1930</v>
      </c>
      <c r="E36" s="325">
        <f t="shared" ref="E36:U36" si="17">SUM(E33:E35)</f>
        <v>1920</v>
      </c>
      <c r="F36" s="325">
        <f t="shared" si="17"/>
        <v>1893</v>
      </c>
      <c r="G36" s="325">
        <f t="shared" si="17"/>
        <v>1930</v>
      </c>
      <c r="H36" s="325">
        <f t="shared" si="17"/>
        <v>1920</v>
      </c>
      <c r="I36" s="325">
        <f t="shared" si="17"/>
        <v>1893</v>
      </c>
      <c r="J36" s="325">
        <f t="shared" si="17"/>
        <v>0</v>
      </c>
      <c r="K36" s="325">
        <f t="shared" si="17"/>
        <v>0</v>
      </c>
      <c r="L36" s="325">
        <f t="shared" si="17"/>
        <v>0</v>
      </c>
      <c r="M36" s="325">
        <f t="shared" si="17"/>
        <v>0</v>
      </c>
      <c r="N36" s="325">
        <f t="shared" si="17"/>
        <v>0</v>
      </c>
      <c r="O36" s="325">
        <f t="shared" si="17"/>
        <v>0</v>
      </c>
      <c r="P36" s="325">
        <f t="shared" si="17"/>
        <v>0</v>
      </c>
      <c r="Q36" s="325">
        <f t="shared" si="17"/>
        <v>0</v>
      </c>
      <c r="R36" s="325">
        <f t="shared" si="17"/>
        <v>0</v>
      </c>
      <c r="S36" s="325">
        <f t="shared" si="17"/>
        <v>0</v>
      </c>
      <c r="T36" s="325">
        <f t="shared" si="17"/>
        <v>0</v>
      </c>
      <c r="U36" s="325">
        <f t="shared" si="17"/>
        <v>0</v>
      </c>
    </row>
    <row r="37" spans="1:21">
      <c r="A37" s="240" t="s">
        <v>50</v>
      </c>
      <c r="B37" s="1378" t="s">
        <v>49</v>
      </c>
      <c r="C37" s="1378"/>
      <c r="D37" s="241">
        <f t="shared" si="16"/>
        <v>250</v>
      </c>
      <c r="E37" s="323">
        <f t="shared" ref="E37:E38" si="18">+H37+K37+N37+Q37+T37</f>
        <v>252</v>
      </c>
      <c r="F37" s="323">
        <f t="shared" ref="F37:F38" si="19">+I37+L37+O37+R37+U37</f>
        <v>252</v>
      </c>
      <c r="G37" s="241"/>
      <c r="H37" s="241"/>
      <c r="I37" s="241"/>
      <c r="J37" s="241">
        <v>250</v>
      </c>
      <c r="K37" s="241">
        <v>252</v>
      </c>
      <c r="L37" s="241">
        <v>252</v>
      </c>
      <c r="M37" s="241"/>
      <c r="N37" s="241"/>
      <c r="O37" s="241"/>
      <c r="P37" s="241"/>
      <c r="Q37" s="241"/>
      <c r="R37" s="241"/>
      <c r="S37" s="241"/>
      <c r="T37" s="241"/>
      <c r="U37" s="241"/>
    </row>
    <row r="38" spans="1:21">
      <c r="A38" s="240" t="s">
        <v>52</v>
      </c>
      <c r="B38" s="1378" t="s">
        <v>51</v>
      </c>
      <c r="C38" s="1378"/>
      <c r="D38" s="241">
        <f t="shared" si="16"/>
        <v>0</v>
      </c>
      <c r="E38" s="323">
        <f t="shared" si="18"/>
        <v>0</v>
      </c>
      <c r="F38" s="323">
        <f t="shared" si="19"/>
        <v>0</v>
      </c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</row>
    <row r="39" spans="1:21" s="327" customFormat="1">
      <c r="A39" s="324" t="s">
        <v>53</v>
      </c>
      <c r="B39" s="1377" t="s">
        <v>445</v>
      </c>
      <c r="C39" s="1377"/>
      <c r="D39" s="325">
        <f>+D38+D37</f>
        <v>250</v>
      </c>
      <c r="E39" s="325">
        <f t="shared" ref="E39:U39" si="20">+E38+E37</f>
        <v>252</v>
      </c>
      <c r="F39" s="325">
        <f t="shared" si="20"/>
        <v>252</v>
      </c>
      <c r="G39" s="325">
        <f t="shared" si="20"/>
        <v>0</v>
      </c>
      <c r="H39" s="325">
        <f t="shared" si="20"/>
        <v>0</v>
      </c>
      <c r="I39" s="325">
        <f t="shared" si="20"/>
        <v>0</v>
      </c>
      <c r="J39" s="325">
        <f t="shared" si="20"/>
        <v>250</v>
      </c>
      <c r="K39" s="325">
        <f t="shared" si="20"/>
        <v>252</v>
      </c>
      <c r="L39" s="325">
        <f t="shared" si="20"/>
        <v>252</v>
      </c>
      <c r="M39" s="325">
        <f t="shared" si="20"/>
        <v>0</v>
      </c>
      <c r="N39" s="325">
        <f t="shared" si="20"/>
        <v>0</v>
      </c>
      <c r="O39" s="325">
        <f t="shared" si="20"/>
        <v>0</v>
      </c>
      <c r="P39" s="325">
        <f t="shared" si="20"/>
        <v>0</v>
      </c>
      <c r="Q39" s="325">
        <f t="shared" si="20"/>
        <v>0</v>
      </c>
      <c r="R39" s="325">
        <f t="shared" si="20"/>
        <v>0</v>
      </c>
      <c r="S39" s="325">
        <f t="shared" si="20"/>
        <v>0</v>
      </c>
      <c r="T39" s="325">
        <f t="shared" si="20"/>
        <v>0</v>
      </c>
      <c r="U39" s="325">
        <f t="shared" si="20"/>
        <v>0</v>
      </c>
    </row>
    <row r="40" spans="1:21">
      <c r="A40" s="240" t="s">
        <v>55</v>
      </c>
      <c r="B40" s="1378" t="s">
        <v>54</v>
      </c>
      <c r="C40" s="1378"/>
      <c r="D40" s="241">
        <f t="shared" si="16"/>
        <v>0</v>
      </c>
      <c r="E40" s="323">
        <f t="shared" ref="E40:E48" si="21">+H40+K40+N40+Q40+T40</f>
        <v>0</v>
      </c>
      <c r="F40" s="323">
        <f t="shared" ref="F40:F48" si="22">+I40+L40+O40+R40+U40</f>
        <v>0</v>
      </c>
      <c r="G40" s="241"/>
      <c r="H40" s="241"/>
      <c r="I40" s="241">
        <f>+G40+H40</f>
        <v>0</v>
      </c>
      <c r="J40" s="241"/>
      <c r="K40" s="241"/>
      <c r="L40" s="241">
        <f>+J40+K40</f>
        <v>0</v>
      </c>
      <c r="M40" s="241"/>
      <c r="N40" s="241"/>
      <c r="O40" s="241">
        <f>+M40+N40</f>
        <v>0</v>
      </c>
      <c r="P40" s="241"/>
      <c r="Q40" s="241"/>
      <c r="R40" s="241"/>
      <c r="S40" s="241"/>
      <c r="T40" s="241"/>
      <c r="U40" s="241">
        <f>+S40+T40</f>
        <v>0</v>
      </c>
    </row>
    <row r="41" spans="1:21">
      <c r="A41" s="240" t="s">
        <v>57</v>
      </c>
      <c r="B41" s="1378" t="s">
        <v>56</v>
      </c>
      <c r="C41" s="1378"/>
      <c r="D41" s="241">
        <f t="shared" si="16"/>
        <v>8400</v>
      </c>
      <c r="E41" s="323">
        <f t="shared" si="21"/>
        <v>9917</v>
      </c>
      <c r="F41" s="323">
        <f t="shared" si="22"/>
        <v>9551</v>
      </c>
      <c r="G41" s="241"/>
      <c r="H41" s="241"/>
      <c r="I41" s="323">
        <f t="shared" ref="I41:I46" si="23">+G41+H41</f>
        <v>0</v>
      </c>
      <c r="J41" s="241"/>
      <c r="K41" s="241"/>
      <c r="L41" s="323">
        <f t="shared" ref="L41:L48" si="24">+J41+K41</f>
        <v>0</v>
      </c>
      <c r="M41" s="241"/>
      <c r="N41" s="241"/>
      <c r="O41" s="323">
        <f t="shared" ref="O41:O46" si="25">+M41+N41</f>
        <v>0</v>
      </c>
      <c r="P41" s="241"/>
      <c r="Q41" s="241"/>
      <c r="R41" s="241"/>
      <c r="S41" s="241">
        <v>8400</v>
      </c>
      <c r="T41" s="241">
        <v>9917</v>
      </c>
      <c r="U41" s="323">
        <v>9551</v>
      </c>
    </row>
    <row r="42" spans="1:21">
      <c r="A42" s="240" t="s">
        <v>58</v>
      </c>
      <c r="B42" s="1378" t="s">
        <v>446</v>
      </c>
      <c r="C42" s="1378"/>
      <c r="D42" s="241">
        <f t="shared" si="16"/>
        <v>20</v>
      </c>
      <c r="E42" s="323">
        <f t="shared" si="21"/>
        <v>0</v>
      </c>
      <c r="F42" s="323">
        <f t="shared" si="22"/>
        <v>0</v>
      </c>
      <c r="G42" s="241"/>
      <c r="H42" s="241"/>
      <c r="I42" s="323">
        <f t="shared" si="23"/>
        <v>0</v>
      </c>
      <c r="J42" s="241">
        <v>20</v>
      </c>
      <c r="K42" s="241"/>
      <c r="L42" s="323"/>
      <c r="M42" s="241"/>
      <c r="N42" s="241"/>
      <c r="O42" s="323">
        <f t="shared" si="25"/>
        <v>0</v>
      </c>
      <c r="P42" s="241"/>
      <c r="Q42" s="241"/>
      <c r="R42" s="241"/>
      <c r="S42" s="241"/>
      <c r="T42" s="241"/>
      <c r="U42" s="323">
        <f t="shared" ref="U42:U48" si="26">+S42+T42</f>
        <v>0</v>
      </c>
    </row>
    <row r="43" spans="1:21">
      <c r="A43" s="240" t="s">
        <v>60</v>
      </c>
      <c r="B43" s="1378" t="s">
        <v>59</v>
      </c>
      <c r="C43" s="1378"/>
      <c r="D43" s="241">
        <f t="shared" si="16"/>
        <v>0</v>
      </c>
      <c r="E43" s="323">
        <f t="shared" si="21"/>
        <v>597</v>
      </c>
      <c r="F43" s="323">
        <f t="shared" si="22"/>
        <v>595</v>
      </c>
      <c r="G43" s="241"/>
      <c r="H43" s="241"/>
      <c r="I43" s="323">
        <v>0</v>
      </c>
      <c r="J43" s="241"/>
      <c r="K43" s="241">
        <v>597</v>
      </c>
      <c r="L43" s="323">
        <v>595</v>
      </c>
      <c r="M43" s="241"/>
      <c r="N43" s="241"/>
      <c r="O43" s="323">
        <f t="shared" si="25"/>
        <v>0</v>
      </c>
      <c r="P43" s="241"/>
      <c r="Q43" s="241"/>
      <c r="R43" s="241"/>
      <c r="S43" s="241"/>
      <c r="T43" s="241"/>
      <c r="U43" s="323">
        <f t="shared" si="26"/>
        <v>0</v>
      </c>
    </row>
    <row r="44" spans="1:21">
      <c r="A44" s="240" t="s">
        <v>61</v>
      </c>
      <c r="B44" s="1378" t="s">
        <v>167</v>
      </c>
      <c r="C44" s="1378"/>
      <c r="D44" s="241">
        <f t="shared" si="16"/>
        <v>0</v>
      </c>
      <c r="E44" s="323">
        <f t="shared" si="21"/>
        <v>9</v>
      </c>
      <c r="F44" s="323">
        <f t="shared" si="22"/>
        <v>9</v>
      </c>
      <c r="G44" s="241"/>
      <c r="H44" s="241">
        <v>9</v>
      </c>
      <c r="I44" s="323">
        <v>9</v>
      </c>
      <c r="J44" s="241"/>
      <c r="K44" s="241"/>
      <c r="L44" s="323">
        <f t="shared" si="24"/>
        <v>0</v>
      </c>
      <c r="M44" s="241"/>
      <c r="N44" s="241"/>
      <c r="O44" s="323">
        <f t="shared" si="25"/>
        <v>0</v>
      </c>
      <c r="P44" s="241"/>
      <c r="Q44" s="241"/>
      <c r="R44" s="241"/>
      <c r="S44" s="241"/>
      <c r="T44" s="241"/>
      <c r="U44" s="323">
        <f t="shared" si="26"/>
        <v>0</v>
      </c>
    </row>
    <row r="45" spans="1:21" ht="25.5">
      <c r="A45" s="251" t="s">
        <v>61</v>
      </c>
      <c r="B45" s="252"/>
      <c r="C45" s="253" t="s">
        <v>62</v>
      </c>
      <c r="D45" s="241">
        <f t="shared" si="16"/>
        <v>0</v>
      </c>
      <c r="E45" s="323">
        <f t="shared" si="21"/>
        <v>0</v>
      </c>
      <c r="F45" s="323">
        <f t="shared" si="22"/>
        <v>0</v>
      </c>
      <c r="G45" s="241"/>
      <c r="H45" s="241"/>
      <c r="I45" s="323">
        <f t="shared" si="23"/>
        <v>0</v>
      </c>
      <c r="J45" s="241"/>
      <c r="K45" s="241"/>
      <c r="L45" s="323">
        <f t="shared" si="24"/>
        <v>0</v>
      </c>
      <c r="M45" s="241"/>
      <c r="N45" s="241"/>
      <c r="O45" s="323">
        <f t="shared" si="25"/>
        <v>0</v>
      </c>
      <c r="P45" s="241"/>
      <c r="Q45" s="241"/>
      <c r="R45" s="241"/>
      <c r="S45" s="241"/>
      <c r="T45" s="241"/>
      <c r="U45" s="323">
        <f t="shared" si="26"/>
        <v>0</v>
      </c>
    </row>
    <row r="46" spans="1:21" ht="25.5">
      <c r="A46" s="251" t="s">
        <v>61</v>
      </c>
      <c r="B46" s="252"/>
      <c r="C46" s="253" t="s">
        <v>169</v>
      </c>
      <c r="D46" s="241">
        <f t="shared" si="16"/>
        <v>0</v>
      </c>
      <c r="E46" s="323">
        <f t="shared" si="21"/>
        <v>0</v>
      </c>
      <c r="F46" s="323">
        <f t="shared" si="22"/>
        <v>0</v>
      </c>
      <c r="G46" s="241"/>
      <c r="H46" s="241"/>
      <c r="I46" s="323">
        <f t="shared" si="23"/>
        <v>0</v>
      </c>
      <c r="J46" s="241"/>
      <c r="K46" s="241"/>
      <c r="L46" s="323">
        <f t="shared" si="24"/>
        <v>0</v>
      </c>
      <c r="M46" s="241"/>
      <c r="N46" s="241"/>
      <c r="O46" s="323">
        <f t="shared" si="25"/>
        <v>0</v>
      </c>
      <c r="P46" s="241"/>
      <c r="Q46" s="241"/>
      <c r="R46" s="241"/>
      <c r="S46" s="241"/>
      <c r="T46" s="241"/>
      <c r="U46" s="323">
        <f t="shared" si="26"/>
        <v>0</v>
      </c>
    </row>
    <row r="47" spans="1:21">
      <c r="A47" s="240" t="s">
        <v>64</v>
      </c>
      <c r="B47" s="1378" t="s">
        <v>447</v>
      </c>
      <c r="C47" s="1378"/>
      <c r="D47" s="241">
        <f t="shared" si="16"/>
        <v>260</v>
      </c>
      <c r="E47" s="323">
        <f t="shared" si="21"/>
        <v>298</v>
      </c>
      <c r="F47" s="323">
        <f t="shared" si="22"/>
        <v>271</v>
      </c>
      <c r="G47" s="241">
        <v>210</v>
      </c>
      <c r="H47" s="241">
        <v>242</v>
      </c>
      <c r="I47" s="323">
        <v>119</v>
      </c>
      <c r="J47" s="241">
        <v>50</v>
      </c>
      <c r="K47" s="241">
        <v>50</v>
      </c>
      <c r="L47" s="323"/>
      <c r="M47" s="241"/>
      <c r="N47" s="241">
        <v>6</v>
      </c>
      <c r="O47" s="323">
        <v>152</v>
      </c>
      <c r="P47" s="241"/>
      <c r="Q47" s="241"/>
      <c r="R47" s="241"/>
      <c r="S47" s="241"/>
      <c r="T47" s="241"/>
      <c r="U47" s="323">
        <f t="shared" si="26"/>
        <v>0</v>
      </c>
    </row>
    <row r="48" spans="1:21">
      <c r="A48" s="240" t="s">
        <v>66</v>
      </c>
      <c r="B48" s="1378" t="s">
        <v>448</v>
      </c>
      <c r="C48" s="1378"/>
      <c r="D48" s="241">
        <f t="shared" si="16"/>
        <v>725</v>
      </c>
      <c r="E48" s="323">
        <f t="shared" si="21"/>
        <v>667</v>
      </c>
      <c r="F48" s="323">
        <f t="shared" si="22"/>
        <v>438</v>
      </c>
      <c r="G48" s="241">
        <v>680</v>
      </c>
      <c r="H48" s="241">
        <v>622</v>
      </c>
      <c r="I48" s="323">
        <v>438</v>
      </c>
      <c r="J48" s="241"/>
      <c r="K48" s="241"/>
      <c r="L48" s="323">
        <f t="shared" si="24"/>
        <v>0</v>
      </c>
      <c r="M48" s="241">
        <v>45</v>
      </c>
      <c r="N48" s="241">
        <v>45</v>
      </c>
      <c r="O48" s="323">
        <v>0</v>
      </c>
      <c r="P48" s="241"/>
      <c r="Q48" s="241"/>
      <c r="R48" s="241"/>
      <c r="S48" s="241"/>
      <c r="T48" s="241"/>
      <c r="U48" s="323">
        <f t="shared" si="26"/>
        <v>0</v>
      </c>
    </row>
    <row r="49" spans="1:21" s="327" customFormat="1">
      <c r="A49" s="324" t="s">
        <v>67</v>
      </c>
      <c r="B49" s="1377" t="s">
        <v>449</v>
      </c>
      <c r="C49" s="1377"/>
      <c r="D49" s="325">
        <f>SUM(D40:D48)</f>
        <v>9405</v>
      </c>
      <c r="E49" s="325">
        <f t="shared" ref="E49:U49" si="27">SUM(E40:E48)</f>
        <v>11488</v>
      </c>
      <c r="F49" s="325">
        <f t="shared" si="27"/>
        <v>10864</v>
      </c>
      <c r="G49" s="325">
        <f t="shared" si="27"/>
        <v>890</v>
      </c>
      <c r="H49" s="325">
        <f>SUM(H40:H48)</f>
        <v>873</v>
      </c>
      <c r="I49" s="325">
        <f t="shared" si="27"/>
        <v>566</v>
      </c>
      <c r="J49" s="325">
        <f t="shared" si="27"/>
        <v>70</v>
      </c>
      <c r="K49" s="325">
        <f t="shared" si="27"/>
        <v>647</v>
      </c>
      <c r="L49" s="325">
        <f t="shared" si="27"/>
        <v>595</v>
      </c>
      <c r="M49" s="325">
        <f t="shared" si="27"/>
        <v>45</v>
      </c>
      <c r="N49" s="325">
        <f t="shared" si="27"/>
        <v>51</v>
      </c>
      <c r="O49" s="325">
        <f t="shared" si="27"/>
        <v>152</v>
      </c>
      <c r="P49" s="325">
        <f t="shared" si="27"/>
        <v>0</v>
      </c>
      <c r="Q49" s="325">
        <f t="shared" si="27"/>
        <v>0</v>
      </c>
      <c r="R49" s="325">
        <f t="shared" si="27"/>
        <v>0</v>
      </c>
      <c r="S49" s="325">
        <f t="shared" si="27"/>
        <v>8400</v>
      </c>
      <c r="T49" s="325">
        <f t="shared" si="27"/>
        <v>9917</v>
      </c>
      <c r="U49" s="325">
        <f t="shared" si="27"/>
        <v>9551</v>
      </c>
    </row>
    <row r="50" spans="1:21">
      <c r="A50" s="240" t="s">
        <v>69</v>
      </c>
      <c r="B50" s="1378" t="s">
        <v>68</v>
      </c>
      <c r="C50" s="1378"/>
      <c r="D50" s="241">
        <f>G50</f>
        <v>120</v>
      </c>
      <c r="E50" s="323">
        <f t="shared" ref="E50:F50" si="28">H50</f>
        <v>74</v>
      </c>
      <c r="F50" s="323">
        <f t="shared" si="28"/>
        <v>42</v>
      </c>
      <c r="G50" s="241">
        <v>120</v>
      </c>
      <c r="H50" s="241">
        <v>74</v>
      </c>
      <c r="I50" s="241">
        <v>42</v>
      </c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</row>
    <row r="51" spans="1:21">
      <c r="A51" s="240" t="s">
        <v>71</v>
      </c>
      <c r="B51" s="1378" t="s">
        <v>70</v>
      </c>
      <c r="C51" s="1378"/>
      <c r="D51" s="241"/>
      <c r="E51" s="323"/>
      <c r="F51" s="323"/>
      <c r="G51" s="241"/>
      <c r="H51" s="241"/>
      <c r="I51" s="323">
        <f>+G51+H51</f>
        <v>0</v>
      </c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</row>
    <row r="52" spans="1:21" s="326" customFormat="1">
      <c r="A52" s="324" t="s">
        <v>72</v>
      </c>
      <c r="B52" s="1377" t="s">
        <v>156</v>
      </c>
      <c r="C52" s="1377"/>
      <c r="D52" s="325">
        <f>+D51+D50</f>
        <v>120</v>
      </c>
      <c r="E52" s="325">
        <f t="shared" ref="E52:U52" si="29">+E51+E50</f>
        <v>74</v>
      </c>
      <c r="F52" s="325">
        <f t="shared" si="29"/>
        <v>42</v>
      </c>
      <c r="G52" s="325">
        <f t="shared" si="29"/>
        <v>120</v>
      </c>
      <c r="H52" s="325">
        <f t="shared" si="29"/>
        <v>74</v>
      </c>
      <c r="I52" s="325">
        <f t="shared" si="29"/>
        <v>42</v>
      </c>
      <c r="J52" s="325">
        <f t="shared" si="29"/>
        <v>0</v>
      </c>
      <c r="K52" s="325">
        <f t="shared" si="29"/>
        <v>0</v>
      </c>
      <c r="L52" s="325">
        <f t="shared" si="29"/>
        <v>0</v>
      </c>
      <c r="M52" s="325">
        <f t="shared" si="29"/>
        <v>0</v>
      </c>
      <c r="N52" s="325">
        <f t="shared" si="29"/>
        <v>0</v>
      </c>
      <c r="O52" s="325">
        <f t="shared" si="29"/>
        <v>0</v>
      </c>
      <c r="P52" s="325">
        <f t="shared" si="29"/>
        <v>0</v>
      </c>
      <c r="Q52" s="325">
        <f t="shared" si="29"/>
        <v>0</v>
      </c>
      <c r="R52" s="325">
        <f t="shared" si="29"/>
        <v>0</v>
      </c>
      <c r="S52" s="325">
        <f t="shared" si="29"/>
        <v>0</v>
      </c>
      <c r="T52" s="325">
        <f t="shared" si="29"/>
        <v>0</v>
      </c>
      <c r="U52" s="325">
        <f t="shared" si="29"/>
        <v>0</v>
      </c>
    </row>
    <row r="53" spans="1:21">
      <c r="A53" s="240" t="s">
        <v>74</v>
      </c>
      <c r="B53" s="1378" t="s">
        <v>73</v>
      </c>
      <c r="C53" s="1378"/>
      <c r="D53" s="241">
        <f t="shared" si="16"/>
        <v>2960</v>
      </c>
      <c r="E53" s="323">
        <f t="shared" ref="E53:E57" si="30">+H53+K53+N53+Q53+T53</f>
        <v>3147</v>
      </c>
      <c r="F53" s="323">
        <f t="shared" ref="F53:F57" si="31">+I53+L53+O53+R53+U53</f>
        <v>3147</v>
      </c>
      <c r="G53" s="241">
        <v>600</v>
      </c>
      <c r="H53" s="241">
        <v>646</v>
      </c>
      <c r="I53" s="241">
        <v>344</v>
      </c>
      <c r="J53" s="241">
        <v>80</v>
      </c>
      <c r="K53" s="241">
        <v>221</v>
      </c>
      <c r="L53" s="241">
        <v>225</v>
      </c>
      <c r="M53" s="241">
        <v>12</v>
      </c>
      <c r="N53" s="241">
        <v>12</v>
      </c>
      <c r="O53" s="241">
        <v>0</v>
      </c>
      <c r="P53" s="241"/>
      <c r="Q53" s="241"/>
      <c r="R53" s="241"/>
      <c r="S53" s="241">
        <v>2268</v>
      </c>
      <c r="T53" s="241">
        <v>2268</v>
      </c>
      <c r="U53" s="241">
        <v>2578</v>
      </c>
    </row>
    <row r="54" spans="1:21">
      <c r="A54" s="240" t="s">
        <v>76</v>
      </c>
      <c r="B54" s="1378" t="s">
        <v>450</v>
      </c>
      <c r="C54" s="1378"/>
      <c r="D54" s="241">
        <f t="shared" si="16"/>
        <v>0</v>
      </c>
      <c r="E54" s="323">
        <f t="shared" si="30"/>
        <v>0</v>
      </c>
      <c r="F54" s="323">
        <f t="shared" si="31"/>
        <v>0</v>
      </c>
      <c r="G54" s="241"/>
      <c r="H54" s="241"/>
      <c r="I54" s="323">
        <f t="shared" ref="I54:I57" si="32">+G54+H54</f>
        <v>0</v>
      </c>
      <c r="J54" s="241"/>
      <c r="K54" s="241"/>
      <c r="L54" s="323"/>
      <c r="M54" s="241"/>
      <c r="N54" s="241"/>
      <c r="O54" s="323">
        <f t="shared" ref="O54:O57" si="33">+M54+N54</f>
        <v>0</v>
      </c>
      <c r="P54" s="241"/>
      <c r="Q54" s="241"/>
      <c r="R54" s="241"/>
      <c r="S54" s="241"/>
      <c r="T54" s="241"/>
      <c r="U54" s="323">
        <f t="shared" ref="U54:U57" si="34">+S54+T54</f>
        <v>0</v>
      </c>
    </row>
    <row r="55" spans="1:21">
      <c r="A55" s="240" t="s">
        <v>77</v>
      </c>
      <c r="B55" s="1378" t="s">
        <v>451</v>
      </c>
      <c r="C55" s="1378"/>
      <c r="D55" s="241">
        <f t="shared" si="16"/>
        <v>0</v>
      </c>
      <c r="E55" s="323">
        <f t="shared" si="30"/>
        <v>0</v>
      </c>
      <c r="F55" s="323">
        <f t="shared" si="31"/>
        <v>0</v>
      </c>
      <c r="G55" s="241"/>
      <c r="H55" s="241"/>
      <c r="I55" s="323">
        <f t="shared" si="32"/>
        <v>0</v>
      </c>
      <c r="J55" s="241"/>
      <c r="K55" s="241"/>
      <c r="L55" s="323"/>
      <c r="M55" s="241"/>
      <c r="N55" s="241"/>
      <c r="O55" s="323">
        <f t="shared" si="33"/>
        <v>0</v>
      </c>
      <c r="P55" s="241"/>
      <c r="Q55" s="241"/>
      <c r="R55" s="241"/>
      <c r="S55" s="241"/>
      <c r="T55" s="241"/>
      <c r="U55" s="323">
        <f t="shared" si="34"/>
        <v>0</v>
      </c>
    </row>
    <row r="56" spans="1:21">
      <c r="A56" s="240" t="s">
        <v>78</v>
      </c>
      <c r="B56" s="1378" t="s">
        <v>452</v>
      </c>
      <c r="C56" s="1378"/>
      <c r="D56" s="241">
        <f t="shared" si="16"/>
        <v>0</v>
      </c>
      <c r="E56" s="323">
        <f t="shared" si="30"/>
        <v>0</v>
      </c>
      <c r="F56" s="323">
        <f t="shared" si="31"/>
        <v>0</v>
      </c>
      <c r="G56" s="241"/>
      <c r="H56" s="241"/>
      <c r="I56" s="323">
        <f t="shared" si="32"/>
        <v>0</v>
      </c>
      <c r="J56" s="241"/>
      <c r="K56" s="241"/>
      <c r="L56" s="323"/>
      <c r="M56" s="241"/>
      <c r="N56" s="241"/>
      <c r="O56" s="323">
        <f t="shared" si="33"/>
        <v>0</v>
      </c>
      <c r="P56" s="241"/>
      <c r="Q56" s="241"/>
      <c r="R56" s="241"/>
      <c r="S56" s="241"/>
      <c r="T56" s="241"/>
      <c r="U56" s="323">
        <f t="shared" si="34"/>
        <v>0</v>
      </c>
    </row>
    <row r="57" spans="1:21">
      <c r="A57" s="240" t="s">
        <v>80</v>
      </c>
      <c r="B57" s="1378" t="s">
        <v>79</v>
      </c>
      <c r="C57" s="1378"/>
      <c r="D57" s="241">
        <f t="shared" si="16"/>
        <v>0</v>
      </c>
      <c r="E57" s="323">
        <f t="shared" si="30"/>
        <v>0</v>
      </c>
      <c r="F57" s="323">
        <f t="shared" si="31"/>
        <v>0</v>
      </c>
      <c r="G57" s="241"/>
      <c r="H57" s="241"/>
      <c r="I57" s="323">
        <f t="shared" si="32"/>
        <v>0</v>
      </c>
      <c r="J57" s="241"/>
      <c r="K57" s="241"/>
      <c r="L57" s="323"/>
      <c r="M57" s="241"/>
      <c r="N57" s="241"/>
      <c r="O57" s="323">
        <f t="shared" si="33"/>
        <v>0</v>
      </c>
      <c r="P57" s="241"/>
      <c r="Q57" s="241"/>
      <c r="R57" s="241"/>
      <c r="S57" s="241"/>
      <c r="T57" s="241"/>
      <c r="U57" s="323">
        <f t="shared" si="34"/>
        <v>0</v>
      </c>
    </row>
    <row r="58" spans="1:21" s="326" customFormat="1">
      <c r="A58" s="324" t="s">
        <v>81</v>
      </c>
      <c r="B58" s="1377" t="s">
        <v>153</v>
      </c>
      <c r="C58" s="1377"/>
      <c r="D58" s="325">
        <f>SUM(D53:D57)</f>
        <v>2960</v>
      </c>
      <c r="E58" s="325">
        <f t="shared" ref="E58:U58" si="35">SUM(E53:E57)</f>
        <v>3147</v>
      </c>
      <c r="F58" s="325">
        <f t="shared" si="35"/>
        <v>3147</v>
      </c>
      <c r="G58" s="325">
        <f t="shared" si="35"/>
        <v>600</v>
      </c>
      <c r="H58" s="325">
        <f t="shared" si="35"/>
        <v>646</v>
      </c>
      <c r="I58" s="325">
        <f t="shared" si="35"/>
        <v>344</v>
      </c>
      <c r="J58" s="325">
        <f t="shared" si="35"/>
        <v>80</v>
      </c>
      <c r="K58" s="325">
        <f t="shared" si="35"/>
        <v>221</v>
      </c>
      <c r="L58" s="325">
        <f t="shared" si="35"/>
        <v>225</v>
      </c>
      <c r="M58" s="325">
        <f t="shared" si="35"/>
        <v>12</v>
      </c>
      <c r="N58" s="325">
        <f t="shared" si="35"/>
        <v>12</v>
      </c>
      <c r="O58" s="325">
        <f t="shared" si="35"/>
        <v>0</v>
      </c>
      <c r="P58" s="325">
        <f t="shared" si="35"/>
        <v>0</v>
      </c>
      <c r="Q58" s="325">
        <f t="shared" si="35"/>
        <v>0</v>
      </c>
      <c r="R58" s="325">
        <f t="shared" si="35"/>
        <v>0</v>
      </c>
      <c r="S58" s="325">
        <f t="shared" si="35"/>
        <v>2268</v>
      </c>
      <c r="T58" s="325">
        <f t="shared" si="35"/>
        <v>2268</v>
      </c>
      <c r="U58" s="325">
        <f t="shared" si="35"/>
        <v>2578</v>
      </c>
    </row>
    <row r="59" spans="1:21">
      <c r="A59" s="243" t="s">
        <v>82</v>
      </c>
      <c r="B59" s="1377" t="s">
        <v>344</v>
      </c>
      <c r="C59" s="1377"/>
      <c r="D59" s="244">
        <f>+D58+D52+D49+D39+D36</f>
        <v>14665</v>
      </c>
      <c r="E59" s="244">
        <f t="shared" ref="E59:U59" si="36">+E58+E52+E49+E39+E36</f>
        <v>16881</v>
      </c>
      <c r="F59" s="244">
        <f t="shared" si="36"/>
        <v>16198</v>
      </c>
      <c r="G59" s="244">
        <f t="shared" si="36"/>
        <v>3540</v>
      </c>
      <c r="H59" s="244">
        <f t="shared" si="36"/>
        <v>3513</v>
      </c>
      <c r="I59" s="244">
        <f t="shared" si="36"/>
        <v>2845</v>
      </c>
      <c r="J59" s="244">
        <f t="shared" si="36"/>
        <v>400</v>
      </c>
      <c r="K59" s="244">
        <f t="shared" si="36"/>
        <v>1120</v>
      </c>
      <c r="L59" s="244">
        <f t="shared" si="36"/>
        <v>1072</v>
      </c>
      <c r="M59" s="244">
        <f t="shared" si="36"/>
        <v>57</v>
      </c>
      <c r="N59" s="244">
        <f t="shared" si="36"/>
        <v>63</v>
      </c>
      <c r="O59" s="244">
        <f t="shared" si="36"/>
        <v>152</v>
      </c>
      <c r="P59" s="244">
        <f t="shared" si="36"/>
        <v>0</v>
      </c>
      <c r="Q59" s="244">
        <f t="shared" si="36"/>
        <v>0</v>
      </c>
      <c r="R59" s="244">
        <f t="shared" si="36"/>
        <v>0</v>
      </c>
      <c r="S59" s="244">
        <f t="shared" si="36"/>
        <v>10668</v>
      </c>
      <c r="T59" s="244">
        <f t="shared" si="36"/>
        <v>12185</v>
      </c>
      <c r="U59" s="244">
        <f t="shared" si="36"/>
        <v>12129</v>
      </c>
    </row>
    <row r="60" spans="1:21">
      <c r="A60" s="246"/>
      <c r="B60" s="1379"/>
      <c r="C60" s="1379"/>
      <c r="D60" s="248"/>
      <c r="E60" s="248"/>
      <c r="F60" s="249"/>
      <c r="G60" s="250"/>
      <c r="H60" s="248"/>
      <c r="I60" s="249"/>
      <c r="J60" s="250"/>
      <c r="K60" s="248"/>
      <c r="L60" s="249"/>
      <c r="M60" s="250"/>
      <c r="N60" s="248"/>
      <c r="O60" s="249"/>
      <c r="P60" s="250"/>
      <c r="Q60" s="248"/>
      <c r="R60" s="249"/>
      <c r="S60" s="250"/>
      <c r="T60" s="248"/>
      <c r="U60" s="249"/>
    </row>
    <row r="61" spans="1:21">
      <c r="A61" s="240" t="s">
        <v>97</v>
      </c>
      <c r="B61" s="1264" t="s">
        <v>732</v>
      </c>
      <c r="C61" s="1264"/>
      <c r="D61" s="323">
        <f>+G61+J61+M61+P61+S61</f>
        <v>0</v>
      </c>
      <c r="E61" s="323">
        <f t="shared" ref="E61:F61" si="37">+H61+K61+N61+Q61+T61</f>
        <v>58</v>
      </c>
      <c r="F61" s="323">
        <f t="shared" si="37"/>
        <v>58</v>
      </c>
      <c r="G61" s="323"/>
      <c r="H61" s="323">
        <v>58</v>
      </c>
      <c r="I61" s="323">
        <v>58</v>
      </c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</row>
    <row r="62" spans="1:21" ht="15" customHeight="1">
      <c r="A62" s="240" t="s">
        <v>102</v>
      </c>
      <c r="B62" s="1264" t="s">
        <v>733</v>
      </c>
      <c r="C62" s="1264"/>
      <c r="D62" s="323">
        <f>+G62+J62+M62+P62+S62</f>
        <v>0</v>
      </c>
      <c r="E62" s="323">
        <f t="shared" ref="E62:F62" si="38">+H62+K62+N62+Q62+T62</f>
        <v>35</v>
      </c>
      <c r="F62" s="323">
        <f t="shared" si="38"/>
        <v>35</v>
      </c>
      <c r="G62" s="323"/>
      <c r="H62" s="323">
        <v>35</v>
      </c>
      <c r="I62" s="323">
        <v>35</v>
      </c>
      <c r="J62" s="323"/>
      <c r="K62" s="323"/>
      <c r="L62" s="323"/>
      <c r="M62" s="323"/>
      <c r="N62" s="323"/>
      <c r="O62" s="323"/>
      <c r="P62" s="323"/>
      <c r="Q62" s="323"/>
      <c r="R62" s="323"/>
      <c r="S62" s="323"/>
      <c r="T62" s="323"/>
      <c r="U62" s="323"/>
    </row>
    <row r="63" spans="1:21">
      <c r="A63" s="240" t="s">
        <v>106</v>
      </c>
      <c r="B63" s="1378" t="s">
        <v>165</v>
      </c>
      <c r="C63" s="1378"/>
      <c r="D63" s="323">
        <f t="shared" ref="D63:D64" si="39">+G63+J63+M63+P63+S63</f>
        <v>11181</v>
      </c>
      <c r="E63" s="323">
        <f t="shared" ref="E63:E64" si="40">+H63+K63+N63+Q63+T63</f>
        <v>11181</v>
      </c>
      <c r="F63" s="323">
        <f t="shared" ref="F63:F64" si="41">+I63+L63+O63+R63+U63</f>
        <v>11181</v>
      </c>
      <c r="G63" s="241"/>
      <c r="H63" s="241"/>
      <c r="I63" s="241"/>
      <c r="J63" s="241">
        <v>11181</v>
      </c>
      <c r="K63" s="241">
        <v>11181</v>
      </c>
      <c r="L63" s="241">
        <v>11181</v>
      </c>
      <c r="M63" s="241"/>
      <c r="N63" s="241"/>
      <c r="O63" s="241"/>
      <c r="P63" s="241"/>
      <c r="Q63" s="241"/>
      <c r="R63" s="241"/>
      <c r="S63" s="241"/>
      <c r="T63" s="241"/>
      <c r="U63" s="241"/>
    </row>
    <row r="64" spans="1:21" ht="25.5" customHeight="1">
      <c r="A64" s="262" t="s">
        <v>106</v>
      </c>
      <c r="B64" s="252"/>
      <c r="C64" s="263" t="s">
        <v>105</v>
      </c>
      <c r="D64" s="323">
        <f t="shared" si="39"/>
        <v>11181</v>
      </c>
      <c r="E64" s="323">
        <f t="shared" si="40"/>
        <v>11181</v>
      </c>
      <c r="F64" s="323">
        <f t="shared" si="41"/>
        <v>11181</v>
      </c>
      <c r="G64" s="241"/>
      <c r="H64" s="241"/>
      <c r="I64" s="241"/>
      <c r="J64" s="241">
        <v>11181</v>
      </c>
      <c r="K64" s="241">
        <v>11181</v>
      </c>
      <c r="L64" s="323">
        <v>11181</v>
      </c>
      <c r="M64" s="241"/>
      <c r="N64" s="241"/>
      <c r="O64" s="241"/>
      <c r="P64" s="241"/>
      <c r="Q64" s="241"/>
      <c r="R64" s="241"/>
      <c r="S64" s="241"/>
      <c r="T64" s="241"/>
      <c r="U64" s="241"/>
    </row>
    <row r="65" spans="1:21">
      <c r="A65" s="243" t="s">
        <v>109</v>
      </c>
      <c r="B65" s="1377" t="s">
        <v>164</v>
      </c>
      <c r="C65" s="1377"/>
      <c r="D65" s="244">
        <f>+D63+D62+D61</f>
        <v>11181</v>
      </c>
      <c r="E65" s="325">
        <f t="shared" ref="E65:U65" si="42">+E63+E62+E61</f>
        <v>11274</v>
      </c>
      <c r="F65" s="325">
        <f t="shared" si="42"/>
        <v>11274</v>
      </c>
      <c r="G65" s="325">
        <f t="shared" si="42"/>
        <v>0</v>
      </c>
      <c r="H65" s="325">
        <f t="shared" si="42"/>
        <v>93</v>
      </c>
      <c r="I65" s="325">
        <f t="shared" si="42"/>
        <v>93</v>
      </c>
      <c r="J65" s="325">
        <f t="shared" si="42"/>
        <v>11181</v>
      </c>
      <c r="K65" s="325">
        <f t="shared" si="42"/>
        <v>11181</v>
      </c>
      <c r="L65" s="325">
        <f t="shared" si="42"/>
        <v>11181</v>
      </c>
      <c r="M65" s="325">
        <f t="shared" si="42"/>
        <v>0</v>
      </c>
      <c r="N65" s="325">
        <f t="shared" si="42"/>
        <v>0</v>
      </c>
      <c r="O65" s="325">
        <f t="shared" si="42"/>
        <v>0</v>
      </c>
      <c r="P65" s="325">
        <f t="shared" si="42"/>
        <v>0</v>
      </c>
      <c r="Q65" s="325">
        <f t="shared" si="42"/>
        <v>0</v>
      </c>
      <c r="R65" s="325">
        <f t="shared" si="42"/>
        <v>0</v>
      </c>
      <c r="S65" s="325">
        <f t="shared" si="42"/>
        <v>0</v>
      </c>
      <c r="T65" s="325">
        <f t="shared" si="42"/>
        <v>0</v>
      </c>
      <c r="U65" s="325">
        <f t="shared" si="42"/>
        <v>0</v>
      </c>
    </row>
    <row r="66" spans="1:21" ht="8.25" customHeight="1">
      <c r="A66" s="264"/>
      <c r="B66" s="265"/>
      <c r="C66" s="265"/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6"/>
      <c r="S66" s="266"/>
      <c r="T66" s="266"/>
      <c r="U66" s="266"/>
    </row>
    <row r="67" spans="1:21" ht="11.25" customHeight="1">
      <c r="A67" s="267"/>
      <c r="B67" s="268"/>
      <c r="C67" s="268"/>
      <c r="D67" s="261"/>
      <c r="E67" s="261"/>
      <c r="F67" s="261"/>
      <c r="G67" s="261"/>
      <c r="H67" s="261"/>
      <c r="I67" s="261"/>
      <c r="J67" s="261"/>
      <c r="K67" s="261"/>
      <c r="L67" s="261"/>
      <c r="M67" s="261"/>
      <c r="N67" s="261"/>
      <c r="O67" s="261"/>
      <c r="P67" s="261"/>
      <c r="Q67" s="261"/>
      <c r="R67" s="261"/>
      <c r="S67" s="261"/>
      <c r="T67" s="261"/>
      <c r="U67" s="261"/>
    </row>
    <row r="68" spans="1:21">
      <c r="A68" s="240" t="s">
        <v>111</v>
      </c>
      <c r="B68" s="1378" t="s">
        <v>110</v>
      </c>
      <c r="C68" s="1378"/>
      <c r="D68" s="241">
        <f>+G68+J68+M68+P68+S68</f>
        <v>0</v>
      </c>
      <c r="E68" s="323">
        <f t="shared" ref="E68:F75" si="43">+H68+K68+N68+Q68+T68</f>
        <v>0</v>
      </c>
      <c r="F68" s="323">
        <f t="shared" si="43"/>
        <v>0</v>
      </c>
      <c r="G68" s="241"/>
      <c r="H68" s="241"/>
      <c r="I68" s="241">
        <f>+G68+H68</f>
        <v>0</v>
      </c>
      <c r="J68" s="241"/>
      <c r="K68" s="241"/>
      <c r="L68" s="241"/>
      <c r="M68" s="241"/>
      <c r="N68" s="241"/>
      <c r="O68" s="241"/>
      <c r="P68" s="241"/>
      <c r="Q68" s="241"/>
      <c r="R68" s="241"/>
      <c r="S68" s="241"/>
      <c r="T68" s="241"/>
      <c r="U68" s="241"/>
    </row>
    <row r="69" spans="1:21">
      <c r="A69" s="240" t="s">
        <v>112</v>
      </c>
      <c r="B69" s="1378" t="s">
        <v>453</v>
      </c>
      <c r="C69" s="1378"/>
      <c r="D69" s="241">
        <f t="shared" ref="D69:D75" si="44">+G69+J69+M69+P69+S69</f>
        <v>0</v>
      </c>
      <c r="E69" s="323">
        <f t="shared" si="43"/>
        <v>0</v>
      </c>
      <c r="F69" s="323">
        <f t="shared" si="43"/>
        <v>0</v>
      </c>
      <c r="G69" s="241"/>
      <c r="H69" s="241"/>
      <c r="I69" s="323">
        <f t="shared" ref="I69:I74" si="45">+G69+H69</f>
        <v>0</v>
      </c>
      <c r="J69" s="241"/>
      <c r="K69" s="241"/>
      <c r="L69" s="241"/>
      <c r="M69" s="241"/>
      <c r="N69" s="241"/>
      <c r="O69" s="241"/>
      <c r="P69" s="241"/>
      <c r="Q69" s="241"/>
      <c r="R69" s="241"/>
      <c r="S69" s="241"/>
      <c r="T69" s="241"/>
      <c r="U69" s="241"/>
    </row>
    <row r="70" spans="1:21" ht="25.5">
      <c r="A70" s="251" t="s">
        <v>112</v>
      </c>
      <c r="B70" s="252"/>
      <c r="C70" s="263" t="s">
        <v>113</v>
      </c>
      <c r="D70" s="241">
        <f t="shared" si="44"/>
        <v>0</v>
      </c>
      <c r="E70" s="323">
        <f t="shared" si="43"/>
        <v>0</v>
      </c>
      <c r="F70" s="323">
        <f t="shared" si="43"/>
        <v>0</v>
      </c>
      <c r="G70" s="241"/>
      <c r="H70" s="241"/>
      <c r="I70" s="323">
        <f t="shared" si="45"/>
        <v>0</v>
      </c>
      <c r="J70" s="241"/>
      <c r="K70" s="241"/>
      <c r="L70" s="241"/>
      <c r="M70" s="241"/>
      <c r="N70" s="241"/>
      <c r="O70" s="241"/>
      <c r="P70" s="241"/>
      <c r="Q70" s="241"/>
      <c r="R70" s="241"/>
      <c r="S70" s="241"/>
      <c r="T70" s="241"/>
      <c r="U70" s="241"/>
    </row>
    <row r="71" spans="1:21">
      <c r="A71" s="240" t="s">
        <v>115</v>
      </c>
      <c r="B71" s="1378" t="s">
        <v>114</v>
      </c>
      <c r="C71" s="1378"/>
      <c r="D71" s="241">
        <f t="shared" si="44"/>
        <v>200</v>
      </c>
      <c r="E71" s="323">
        <f t="shared" si="43"/>
        <v>288</v>
      </c>
      <c r="F71" s="323">
        <f t="shared" si="43"/>
        <v>288</v>
      </c>
      <c r="G71" s="241">
        <v>200</v>
      </c>
      <c r="H71" s="241">
        <v>288</v>
      </c>
      <c r="I71" s="323">
        <v>288</v>
      </c>
      <c r="J71" s="241"/>
      <c r="K71" s="241"/>
      <c r="L71" s="241"/>
      <c r="M71" s="241"/>
      <c r="N71" s="241"/>
      <c r="O71" s="241"/>
      <c r="P71" s="241"/>
      <c r="Q71" s="241"/>
      <c r="R71" s="241"/>
      <c r="S71" s="241"/>
      <c r="T71" s="241"/>
      <c r="U71" s="241"/>
    </row>
    <row r="72" spans="1:21">
      <c r="A72" s="240" t="s">
        <v>117</v>
      </c>
      <c r="B72" s="1378" t="s">
        <v>116</v>
      </c>
      <c r="C72" s="1378"/>
      <c r="D72" s="241">
        <f t="shared" si="44"/>
        <v>400</v>
      </c>
      <c r="E72" s="323">
        <f t="shared" si="43"/>
        <v>172</v>
      </c>
      <c r="F72" s="323">
        <f t="shared" si="43"/>
        <v>145</v>
      </c>
      <c r="G72" s="241">
        <v>400</v>
      </c>
      <c r="H72" s="241">
        <v>172</v>
      </c>
      <c r="I72" s="323">
        <v>145</v>
      </c>
      <c r="J72" s="241"/>
      <c r="K72" s="241"/>
      <c r="L72" s="241"/>
      <c r="M72" s="241"/>
      <c r="N72" s="241"/>
      <c r="O72" s="241"/>
      <c r="P72" s="241"/>
      <c r="Q72" s="241"/>
      <c r="R72" s="241"/>
      <c r="S72" s="241"/>
      <c r="T72" s="241"/>
      <c r="U72" s="241"/>
    </row>
    <row r="73" spans="1:21">
      <c r="A73" s="240" t="s">
        <v>119</v>
      </c>
      <c r="B73" s="1378" t="s">
        <v>118</v>
      </c>
      <c r="C73" s="1378"/>
      <c r="D73" s="241">
        <f t="shared" si="44"/>
        <v>0</v>
      </c>
      <c r="E73" s="323">
        <f t="shared" si="43"/>
        <v>0</v>
      </c>
      <c r="F73" s="323">
        <f t="shared" si="43"/>
        <v>0</v>
      </c>
      <c r="G73" s="241"/>
      <c r="H73" s="241"/>
      <c r="I73" s="323">
        <f t="shared" si="45"/>
        <v>0</v>
      </c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</row>
    <row r="74" spans="1:21">
      <c r="A74" s="240" t="s">
        <v>121</v>
      </c>
      <c r="B74" s="1378" t="s">
        <v>120</v>
      </c>
      <c r="C74" s="1378"/>
      <c r="D74" s="241">
        <f t="shared" si="44"/>
        <v>0</v>
      </c>
      <c r="E74" s="323">
        <f t="shared" si="43"/>
        <v>0</v>
      </c>
      <c r="F74" s="323">
        <f t="shared" si="43"/>
        <v>0</v>
      </c>
      <c r="G74" s="241"/>
      <c r="H74" s="241"/>
      <c r="I74" s="323">
        <f t="shared" si="45"/>
        <v>0</v>
      </c>
      <c r="J74" s="241"/>
      <c r="K74" s="241"/>
      <c r="L74" s="241"/>
      <c r="M74" s="241"/>
      <c r="N74" s="241"/>
      <c r="O74" s="241"/>
      <c r="P74" s="241"/>
      <c r="Q74" s="241"/>
      <c r="R74" s="241"/>
      <c r="S74" s="241"/>
      <c r="T74" s="241"/>
      <c r="U74" s="241"/>
    </row>
    <row r="75" spans="1:21">
      <c r="A75" s="240" t="s">
        <v>123</v>
      </c>
      <c r="B75" s="1378" t="s">
        <v>122</v>
      </c>
      <c r="C75" s="1378"/>
      <c r="D75" s="241">
        <f t="shared" si="44"/>
        <v>0</v>
      </c>
      <c r="E75" s="323">
        <f t="shared" si="43"/>
        <v>117</v>
      </c>
      <c r="F75" s="323">
        <f t="shared" si="43"/>
        <v>117</v>
      </c>
      <c r="G75" s="241"/>
      <c r="H75" s="241">
        <v>117</v>
      </c>
      <c r="I75" s="323">
        <v>117</v>
      </c>
      <c r="J75" s="241"/>
      <c r="K75" s="241"/>
      <c r="L75" s="241"/>
      <c r="M75" s="241"/>
      <c r="N75" s="241"/>
      <c r="O75" s="241"/>
      <c r="P75" s="241"/>
      <c r="Q75" s="241"/>
      <c r="R75" s="241"/>
      <c r="S75" s="241"/>
      <c r="T75" s="241"/>
      <c r="U75" s="241"/>
    </row>
    <row r="76" spans="1:21">
      <c r="A76" s="243" t="s">
        <v>124</v>
      </c>
      <c r="B76" s="1377" t="s">
        <v>162</v>
      </c>
      <c r="C76" s="1377"/>
      <c r="D76" s="244">
        <f>SUM(D68:D75)</f>
        <v>600</v>
      </c>
      <c r="E76" s="244">
        <f t="shared" ref="E76:U76" si="46">(((((+E75+E74)+E73)+E72)+E71)+E69)+E68</f>
        <v>577</v>
      </c>
      <c r="F76" s="244">
        <f t="shared" si="46"/>
        <v>550</v>
      </c>
      <c r="G76" s="244">
        <f t="shared" si="46"/>
        <v>600</v>
      </c>
      <c r="H76" s="244">
        <f t="shared" si="46"/>
        <v>577</v>
      </c>
      <c r="I76" s="244">
        <f t="shared" si="46"/>
        <v>550</v>
      </c>
      <c r="J76" s="244">
        <f t="shared" si="46"/>
        <v>0</v>
      </c>
      <c r="K76" s="244">
        <f t="shared" si="46"/>
        <v>0</v>
      </c>
      <c r="L76" s="244">
        <f t="shared" si="46"/>
        <v>0</v>
      </c>
      <c r="M76" s="244">
        <f t="shared" si="46"/>
        <v>0</v>
      </c>
      <c r="N76" s="244">
        <f t="shared" si="46"/>
        <v>0</v>
      </c>
      <c r="O76" s="244">
        <f t="shared" si="46"/>
        <v>0</v>
      </c>
      <c r="P76" s="244">
        <f t="shared" si="46"/>
        <v>0</v>
      </c>
      <c r="Q76" s="244">
        <f t="shared" si="46"/>
        <v>0</v>
      </c>
      <c r="R76" s="244">
        <f t="shared" si="46"/>
        <v>0</v>
      </c>
      <c r="S76" s="244">
        <f t="shared" si="46"/>
        <v>0</v>
      </c>
      <c r="T76" s="244">
        <f t="shared" si="46"/>
        <v>0</v>
      </c>
      <c r="U76" s="244">
        <f t="shared" si="46"/>
        <v>0</v>
      </c>
    </row>
    <row r="77" spans="1:21">
      <c r="A77" s="246"/>
      <c r="B77" s="247"/>
      <c r="C77" s="247"/>
      <c r="D77" s="248"/>
      <c r="E77" s="248"/>
      <c r="F77" s="249"/>
      <c r="G77" s="250"/>
      <c r="H77" s="248"/>
      <c r="I77" s="249"/>
      <c r="J77" s="250"/>
      <c r="K77" s="248"/>
      <c r="L77" s="249"/>
      <c r="M77" s="250"/>
      <c r="N77" s="248"/>
      <c r="O77" s="249"/>
      <c r="P77" s="250"/>
      <c r="Q77" s="248"/>
      <c r="R77" s="249"/>
      <c r="S77" s="250"/>
      <c r="T77" s="248"/>
      <c r="U77" s="249"/>
    </row>
    <row r="78" spans="1:21" hidden="1">
      <c r="A78" s="240" t="s">
        <v>126</v>
      </c>
      <c r="B78" s="1378" t="s">
        <v>125</v>
      </c>
      <c r="C78" s="1378"/>
      <c r="D78" s="241">
        <f>(((+G78+J78)+M78)+P78)+S78</f>
        <v>0</v>
      </c>
      <c r="E78" s="241"/>
      <c r="F78" s="241"/>
      <c r="G78" s="241"/>
      <c r="H78" s="241"/>
      <c r="I78" s="241"/>
      <c r="J78" s="241"/>
      <c r="K78" s="241"/>
      <c r="L78" s="241"/>
      <c r="M78" s="241"/>
      <c r="N78" s="241"/>
      <c r="O78" s="241"/>
      <c r="P78" s="241"/>
      <c r="Q78" s="241"/>
      <c r="R78" s="241"/>
      <c r="S78" s="241"/>
      <c r="T78" s="241"/>
      <c r="U78" s="241"/>
    </row>
    <row r="79" spans="1:21" hidden="1">
      <c r="A79" s="240" t="s">
        <v>128</v>
      </c>
      <c r="B79" s="1378" t="s">
        <v>127</v>
      </c>
      <c r="C79" s="1378"/>
      <c r="D79" s="241">
        <f>(((+G79+J79)+M79)+P79)+S79</f>
        <v>0</v>
      </c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41"/>
      <c r="S79" s="241"/>
      <c r="T79" s="241"/>
      <c r="U79" s="241"/>
    </row>
    <row r="80" spans="1:21" hidden="1">
      <c r="A80" s="240" t="s">
        <v>130</v>
      </c>
      <c r="B80" s="1378" t="s">
        <v>454</v>
      </c>
      <c r="C80" s="1378"/>
      <c r="D80" s="241">
        <f>(((+G80+J80)+M80)+P80)+S80</f>
        <v>0</v>
      </c>
      <c r="E80" s="241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241"/>
      <c r="Q80" s="241"/>
      <c r="R80" s="241"/>
      <c r="S80" s="241"/>
      <c r="T80" s="241"/>
      <c r="U80" s="241"/>
    </row>
    <row r="81" spans="1:21" hidden="1">
      <c r="A81" s="240" t="s">
        <v>132</v>
      </c>
      <c r="B81" s="1378" t="s">
        <v>131</v>
      </c>
      <c r="C81" s="1378"/>
      <c r="D81" s="241">
        <f>(((+G81+J81)+M81)+P81)+S81</f>
        <v>0</v>
      </c>
      <c r="E81" s="241"/>
      <c r="F81" s="241"/>
      <c r="G81" s="241"/>
      <c r="H81" s="241"/>
      <c r="I81" s="241"/>
      <c r="J81" s="241"/>
      <c r="K81" s="241"/>
      <c r="L81" s="241"/>
      <c r="M81" s="241"/>
      <c r="N81" s="241"/>
      <c r="O81" s="241"/>
      <c r="P81" s="241"/>
      <c r="Q81" s="241"/>
      <c r="R81" s="241"/>
      <c r="S81" s="241"/>
      <c r="T81" s="241"/>
      <c r="U81" s="241"/>
    </row>
    <row r="82" spans="1:21">
      <c r="A82" s="243" t="s">
        <v>133</v>
      </c>
      <c r="B82" s="1377" t="s">
        <v>316</v>
      </c>
      <c r="C82" s="1377"/>
      <c r="D82" s="244">
        <f t="shared" ref="D82:U82" si="47">SUM(D78:D81)</f>
        <v>0</v>
      </c>
      <c r="E82" s="244">
        <f t="shared" si="47"/>
        <v>0</v>
      </c>
      <c r="F82" s="244">
        <f t="shared" si="47"/>
        <v>0</v>
      </c>
      <c r="G82" s="244">
        <f t="shared" si="47"/>
        <v>0</v>
      </c>
      <c r="H82" s="244">
        <f t="shared" si="47"/>
        <v>0</v>
      </c>
      <c r="I82" s="244">
        <f t="shared" si="47"/>
        <v>0</v>
      </c>
      <c r="J82" s="244">
        <f t="shared" si="47"/>
        <v>0</v>
      </c>
      <c r="K82" s="244">
        <f t="shared" si="47"/>
        <v>0</v>
      </c>
      <c r="L82" s="244">
        <f t="shared" si="47"/>
        <v>0</v>
      </c>
      <c r="M82" s="244">
        <f t="shared" si="47"/>
        <v>0</v>
      </c>
      <c r="N82" s="244">
        <f t="shared" si="47"/>
        <v>0</v>
      </c>
      <c r="O82" s="244">
        <f t="shared" si="47"/>
        <v>0</v>
      </c>
      <c r="P82" s="244">
        <f t="shared" si="47"/>
        <v>0</v>
      </c>
      <c r="Q82" s="244">
        <f t="shared" si="47"/>
        <v>0</v>
      </c>
      <c r="R82" s="244">
        <f t="shared" si="47"/>
        <v>0</v>
      </c>
      <c r="S82" s="244">
        <f t="shared" si="47"/>
        <v>0</v>
      </c>
      <c r="T82" s="244">
        <f t="shared" si="47"/>
        <v>0</v>
      </c>
      <c r="U82" s="244">
        <f t="shared" si="47"/>
        <v>0</v>
      </c>
    </row>
    <row r="83" spans="1:21">
      <c r="A83" s="246"/>
      <c r="B83" s="269"/>
      <c r="C83" s="269"/>
      <c r="D83" s="248"/>
      <c r="E83" s="248"/>
      <c r="F83" s="249"/>
      <c r="G83" s="250"/>
      <c r="H83" s="248"/>
      <c r="I83" s="249"/>
      <c r="J83" s="250"/>
      <c r="K83" s="248"/>
      <c r="L83" s="249"/>
      <c r="M83" s="250"/>
      <c r="N83" s="248"/>
      <c r="O83" s="249"/>
      <c r="P83" s="250"/>
      <c r="Q83" s="248"/>
      <c r="R83" s="249"/>
      <c r="S83" s="250"/>
      <c r="T83" s="248"/>
      <c r="U83" s="249"/>
    </row>
    <row r="84" spans="1:21">
      <c r="A84" s="243" t="s">
        <v>135</v>
      </c>
      <c r="B84" s="1377" t="s">
        <v>159</v>
      </c>
      <c r="C84" s="1377"/>
      <c r="D84" s="241"/>
      <c r="E84" s="241"/>
      <c r="F84" s="241"/>
      <c r="G84" s="241"/>
      <c r="H84" s="241"/>
      <c r="I84" s="241"/>
      <c r="J84" s="241"/>
      <c r="K84" s="241"/>
      <c r="L84" s="241"/>
      <c r="M84" s="241"/>
      <c r="N84" s="241"/>
      <c r="O84" s="241"/>
      <c r="P84" s="241"/>
      <c r="Q84" s="241"/>
      <c r="R84" s="241"/>
      <c r="S84" s="241"/>
      <c r="T84" s="241"/>
      <c r="U84" s="241"/>
    </row>
    <row r="85" spans="1:21" ht="15.75" customHeight="1" thickBot="1">
      <c r="A85" s="465"/>
      <c r="B85" s="265"/>
      <c r="C85" s="265"/>
      <c r="D85" s="257"/>
      <c r="E85" s="257"/>
      <c r="F85" s="466"/>
      <c r="G85" s="467"/>
      <c r="H85" s="257"/>
      <c r="I85" s="466"/>
      <c r="J85" s="467"/>
      <c r="K85" s="257"/>
      <c r="L85" s="466"/>
      <c r="M85" s="467"/>
      <c r="N85" s="257"/>
      <c r="O85" s="466"/>
      <c r="P85" s="467"/>
      <c r="Q85" s="257"/>
      <c r="R85" s="466"/>
      <c r="S85" s="467"/>
      <c r="T85" s="257"/>
      <c r="U85" s="466"/>
    </row>
    <row r="86" spans="1:21" ht="15.75" customHeight="1" thickBot="1">
      <c r="A86" s="275" t="s">
        <v>136</v>
      </c>
      <c r="B86" s="1381" t="s">
        <v>455</v>
      </c>
      <c r="C86" s="1381"/>
      <c r="D86" s="276">
        <f>+D84+D82+D76+D65+D59+D26+D24</f>
        <v>149394</v>
      </c>
      <c r="E86" s="276">
        <f t="shared" ref="E86:U86" si="48">+E84+E82+E76+E65+E59+E26+E24</f>
        <v>150997</v>
      </c>
      <c r="F86" s="276">
        <f t="shared" si="48"/>
        <v>147207</v>
      </c>
      <c r="G86" s="276">
        <f t="shared" si="48"/>
        <v>124154</v>
      </c>
      <c r="H86" s="276">
        <f t="shared" si="48"/>
        <v>123520</v>
      </c>
      <c r="I86" s="276">
        <f t="shared" si="48"/>
        <v>121759</v>
      </c>
      <c r="J86" s="276">
        <f t="shared" si="48"/>
        <v>11581</v>
      </c>
      <c r="K86" s="276">
        <f t="shared" si="48"/>
        <v>12301</v>
      </c>
      <c r="L86" s="276">
        <f t="shared" si="48"/>
        <v>12253</v>
      </c>
      <c r="M86" s="276">
        <f t="shared" si="48"/>
        <v>2991</v>
      </c>
      <c r="N86" s="276">
        <f t="shared" si="48"/>
        <v>2991</v>
      </c>
      <c r="O86" s="276">
        <f t="shared" si="48"/>
        <v>1066</v>
      </c>
      <c r="P86" s="276">
        <f t="shared" si="48"/>
        <v>0</v>
      </c>
      <c r="Q86" s="276">
        <f t="shared" si="48"/>
        <v>0</v>
      </c>
      <c r="R86" s="276">
        <f t="shared" si="48"/>
        <v>0</v>
      </c>
      <c r="S86" s="276">
        <f t="shared" si="48"/>
        <v>10668</v>
      </c>
      <c r="T86" s="276">
        <f t="shared" si="48"/>
        <v>12185</v>
      </c>
      <c r="U86" s="468">
        <f t="shared" si="48"/>
        <v>12129</v>
      </c>
    </row>
  </sheetData>
  <mergeCells count="80">
    <mergeCell ref="B14:C14"/>
    <mergeCell ref="B86:C86"/>
    <mergeCell ref="B44:C44"/>
    <mergeCell ref="B63:C63"/>
    <mergeCell ref="B65:C65"/>
    <mergeCell ref="B68:C68"/>
    <mergeCell ref="B75:C75"/>
    <mergeCell ref="B57:C57"/>
    <mergeCell ref="B47:C47"/>
    <mergeCell ref="B48:C48"/>
    <mergeCell ref="B49:C49"/>
    <mergeCell ref="B50:C50"/>
    <mergeCell ref="B51:C51"/>
    <mergeCell ref="B52:C52"/>
    <mergeCell ref="B53:C53"/>
    <mergeCell ref="B54:C54"/>
    <mergeCell ref="B13:C13"/>
    <mergeCell ref="A2:A4"/>
    <mergeCell ref="B2:C4"/>
    <mergeCell ref="B5:C5"/>
    <mergeCell ref="B6:C6"/>
    <mergeCell ref="B7:C7"/>
    <mergeCell ref="B8:C8"/>
    <mergeCell ref="B9:C9"/>
    <mergeCell ref="B10:C10"/>
    <mergeCell ref="B11:C11"/>
    <mergeCell ref="B12:C12"/>
    <mergeCell ref="B15:C15"/>
    <mergeCell ref="B16:C16"/>
    <mergeCell ref="B17:C17"/>
    <mergeCell ref="B18:C18"/>
    <mergeCell ref="B19:C19"/>
    <mergeCell ref="B38:C38"/>
    <mergeCell ref="B20:C20"/>
    <mergeCell ref="B21:C21"/>
    <mergeCell ref="B22:C22"/>
    <mergeCell ref="B23:C23"/>
    <mergeCell ref="B24:C24"/>
    <mergeCell ref="B33:C33"/>
    <mergeCell ref="B34:C34"/>
    <mergeCell ref="B35:C35"/>
    <mergeCell ref="B26:C26"/>
    <mergeCell ref="B69:C69"/>
    <mergeCell ref="B71:C71"/>
    <mergeCell ref="B39:C39"/>
    <mergeCell ref="B40:C40"/>
    <mergeCell ref="B41:C41"/>
    <mergeCell ref="B42:C42"/>
    <mergeCell ref="B56:C56"/>
    <mergeCell ref="B43:C43"/>
    <mergeCell ref="B55:C55"/>
    <mergeCell ref="B62:C62"/>
    <mergeCell ref="B61:C61"/>
    <mergeCell ref="S3:U3"/>
    <mergeCell ref="B82:C82"/>
    <mergeCell ref="B84:C84"/>
    <mergeCell ref="B73:C73"/>
    <mergeCell ref="B74:C74"/>
    <mergeCell ref="B76:C76"/>
    <mergeCell ref="B78:C78"/>
    <mergeCell ref="B79:C79"/>
    <mergeCell ref="B81:C81"/>
    <mergeCell ref="B80:C80"/>
    <mergeCell ref="B36:C36"/>
    <mergeCell ref="B37:C37"/>
    <mergeCell ref="B72:C72"/>
    <mergeCell ref="B60:C60"/>
    <mergeCell ref="B59:C59"/>
    <mergeCell ref="B58:C58"/>
    <mergeCell ref="D2:F3"/>
    <mergeCell ref="G3:I3"/>
    <mergeCell ref="J3:L3"/>
    <mergeCell ref="M3:O3"/>
    <mergeCell ref="P3:R3"/>
    <mergeCell ref="S1:U1"/>
    <mergeCell ref="G2:I2"/>
    <mergeCell ref="M2:O2"/>
    <mergeCell ref="P2:R2"/>
    <mergeCell ref="S2:U2"/>
    <mergeCell ref="J2:L2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80" orientation="landscape" cellComments="asDisplayed" r:id="rId1"/>
  <headerFooter>
    <oddHeader>&amp;C&amp;"Times New Roman,Félkövér"&amp;12Martonvásár Város Önkormányzatának kiadásai 2015. 
Brunszvik Teréz Óvoda&amp;R&amp;"Times New Roman,Normál"&amp;10&amp;K000000 6/b. melléklet</oddHeader>
  </headerFooter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36"/>
  <sheetViews>
    <sheetView tabSelected="1" topLeftCell="A31" zoomScale="110" zoomScaleNormal="110" workbookViewId="0">
      <selection activeCell="B57" sqref="B57"/>
    </sheetView>
  </sheetViews>
  <sheetFormatPr defaultRowHeight="15.75"/>
  <cols>
    <col min="1" max="1" width="5.42578125" style="207" customWidth="1"/>
    <col min="2" max="2" width="54.85546875" style="201" customWidth="1"/>
    <col min="3" max="3" width="10.42578125" style="201" customWidth="1"/>
    <col min="4" max="4" width="9.140625" style="201" customWidth="1"/>
    <col min="5" max="5" width="9" style="201" customWidth="1"/>
    <col min="6" max="6" width="8.7109375" style="97" customWidth="1"/>
    <col min="7" max="21" width="9.140625" style="97"/>
    <col min="22" max="16384" width="9.140625" style="201"/>
  </cols>
  <sheetData>
    <row r="1" spans="1:21" ht="15.95" customHeight="1">
      <c r="A1" s="93" t="s">
        <v>304</v>
      </c>
      <c r="B1" s="94"/>
      <c r="C1" s="94"/>
      <c r="D1" s="94"/>
      <c r="E1" s="94"/>
    </row>
    <row r="2" spans="1:21" ht="15.95" customHeight="1" thickBot="1">
      <c r="A2" s="1197" t="s">
        <v>305</v>
      </c>
      <c r="B2" s="1197"/>
      <c r="C2" s="1200" t="s">
        <v>400</v>
      </c>
      <c r="D2" s="1200"/>
      <c r="E2" s="1200"/>
      <c r="F2" s="1201"/>
    </row>
    <row r="3" spans="1:21" ht="35.25" customHeight="1">
      <c r="A3" s="726"/>
      <c r="B3" s="727" t="s">
        <v>181</v>
      </c>
      <c r="C3" s="728" t="s">
        <v>178</v>
      </c>
      <c r="D3" s="729" t="s">
        <v>672</v>
      </c>
      <c r="E3" s="729" t="s">
        <v>760</v>
      </c>
      <c r="F3" s="730" t="s">
        <v>769</v>
      </c>
      <c r="P3" s="201"/>
      <c r="Q3" s="201"/>
      <c r="R3" s="201"/>
      <c r="S3" s="201"/>
      <c r="T3" s="201"/>
      <c r="U3" s="201"/>
    </row>
    <row r="4" spans="1:21" s="216" customFormat="1">
      <c r="A4" s="731" t="s">
        <v>413</v>
      </c>
      <c r="B4" s="208" t="s">
        <v>412</v>
      </c>
      <c r="C4" s="219">
        <f>+C7+C8+C13+C14</f>
        <v>911894</v>
      </c>
      <c r="D4" s="219">
        <f>+D7+D8+D13+D14</f>
        <v>1007081</v>
      </c>
      <c r="E4" s="219">
        <f>+E7+E8+E13+E14</f>
        <v>1047727</v>
      </c>
      <c r="F4" s="732">
        <f>E4/D4*100</f>
        <v>104.03602093575392</v>
      </c>
      <c r="G4" s="215"/>
      <c r="H4" s="215"/>
      <c r="I4" s="215"/>
      <c r="J4" s="215"/>
      <c r="K4" s="215"/>
      <c r="L4" s="215"/>
      <c r="M4" s="215"/>
      <c r="N4" s="215"/>
      <c r="O4" s="215"/>
    </row>
    <row r="5" spans="1:21" s="202" customFormat="1" ht="12" customHeight="1">
      <c r="A5" s="733" t="s">
        <v>410</v>
      </c>
      <c r="B5" s="218" t="s">
        <v>332</v>
      </c>
      <c r="C5" s="101">
        <f>+'3.mell. Bevétel'!C10</f>
        <v>552567</v>
      </c>
      <c r="D5" s="101">
        <f>+'3.mell. Bevétel'!D10</f>
        <v>568046</v>
      </c>
      <c r="E5" s="101">
        <f>+'3.mell. Bevétel'!E10</f>
        <v>568046</v>
      </c>
      <c r="F5" s="745">
        <f t="shared" ref="F5:F25" si="0">E5/D5*100</f>
        <v>100</v>
      </c>
      <c r="G5" s="97"/>
      <c r="H5" s="97"/>
      <c r="I5" s="97"/>
      <c r="J5" s="97"/>
      <c r="K5" s="97"/>
      <c r="L5" s="97"/>
      <c r="M5" s="97"/>
      <c r="N5" s="97"/>
      <c r="O5" s="97"/>
    </row>
    <row r="6" spans="1:21" s="202" customFormat="1" ht="22.5" customHeight="1">
      <c r="A6" s="734" t="s">
        <v>411</v>
      </c>
      <c r="B6" s="218" t="s">
        <v>206</v>
      </c>
      <c r="C6" s="101">
        <f>+'3.mell. Bevétel'!C11+'6. mell. Int.összesen'!D4</f>
        <v>61914</v>
      </c>
      <c r="D6" s="101">
        <f>+'3.mell. Bevétel'!D11+'6. mell. Int.összesen'!E4</f>
        <v>60574</v>
      </c>
      <c r="E6" s="101">
        <f>+'3.mell. Bevétel'!E11+'6. mell. Int.összesen'!F4</f>
        <v>59442</v>
      </c>
      <c r="F6" s="1181">
        <f t="shared" si="0"/>
        <v>98.131211410836329</v>
      </c>
      <c r="G6" s="97"/>
      <c r="H6" s="97"/>
      <c r="I6" s="97"/>
      <c r="J6" s="97"/>
      <c r="K6" s="97"/>
      <c r="L6" s="97"/>
      <c r="M6" s="97"/>
      <c r="N6" s="97"/>
      <c r="O6" s="97"/>
    </row>
    <row r="7" spans="1:21" s="217" customFormat="1" ht="12" customHeight="1">
      <c r="A7" s="735" t="s">
        <v>310</v>
      </c>
      <c r="B7" s="65" t="s">
        <v>330</v>
      </c>
      <c r="C7" s="86">
        <f>+C5+C6</f>
        <v>614481</v>
      </c>
      <c r="D7" s="86">
        <f>+D5+D6</f>
        <v>628620</v>
      </c>
      <c r="E7" s="86">
        <f>+E5+E6</f>
        <v>627488</v>
      </c>
      <c r="F7" s="745">
        <f t="shared" si="0"/>
        <v>99.819923005949533</v>
      </c>
      <c r="G7" s="215"/>
      <c r="H7" s="215"/>
      <c r="I7" s="215"/>
      <c r="J7" s="215"/>
      <c r="K7" s="215"/>
      <c r="L7" s="215"/>
      <c r="M7" s="215"/>
      <c r="N7" s="215"/>
      <c r="O7" s="215"/>
    </row>
    <row r="8" spans="1:21" s="202" customFormat="1" ht="12" customHeight="1">
      <c r="A8" s="736" t="s">
        <v>414</v>
      </c>
      <c r="B8" s="65" t="s">
        <v>336</v>
      </c>
      <c r="C8" s="86">
        <f>SUM(C9:C12)</f>
        <v>228100</v>
      </c>
      <c r="D8" s="86">
        <f>SUM(D9:D12)</f>
        <v>264130</v>
      </c>
      <c r="E8" s="86">
        <f>SUM(E9:E12)</f>
        <v>326322</v>
      </c>
      <c r="F8" s="745">
        <f t="shared" si="0"/>
        <v>123.54598114564799</v>
      </c>
      <c r="G8" s="97"/>
      <c r="H8" s="97"/>
      <c r="I8" s="97"/>
      <c r="J8" s="97"/>
      <c r="K8" s="97"/>
      <c r="L8" s="97"/>
      <c r="M8" s="97"/>
      <c r="N8" s="97"/>
      <c r="O8" s="97"/>
    </row>
    <row r="9" spans="1:21" s="202" customFormat="1" ht="12" customHeight="1">
      <c r="A9" s="733" t="s">
        <v>415</v>
      </c>
      <c r="B9" s="218" t="s">
        <v>334</v>
      </c>
      <c r="C9" s="86">
        <f>+'3.mell. Bevétel'!C39</f>
        <v>0</v>
      </c>
      <c r="D9" s="86">
        <f>+'3.mell. Bevétel'!D39</f>
        <v>0</v>
      </c>
      <c r="E9" s="86">
        <f>+'3.mell. Bevétel'!E39</f>
        <v>0</v>
      </c>
      <c r="F9" s="732"/>
      <c r="G9" s="97"/>
      <c r="H9" s="97"/>
      <c r="I9" s="97"/>
      <c r="J9" s="97"/>
      <c r="K9" s="97"/>
      <c r="L9" s="97"/>
      <c r="M9" s="97"/>
      <c r="N9" s="97"/>
      <c r="O9" s="97"/>
    </row>
    <row r="10" spans="1:21" s="202" customFormat="1" ht="12" customHeight="1">
      <c r="A10" s="734" t="s">
        <v>416</v>
      </c>
      <c r="B10" s="218" t="s">
        <v>221</v>
      </c>
      <c r="C10" s="86">
        <f>+'3.mell. Bevétel'!C42</f>
        <v>112000</v>
      </c>
      <c r="D10" s="86">
        <f>+'3.mell. Bevétel'!D42</f>
        <v>134000</v>
      </c>
      <c r="E10" s="86">
        <f>+'3.mell. Bevétel'!E42</f>
        <v>171960</v>
      </c>
      <c r="F10" s="745">
        <f t="shared" si="0"/>
        <v>128.32835820895522</v>
      </c>
      <c r="G10" s="97"/>
      <c r="H10" s="97"/>
      <c r="I10" s="97"/>
      <c r="J10" s="97"/>
      <c r="K10" s="97"/>
      <c r="L10" s="97"/>
      <c r="M10" s="97"/>
      <c r="N10" s="97"/>
      <c r="O10" s="97"/>
    </row>
    <row r="11" spans="1:21" s="202" customFormat="1" ht="12" customHeight="1">
      <c r="A11" s="733" t="s">
        <v>417</v>
      </c>
      <c r="B11" s="218" t="s">
        <v>335</v>
      </c>
      <c r="C11" s="86">
        <f>+'3.mell. Bevétel'!C51</f>
        <v>114400</v>
      </c>
      <c r="D11" s="86">
        <f>+'3.mell. Bevétel'!D51</f>
        <v>128400</v>
      </c>
      <c r="E11" s="86">
        <f>+'3.mell. Bevétel'!E51</f>
        <v>152421</v>
      </c>
      <c r="F11" s="745">
        <f t="shared" si="0"/>
        <v>118.70794392523365</v>
      </c>
      <c r="G11" s="97"/>
      <c r="H11" s="97"/>
      <c r="I11" s="97"/>
      <c r="J11" s="97"/>
      <c r="K11" s="97"/>
      <c r="L11" s="97"/>
      <c r="M11" s="97"/>
      <c r="N11" s="97"/>
      <c r="O11" s="97"/>
    </row>
    <row r="12" spans="1:21" s="202" customFormat="1" ht="12" customHeight="1">
      <c r="A12" s="734" t="s">
        <v>418</v>
      </c>
      <c r="B12" s="218" t="s">
        <v>234</v>
      </c>
      <c r="C12" s="86">
        <f>+'3.mell. Bevétel'!C52</f>
        <v>1700</v>
      </c>
      <c r="D12" s="86">
        <f>+'3.mell. Bevétel'!D52+'6. mell. Int.összesen'!E28</f>
        <v>1730</v>
      </c>
      <c r="E12" s="86">
        <f>+'3.mell. Bevétel'!E52+'6. mell. Int.összesen'!F28</f>
        <v>1941</v>
      </c>
      <c r="F12" s="745">
        <f t="shared" si="0"/>
        <v>112.19653179190752</v>
      </c>
      <c r="G12" s="97"/>
      <c r="H12" s="97"/>
      <c r="I12" s="97"/>
      <c r="J12" s="97"/>
      <c r="K12" s="97"/>
      <c r="L12" s="97"/>
      <c r="M12" s="97"/>
      <c r="N12" s="97"/>
      <c r="O12" s="97"/>
    </row>
    <row r="13" spans="1:21" s="202" customFormat="1" ht="12" customHeight="1">
      <c r="A13" s="735">
        <v>3</v>
      </c>
      <c r="B13" s="65" t="s">
        <v>282</v>
      </c>
      <c r="C13" s="86">
        <f>+'3.mell. Bevétel'!C64+'6. mell. Int.összesen'!D37</f>
        <v>46271</v>
      </c>
      <c r="D13" s="86">
        <f>+'3.mell. Bevétel'!D64+'6. mell. Int.összesen'!E37</f>
        <v>70189</v>
      </c>
      <c r="E13" s="86">
        <f>+'3.mell. Bevétel'!E64+'6. mell. Int.összesen'!F37</f>
        <v>64767</v>
      </c>
      <c r="F13" s="745">
        <f t="shared" si="0"/>
        <v>92.275142828648356</v>
      </c>
      <c r="G13" s="97"/>
      <c r="H13" s="97"/>
      <c r="I13" s="97"/>
      <c r="J13" s="97"/>
      <c r="K13" s="97"/>
      <c r="L13" s="97"/>
      <c r="M13" s="97"/>
      <c r="N13" s="97"/>
      <c r="O13" s="97"/>
    </row>
    <row r="14" spans="1:21" s="202" customFormat="1" ht="12" customHeight="1">
      <c r="A14" s="736">
        <v>4</v>
      </c>
      <c r="B14" s="65" t="s">
        <v>280</v>
      </c>
      <c r="C14" s="86">
        <f>+'3.mell. Bevétel'!C68</f>
        <v>23042</v>
      </c>
      <c r="D14" s="86">
        <f>+'3.mell. Bevétel'!D68</f>
        <v>44142</v>
      </c>
      <c r="E14" s="86">
        <f>+'3.mell. Bevétel'!E68</f>
        <v>29150</v>
      </c>
      <c r="F14" s="745">
        <f t="shared" si="0"/>
        <v>66.036880975035118</v>
      </c>
      <c r="G14" s="97"/>
      <c r="H14" s="97"/>
      <c r="I14" s="97"/>
      <c r="J14" s="97"/>
      <c r="K14" s="97"/>
      <c r="L14" s="97"/>
      <c r="M14" s="97"/>
      <c r="N14" s="97"/>
      <c r="O14" s="97"/>
    </row>
    <row r="15" spans="1:21" s="217" customFormat="1" ht="12" customHeight="1">
      <c r="A15" s="737" t="s">
        <v>419</v>
      </c>
      <c r="B15" s="208" t="s">
        <v>281</v>
      </c>
      <c r="C15" s="90">
        <f>SUM(C16:C18)</f>
        <v>43088</v>
      </c>
      <c r="D15" s="90">
        <f>SUM(D16:D18)</f>
        <v>78468</v>
      </c>
      <c r="E15" s="90">
        <f>SUM(E16:E18)</f>
        <v>77855</v>
      </c>
      <c r="F15" s="732">
        <f t="shared" si="0"/>
        <v>99.21878982515166</v>
      </c>
      <c r="G15" s="215"/>
      <c r="H15" s="215"/>
      <c r="I15" s="215"/>
      <c r="J15" s="215"/>
      <c r="K15" s="215"/>
      <c r="L15" s="215"/>
      <c r="M15" s="215"/>
      <c r="N15" s="215"/>
      <c r="O15" s="215"/>
    </row>
    <row r="16" spans="1:21" s="202" customFormat="1" ht="12" customHeight="1">
      <c r="A16" s="736">
        <v>1</v>
      </c>
      <c r="B16" s="65" t="s">
        <v>331</v>
      </c>
      <c r="C16" s="86">
        <f>+'3.mell. Bevétel'!C36+'6. mell. Int.összesen'!D16</f>
        <v>28777</v>
      </c>
      <c r="D16" s="86">
        <f>+'3.mell. Bevétel'!D36+'6. mell. Int.összesen'!E16</f>
        <v>31677</v>
      </c>
      <c r="E16" s="86">
        <f>+'3.mell. Bevétel'!E36+'6. mell. Int.összesen'!F16</f>
        <v>31035</v>
      </c>
      <c r="F16" s="745">
        <f t="shared" si="0"/>
        <v>97.973292925466424</v>
      </c>
      <c r="G16" s="97"/>
      <c r="H16" s="97"/>
      <c r="I16" s="97"/>
      <c r="J16" s="97"/>
      <c r="K16" s="97"/>
      <c r="L16" s="97"/>
      <c r="M16" s="97"/>
      <c r="N16" s="97"/>
      <c r="O16" s="97"/>
    </row>
    <row r="17" spans="1:21" s="202" customFormat="1" ht="12" customHeight="1">
      <c r="A17" s="735">
        <v>2</v>
      </c>
      <c r="B17" s="65" t="s">
        <v>281</v>
      </c>
      <c r="C17" s="86">
        <f>+'3.mell. Bevétel'!C65</f>
        <v>0</v>
      </c>
      <c r="D17" s="86">
        <f>+'3.mell. Bevétel'!D65+'6. mell. Int.összesen'!E38</f>
        <v>205</v>
      </c>
      <c r="E17" s="86">
        <f>+'3.mell. Bevétel'!E65+'6. mell. Int.összesen'!F38</f>
        <v>234</v>
      </c>
      <c r="F17" s="745">
        <f t="shared" si="0"/>
        <v>114.14634146341463</v>
      </c>
      <c r="G17" s="97"/>
      <c r="H17" s="97"/>
      <c r="I17" s="97"/>
      <c r="J17" s="97"/>
      <c r="K17" s="97"/>
      <c r="L17" s="97"/>
      <c r="M17" s="97"/>
      <c r="N17" s="97"/>
      <c r="O17" s="97"/>
    </row>
    <row r="18" spans="1:21" s="202" customFormat="1" ht="12" customHeight="1">
      <c r="A18" s="736">
        <v>3</v>
      </c>
      <c r="B18" s="65" t="s">
        <v>286</v>
      </c>
      <c r="C18" s="86">
        <f>+'3.mell. Bevétel'!C71</f>
        <v>14311</v>
      </c>
      <c r="D18" s="86">
        <f>+'3.mell. Bevétel'!D71</f>
        <v>46586</v>
      </c>
      <c r="E18" s="86">
        <f>+'3.mell. Bevétel'!E71</f>
        <v>46586</v>
      </c>
      <c r="F18" s="745">
        <f t="shared" si="0"/>
        <v>100</v>
      </c>
      <c r="G18" s="97"/>
      <c r="H18" s="97"/>
      <c r="I18" s="97"/>
      <c r="J18" s="97"/>
      <c r="K18" s="97"/>
      <c r="L18" s="97"/>
      <c r="M18" s="97"/>
      <c r="N18" s="97"/>
      <c r="O18" s="97"/>
    </row>
    <row r="19" spans="1:21" s="202" customFormat="1" ht="12" customHeight="1">
      <c r="A19" s="735"/>
      <c r="B19" s="720" t="s">
        <v>397</v>
      </c>
      <c r="C19" s="90">
        <f>+C15+C4</f>
        <v>954982</v>
      </c>
      <c r="D19" s="90">
        <f>+D15+D4</f>
        <v>1085549</v>
      </c>
      <c r="E19" s="90">
        <f>+E15+E4</f>
        <v>1125582</v>
      </c>
      <c r="F19" s="732">
        <f t="shared" si="0"/>
        <v>103.68781142076497</v>
      </c>
      <c r="G19" s="97"/>
      <c r="H19" s="97"/>
      <c r="I19" s="97"/>
      <c r="J19" s="97"/>
      <c r="K19" s="97"/>
      <c r="L19" s="97"/>
      <c r="M19" s="97"/>
      <c r="N19" s="97"/>
      <c r="O19" s="97"/>
    </row>
    <row r="20" spans="1:21" s="202" customFormat="1" ht="12" customHeight="1">
      <c r="A20" s="731" t="s">
        <v>420</v>
      </c>
      <c r="B20" s="720" t="s">
        <v>289</v>
      </c>
      <c r="C20" s="90">
        <f>+C22+C21</f>
        <v>580822</v>
      </c>
      <c r="D20" s="90">
        <f>+D22+D21</f>
        <v>476255</v>
      </c>
      <c r="E20" s="90">
        <f>+E22+E21</f>
        <v>476255</v>
      </c>
      <c r="F20" s="732">
        <f t="shared" si="0"/>
        <v>100</v>
      </c>
      <c r="G20" s="97"/>
      <c r="H20" s="97"/>
      <c r="I20" s="97"/>
      <c r="J20" s="97"/>
      <c r="K20" s="97"/>
      <c r="L20" s="97"/>
      <c r="M20" s="97"/>
      <c r="N20" s="97"/>
      <c r="O20" s="97"/>
    </row>
    <row r="21" spans="1:21" s="202" customFormat="1" ht="12" customHeight="1">
      <c r="A21" s="735">
        <v>1</v>
      </c>
      <c r="B21" s="65" t="s">
        <v>394</v>
      </c>
      <c r="C21" s="86">
        <f>+'3.mell. Bevétel'!C74</f>
        <v>150000</v>
      </c>
      <c r="D21" s="86">
        <f>+'3.mell. Bevétel'!D74</f>
        <v>0</v>
      </c>
      <c r="E21" s="86">
        <f>+'3.mell. Bevétel'!E74</f>
        <v>0</v>
      </c>
      <c r="F21" s="732"/>
      <c r="G21" s="97"/>
      <c r="H21" s="97"/>
      <c r="I21" s="97"/>
      <c r="J21" s="97"/>
      <c r="K21" s="97"/>
      <c r="L21" s="97"/>
      <c r="M21" s="97"/>
      <c r="N21" s="97"/>
      <c r="O21" s="97"/>
    </row>
    <row r="22" spans="1:21" s="202" customFormat="1" ht="12" customHeight="1">
      <c r="A22" s="736">
        <v>2</v>
      </c>
      <c r="B22" s="65" t="s">
        <v>337</v>
      </c>
      <c r="C22" s="86">
        <f>SUM(C23:C24)</f>
        <v>430822</v>
      </c>
      <c r="D22" s="86">
        <f>SUM(D23:D24)</f>
        <v>476255</v>
      </c>
      <c r="E22" s="86">
        <f>SUM(E23:E24)</f>
        <v>476255</v>
      </c>
      <c r="F22" s="732">
        <f t="shared" si="0"/>
        <v>100</v>
      </c>
      <c r="G22" s="97"/>
      <c r="H22" s="97"/>
      <c r="I22" s="97"/>
      <c r="J22" s="97"/>
      <c r="K22" s="97"/>
      <c r="L22" s="97"/>
      <c r="M22" s="97"/>
      <c r="N22" s="97"/>
      <c r="O22" s="97"/>
    </row>
    <row r="23" spans="1:21" s="202" customFormat="1" ht="12" customHeight="1">
      <c r="A23" s="735" t="s">
        <v>410</v>
      </c>
      <c r="B23" s="218" t="s">
        <v>395</v>
      </c>
      <c r="C23" s="101">
        <f>+'3.mell. Bevétel'!C76+'6. mell. Int.összesen'!D45</f>
        <v>15000</v>
      </c>
      <c r="D23" s="101">
        <f>+'3.mell. Bevétel'!D76+'6. mell. Int.összesen'!E45</f>
        <v>60433</v>
      </c>
      <c r="E23" s="101">
        <f>+'3.mell. Bevétel'!E76+'6. mell. Int.összesen'!F45</f>
        <v>60433</v>
      </c>
      <c r="F23" s="732">
        <f t="shared" si="0"/>
        <v>100</v>
      </c>
      <c r="G23" s="97"/>
      <c r="H23" s="97"/>
      <c r="I23" s="97"/>
      <c r="J23" s="97"/>
      <c r="K23" s="97"/>
      <c r="L23" s="97"/>
      <c r="M23" s="97"/>
      <c r="N23" s="97"/>
      <c r="O23" s="97"/>
    </row>
    <row r="24" spans="1:21" s="202" customFormat="1" ht="12" customHeight="1">
      <c r="A24" s="736" t="s">
        <v>411</v>
      </c>
      <c r="B24" s="218" t="s">
        <v>396</v>
      </c>
      <c r="C24" s="101">
        <f>+'3.mell. Bevétel'!C77+'6. mell. Int.összesen'!D46</f>
        <v>415822</v>
      </c>
      <c r="D24" s="101">
        <f>+'3.mell. Bevétel'!D77+'6. mell. Int.összesen'!E46</f>
        <v>415822</v>
      </c>
      <c r="E24" s="101">
        <f>+'3.mell. Bevétel'!E77+'6. mell. Int.összesen'!F46</f>
        <v>415822</v>
      </c>
      <c r="F24" s="732">
        <f t="shared" si="0"/>
        <v>100</v>
      </c>
      <c r="G24" s="97"/>
      <c r="H24" s="97"/>
      <c r="I24" s="97"/>
      <c r="J24" s="97"/>
      <c r="K24" s="97"/>
      <c r="L24" s="97"/>
      <c r="M24" s="97"/>
      <c r="N24" s="97"/>
      <c r="O24" s="97"/>
    </row>
    <row r="25" spans="1:21" s="202" customFormat="1" ht="12.75" customHeight="1" thickBot="1">
      <c r="A25" s="1192" t="s">
        <v>398</v>
      </c>
      <c r="B25" s="1193"/>
      <c r="C25" s="1184">
        <f>+C20+C15+C4</f>
        <v>1535804</v>
      </c>
      <c r="D25" s="1184">
        <f>+D20+D15+D4</f>
        <v>1561804</v>
      </c>
      <c r="E25" s="1184">
        <f>+E20+E15+E4</f>
        <v>1601837</v>
      </c>
      <c r="F25" s="1183">
        <f t="shared" si="0"/>
        <v>102.56325377576188</v>
      </c>
      <c r="G25" s="97"/>
      <c r="H25" s="97"/>
      <c r="I25" s="97"/>
      <c r="J25" s="97"/>
      <c r="K25" s="97"/>
      <c r="L25" s="97"/>
      <c r="M25" s="97"/>
      <c r="N25" s="97"/>
      <c r="O25" s="97"/>
    </row>
    <row r="26" spans="1:21" s="202" customFormat="1" ht="12" customHeight="1">
      <c r="A26" s="1185" t="s">
        <v>1293</v>
      </c>
      <c r="B26" s="1186" t="s">
        <v>1294</v>
      </c>
      <c r="C26" s="1187">
        <f>SUM(C27:C28)</f>
        <v>0</v>
      </c>
      <c r="D26" s="1187">
        <f t="shared" ref="D26:E26" si="1">SUM(D27:D28)</f>
        <v>0</v>
      </c>
      <c r="E26" s="1187">
        <f t="shared" si="1"/>
        <v>1319298</v>
      </c>
      <c r="F26" s="1188"/>
      <c r="G26" s="97"/>
      <c r="H26" s="97"/>
      <c r="I26" s="97"/>
      <c r="J26" s="97"/>
      <c r="K26" s="97"/>
      <c r="L26" s="97"/>
      <c r="M26" s="97"/>
      <c r="N26" s="97"/>
      <c r="O26" s="97"/>
    </row>
    <row r="27" spans="1:21" s="202" customFormat="1" ht="12" customHeight="1">
      <c r="A27" s="735">
        <v>1</v>
      </c>
      <c r="B27" s="65" t="s">
        <v>1288</v>
      </c>
      <c r="C27" s="86">
        <f>+'3.mell. Bevétel'!C79</f>
        <v>0</v>
      </c>
      <c r="D27" s="86">
        <f>+'3.mell. Bevétel'!D79</f>
        <v>0</v>
      </c>
      <c r="E27" s="86">
        <f>+'3.mell. Bevétel'!E79</f>
        <v>19584</v>
      </c>
      <c r="F27" s="732"/>
      <c r="G27" s="97"/>
      <c r="H27" s="97"/>
      <c r="I27" s="97"/>
      <c r="J27" s="97"/>
      <c r="K27" s="97"/>
      <c r="L27" s="97"/>
      <c r="M27" s="97"/>
      <c r="N27" s="97"/>
      <c r="O27" s="97"/>
    </row>
    <row r="28" spans="1:21" s="202" customFormat="1" ht="12" customHeight="1">
      <c r="A28" s="736">
        <v>2</v>
      </c>
      <c r="B28" s="65" t="s">
        <v>1307</v>
      </c>
      <c r="C28" s="86">
        <f>+'3.mell. Bevétel'!C80</f>
        <v>0</v>
      </c>
      <c r="D28" s="86">
        <f>+'3.mell. Bevétel'!D80</f>
        <v>0</v>
      </c>
      <c r="E28" s="86">
        <v>1299714</v>
      </c>
      <c r="F28" s="732"/>
      <c r="G28" s="97"/>
      <c r="H28" s="97"/>
      <c r="I28" s="97"/>
      <c r="J28" s="97"/>
      <c r="K28" s="97"/>
      <c r="L28" s="97"/>
      <c r="M28" s="97"/>
      <c r="N28" s="97"/>
      <c r="O28" s="97"/>
    </row>
    <row r="29" spans="1:21" s="202" customFormat="1" ht="16.5" customHeight="1" thickBot="1">
      <c r="A29" s="1202" t="s">
        <v>1295</v>
      </c>
      <c r="B29" s="1203"/>
      <c r="C29" s="738">
        <f>+C25+C26</f>
        <v>1535804</v>
      </c>
      <c r="D29" s="738">
        <f t="shared" ref="D29:E29" si="2">+D25+D26</f>
        <v>1561804</v>
      </c>
      <c r="E29" s="738">
        <f t="shared" si="2"/>
        <v>2921135</v>
      </c>
      <c r="F29" s="739"/>
      <c r="G29" s="97"/>
      <c r="H29" s="97"/>
      <c r="I29" s="97"/>
      <c r="J29" s="97"/>
      <c r="K29" s="97"/>
      <c r="L29" s="97"/>
      <c r="M29" s="97"/>
      <c r="N29" s="97"/>
      <c r="O29" s="97"/>
    </row>
    <row r="30" spans="1:21" s="202" customFormat="1" ht="12" customHeight="1">
      <c r="A30" s="200"/>
      <c r="B30" s="89"/>
      <c r="C30" s="210"/>
      <c r="D30" s="89"/>
      <c r="E30" s="89"/>
      <c r="F30" s="97"/>
      <c r="G30" s="97"/>
      <c r="H30" s="97"/>
      <c r="I30" s="97"/>
      <c r="J30" s="97"/>
      <c r="K30" s="97"/>
      <c r="L30" s="97"/>
      <c r="M30" s="97"/>
      <c r="N30" s="97"/>
      <c r="O30" s="97"/>
    </row>
    <row r="31" spans="1:21" s="202" customFormat="1" ht="16.5" customHeight="1">
      <c r="A31" s="1198" t="s">
        <v>311</v>
      </c>
      <c r="B31" s="1199"/>
      <c r="C31" s="1199"/>
      <c r="D31" s="1199"/>
      <c r="E31" s="1199"/>
      <c r="F31" s="97"/>
      <c r="G31" s="97"/>
      <c r="H31" s="97"/>
      <c r="I31" s="97"/>
      <c r="J31" s="97"/>
      <c r="K31" s="97"/>
      <c r="L31" s="97"/>
      <c r="M31" s="97"/>
      <c r="N31" s="97"/>
      <c r="O31" s="97"/>
    </row>
    <row r="32" spans="1:21" s="202" customFormat="1" ht="15" customHeight="1" thickBot="1">
      <c r="A32" s="1197" t="s">
        <v>312</v>
      </c>
      <c r="B32" s="1197"/>
      <c r="C32" s="203"/>
      <c r="D32" s="203"/>
      <c r="E32" s="203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</row>
    <row r="33" spans="1:21" ht="16.5" customHeight="1">
      <c r="A33" s="718"/>
      <c r="B33" s="740" t="s">
        <v>181</v>
      </c>
      <c r="C33" s="728" t="s">
        <v>178</v>
      </c>
      <c r="D33" s="729" t="s">
        <v>672</v>
      </c>
      <c r="E33" s="729" t="s">
        <v>745</v>
      </c>
      <c r="F33" s="730" t="s">
        <v>769</v>
      </c>
    </row>
    <row r="34" spans="1:21" ht="16.5" customHeight="1">
      <c r="A34" s="731" t="s">
        <v>413</v>
      </c>
      <c r="B34" s="208" t="s">
        <v>424</v>
      </c>
      <c r="C34" s="219">
        <f>+C35+C36+C37+C38+C39+C40</f>
        <v>1369941</v>
      </c>
      <c r="D34" s="219">
        <f>+D35+D36+D37+D38+D39+D40</f>
        <v>1266438</v>
      </c>
      <c r="E34" s="219">
        <f>+E35+E36+E37+E38+E39+E40</f>
        <v>917596</v>
      </c>
      <c r="F34" s="743">
        <f>E34/D34*100</f>
        <v>72.45486948433323</v>
      </c>
    </row>
    <row r="35" spans="1:21" ht="13.5" customHeight="1">
      <c r="A35" s="741">
        <v>1</v>
      </c>
      <c r="B35" s="723" t="s">
        <v>173</v>
      </c>
      <c r="C35" s="209">
        <f>+'5. mell. Önk.össz kiadás'!D7+'6. mell. Int.összesen'!D56</f>
        <v>256234</v>
      </c>
      <c r="D35" s="209">
        <f>+'5. mell. Önk.össz kiadás'!E7+'6. mell. Int.összesen'!E56</f>
        <v>254724</v>
      </c>
      <c r="E35" s="209">
        <f>+'5. mell. Önk.össz kiadás'!F7+'6. mell. Int.összesen'!F56</f>
        <v>246938</v>
      </c>
      <c r="F35" s="744">
        <f t="shared" ref="F35:F47" si="3">E35/D35*100</f>
        <v>96.943358301534204</v>
      </c>
      <c r="P35" s="201"/>
      <c r="Q35" s="201"/>
      <c r="R35" s="201"/>
      <c r="S35" s="201"/>
      <c r="T35" s="201"/>
      <c r="U35" s="201"/>
    </row>
    <row r="36" spans="1:21" ht="12" customHeight="1">
      <c r="A36" s="741">
        <v>2</v>
      </c>
      <c r="B36" s="723" t="s">
        <v>172</v>
      </c>
      <c r="C36" s="209">
        <f>+'5. mell. Önk.össz kiadás'!D9+'6. mell. Int.összesen'!D57</f>
        <v>68236</v>
      </c>
      <c r="D36" s="209">
        <f>+'5. mell. Önk.össz kiadás'!E9+'6. mell. Int.összesen'!E57</f>
        <v>68924</v>
      </c>
      <c r="E36" s="209">
        <f>+'5. mell. Önk.össz kiadás'!F9+'6. mell. Int.összesen'!F57</f>
        <v>66861</v>
      </c>
      <c r="F36" s="744">
        <f t="shared" si="3"/>
        <v>97.006848122569792</v>
      </c>
      <c r="P36" s="201"/>
      <c r="Q36" s="201"/>
      <c r="R36" s="201"/>
      <c r="S36" s="201"/>
      <c r="T36" s="201"/>
      <c r="U36" s="201"/>
    </row>
    <row r="37" spans="1:21" ht="12" customHeight="1">
      <c r="A37" s="741">
        <v>3</v>
      </c>
      <c r="B37" s="723" t="s">
        <v>152</v>
      </c>
      <c r="C37" s="209">
        <f>+'5. mell. Önk.össz kiadás'!D16+'6. mell. Int.összesen'!D64</f>
        <v>160015</v>
      </c>
      <c r="D37" s="209">
        <f>+'5. mell. Önk.össz kiadás'!E16+'6. mell. Int.összesen'!E64</f>
        <v>162066</v>
      </c>
      <c r="E37" s="209">
        <f>+'5. mell. Önk.össz kiadás'!F16+'6. mell. Int.összesen'!F64</f>
        <v>140512</v>
      </c>
      <c r="F37" s="744">
        <f t="shared" si="3"/>
        <v>86.700480051337109</v>
      </c>
      <c r="P37" s="201"/>
      <c r="Q37" s="201"/>
      <c r="R37" s="201"/>
      <c r="S37" s="201"/>
      <c r="T37" s="201"/>
      <c r="U37" s="201"/>
    </row>
    <row r="38" spans="1:21" ht="12" customHeight="1">
      <c r="A38" s="741">
        <v>4</v>
      </c>
      <c r="B38" s="197" t="s">
        <v>151</v>
      </c>
      <c r="C38" s="209">
        <f>+'5. mell. Önk.össz kiadás'!D18</f>
        <v>21921</v>
      </c>
      <c r="D38" s="209">
        <f>+'5. mell. Önk.össz kiadás'!E18</f>
        <v>23512</v>
      </c>
      <c r="E38" s="209">
        <f>+'5. mell. Önk.össz kiadás'!F18</f>
        <v>22933</v>
      </c>
      <c r="F38" s="744">
        <f t="shared" si="3"/>
        <v>97.537427696495399</v>
      </c>
      <c r="P38" s="201"/>
      <c r="Q38" s="201"/>
      <c r="R38" s="201"/>
      <c r="S38" s="201"/>
      <c r="T38" s="201"/>
      <c r="U38" s="201"/>
    </row>
    <row r="39" spans="1:21" ht="12" customHeight="1">
      <c r="A39" s="741">
        <v>5</v>
      </c>
      <c r="B39" s="723" t="s">
        <v>164</v>
      </c>
      <c r="C39" s="209">
        <f>+'5. mell. Önk.össz kiadás'!D20+'6. mell. Int.összesen'!D66-C40</f>
        <v>395323</v>
      </c>
      <c r="D39" s="209">
        <f>+'5. mell. Önk.össz kiadás'!E20+'6. mell. Int.összesen'!E66-D40</f>
        <v>442402</v>
      </c>
      <c r="E39" s="209">
        <f>+'5. mell. Önk.össz kiadás'!F20+'6. mell. Int.összesen'!F66-E40</f>
        <v>440352</v>
      </c>
      <c r="F39" s="744">
        <f t="shared" si="3"/>
        <v>99.536620539690148</v>
      </c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</row>
    <row r="40" spans="1:21" ht="12" customHeight="1">
      <c r="A40" s="741">
        <v>6</v>
      </c>
      <c r="B40" s="723" t="s">
        <v>435</v>
      </c>
      <c r="C40" s="209">
        <f>+'5. mell. Önk.össz kiadás'!D21</f>
        <v>468212</v>
      </c>
      <c r="D40" s="209">
        <f>+'5. mell. Önk.össz kiadás'!E21</f>
        <v>314810</v>
      </c>
      <c r="E40" s="209">
        <f>+'5. mell. Önk.össz kiadás'!F21</f>
        <v>0</v>
      </c>
      <c r="F40" s="744">
        <f t="shared" si="3"/>
        <v>0</v>
      </c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</row>
    <row r="41" spans="1:21" ht="12" customHeight="1">
      <c r="A41" s="742" t="s">
        <v>425</v>
      </c>
      <c r="B41" s="208" t="s">
        <v>426</v>
      </c>
      <c r="C41" s="220">
        <f>+C42+C43+C44</f>
        <v>159703</v>
      </c>
      <c r="D41" s="220">
        <f>+D42+D43+D44</f>
        <v>271740</v>
      </c>
      <c r="E41" s="220">
        <f>+E42+E43+E44</f>
        <v>267553</v>
      </c>
      <c r="F41" s="743">
        <f t="shared" si="3"/>
        <v>98.459188930595417</v>
      </c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</row>
    <row r="42" spans="1:21" ht="12" customHeight="1">
      <c r="A42" s="741">
        <v>1</v>
      </c>
      <c r="B42" s="723" t="s">
        <v>162</v>
      </c>
      <c r="C42" s="209">
        <f>+'5. mell. Önk.össz kiadás'!D23+'6. mell. Int.összesen'!D68</f>
        <v>159703</v>
      </c>
      <c r="D42" s="209">
        <f>+'5. mell. Önk.össz kiadás'!E23+'6. mell. Int.összesen'!E68</f>
        <v>234876</v>
      </c>
      <c r="E42" s="209">
        <f>+'5. mell. Önk.össz kiadás'!F23+'6. mell. Int.összesen'!F68</f>
        <v>231550</v>
      </c>
      <c r="F42" s="744">
        <f t="shared" si="3"/>
        <v>98.583933650096228</v>
      </c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</row>
    <row r="43" spans="1:21" ht="12" customHeight="1">
      <c r="A43" s="741">
        <v>2</v>
      </c>
      <c r="B43" s="723" t="s">
        <v>161</v>
      </c>
      <c r="C43" s="209">
        <f>+'5. mell. Önk.össz kiadás'!D25</f>
        <v>0</v>
      </c>
      <c r="D43" s="209">
        <f>+'5. mell. Önk.össz kiadás'!E25</f>
        <v>8732</v>
      </c>
      <c r="E43" s="209">
        <f>+'5. mell. Önk.össz kiadás'!F25</f>
        <v>8732</v>
      </c>
      <c r="F43" s="744">
        <f t="shared" si="3"/>
        <v>100</v>
      </c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</row>
    <row r="44" spans="1:21" ht="12" customHeight="1">
      <c r="A44" s="741">
        <v>3</v>
      </c>
      <c r="B44" s="723" t="s">
        <v>159</v>
      </c>
      <c r="C44" s="209">
        <f>+'5. mell. Önk.össz kiadás'!D27+'6. mell. Int.összesen'!D72</f>
        <v>0</v>
      </c>
      <c r="D44" s="209">
        <f>+'5. mell. Önk.össz kiadás'!E27+'6. mell. Int.összesen'!E72</f>
        <v>28132</v>
      </c>
      <c r="E44" s="209">
        <f>+'5. mell. Önk.össz kiadás'!F27+'6. mell. Int.összesen'!F72</f>
        <v>27271</v>
      </c>
      <c r="F44" s="744">
        <f t="shared" si="3"/>
        <v>96.939428408929331</v>
      </c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</row>
    <row r="45" spans="1:21" s="216" customFormat="1" ht="12" customHeight="1">
      <c r="A45" s="742"/>
      <c r="B45" s="721" t="s">
        <v>422</v>
      </c>
      <c r="C45" s="220">
        <f>+C41+C34</f>
        <v>1529644</v>
      </c>
      <c r="D45" s="220">
        <f>+D41+D34</f>
        <v>1538178</v>
      </c>
      <c r="E45" s="220">
        <f>+E41+E34</f>
        <v>1185149</v>
      </c>
      <c r="F45" s="743">
        <f t="shared" si="3"/>
        <v>77.048885109525685</v>
      </c>
    </row>
    <row r="46" spans="1:21" ht="12" customHeight="1">
      <c r="A46" s="742" t="s">
        <v>427</v>
      </c>
      <c r="B46" s="722" t="s">
        <v>279</v>
      </c>
      <c r="C46" s="220">
        <f>+'5.g. mell. Egyéb tev.'!D96+'5.g. mell. Egyéb tev.'!D97</f>
        <v>6160</v>
      </c>
      <c r="D46" s="220">
        <f>+'5.g. mell. Egyéb tev.'!E96</f>
        <v>6673</v>
      </c>
      <c r="E46" s="220">
        <f>+'5.g. mell. Egyéb tev.'!F96</f>
        <v>6673</v>
      </c>
      <c r="F46" s="743">
        <f t="shared" si="3"/>
        <v>100</v>
      </c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</row>
    <row r="47" spans="1:21" s="216" customFormat="1" ht="12" customHeight="1" thickBot="1">
      <c r="A47" s="1194" t="s">
        <v>423</v>
      </c>
      <c r="B47" s="1195"/>
      <c r="C47" s="1184">
        <f>C46+C45</f>
        <v>1535804</v>
      </c>
      <c r="D47" s="1184">
        <f>D46+D45</f>
        <v>1544851</v>
      </c>
      <c r="E47" s="1184">
        <f>E46+E45</f>
        <v>1191822</v>
      </c>
      <c r="F47" s="1189">
        <f t="shared" si="3"/>
        <v>77.14802268956683</v>
      </c>
    </row>
    <row r="48" spans="1:21" s="202" customFormat="1" ht="12" customHeight="1">
      <c r="A48" s="1185" t="s">
        <v>1293</v>
      </c>
      <c r="B48" s="1186" t="s">
        <v>1294</v>
      </c>
      <c r="C48" s="1187">
        <f>SUM(C49:C50)</f>
        <v>0</v>
      </c>
      <c r="D48" s="1187">
        <f t="shared" ref="D48" si="4">SUM(D49:D50)</f>
        <v>16953</v>
      </c>
      <c r="E48" s="1187">
        <f t="shared" ref="E48" si="5">SUM(E49:E50)</f>
        <v>844453</v>
      </c>
      <c r="F48" s="1190"/>
      <c r="G48" s="97"/>
      <c r="H48" s="97"/>
      <c r="I48" s="97"/>
      <c r="J48" s="97"/>
      <c r="K48" s="97"/>
      <c r="L48" s="97"/>
      <c r="M48" s="97"/>
      <c r="N48" s="97"/>
      <c r="O48" s="97"/>
    </row>
    <row r="49" spans="1:21" s="202" customFormat="1" ht="12" customHeight="1">
      <c r="A49" s="735">
        <v>1</v>
      </c>
      <c r="B49" s="65" t="s">
        <v>1288</v>
      </c>
      <c r="C49" s="86">
        <f>+'5.g. mell. Egyéb tev.'!D97</f>
        <v>0</v>
      </c>
      <c r="D49" s="86">
        <f>+'5.g. mell. Egyéb tev.'!E97</f>
        <v>16953</v>
      </c>
      <c r="E49" s="86">
        <f>+'5.g. mell. Egyéb tev.'!F97</f>
        <v>16953</v>
      </c>
      <c r="F49" s="743"/>
      <c r="G49" s="97"/>
      <c r="H49" s="97"/>
      <c r="I49" s="97"/>
      <c r="J49" s="97"/>
      <c r="K49" s="97"/>
      <c r="L49" s="97"/>
      <c r="M49" s="97"/>
      <c r="N49" s="97"/>
      <c r="O49" s="97"/>
    </row>
    <row r="50" spans="1:21" s="202" customFormat="1" ht="12" customHeight="1">
      <c r="A50" s="736">
        <v>2</v>
      </c>
      <c r="B50" s="65" t="s">
        <v>1308</v>
      </c>
      <c r="C50" s="86">
        <f>+'5.g. mell. Egyéb tev.'!D99</f>
        <v>0</v>
      </c>
      <c r="D50" s="86">
        <f>+'5.g. mell. Egyéb tev.'!E99</f>
        <v>0</v>
      </c>
      <c r="E50" s="86">
        <v>827500</v>
      </c>
      <c r="F50" s="743"/>
      <c r="G50" s="97"/>
      <c r="H50" s="97"/>
      <c r="I50" s="97"/>
      <c r="J50" s="97"/>
      <c r="K50" s="97"/>
      <c r="L50" s="97"/>
      <c r="M50" s="97"/>
      <c r="N50" s="97"/>
      <c r="O50" s="97"/>
    </row>
    <row r="51" spans="1:21" s="202" customFormat="1" ht="16.5" customHeight="1" thickBot="1">
      <c r="A51" s="1204" t="s">
        <v>1296</v>
      </c>
      <c r="B51" s="1205"/>
      <c r="C51" s="738">
        <f>+C47+C48</f>
        <v>1535804</v>
      </c>
      <c r="D51" s="738">
        <f t="shared" ref="D51:E51" si="6">+D47+D48</f>
        <v>1561804</v>
      </c>
      <c r="E51" s="738">
        <f t="shared" si="6"/>
        <v>2036275</v>
      </c>
      <c r="F51" s="746"/>
      <c r="G51" s="97"/>
      <c r="H51" s="97"/>
      <c r="I51" s="97"/>
      <c r="J51" s="97"/>
      <c r="K51" s="97"/>
      <c r="L51" s="97"/>
      <c r="M51" s="97"/>
      <c r="N51" s="97"/>
      <c r="O51" s="97"/>
    </row>
    <row r="52" spans="1:21" s="202" customFormat="1" ht="15.75" customHeight="1">
      <c r="A52" s="1196" t="s">
        <v>317</v>
      </c>
      <c r="B52" s="1196"/>
      <c r="C52" s="1196"/>
      <c r="D52" s="1196"/>
      <c r="E52" s="1196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</row>
    <row r="53" spans="1:21" s="97" customFormat="1" ht="16.5" thickBot="1">
      <c r="A53" s="205"/>
      <c r="B53" s="206"/>
      <c r="C53" s="201"/>
      <c r="D53" s="201"/>
      <c r="E53" s="201"/>
    </row>
    <row r="54" spans="1:21" ht="21.75" thickBot="1">
      <c r="A54" s="748">
        <v>1</v>
      </c>
      <c r="B54" s="749" t="s">
        <v>428</v>
      </c>
      <c r="C54" s="750">
        <f>+C19-C45</f>
        <v>-574662</v>
      </c>
      <c r="D54" s="750">
        <f>+D19-D45</f>
        <v>-452629</v>
      </c>
      <c r="E54" s="750">
        <f>+E19-E45</f>
        <v>-59567</v>
      </c>
      <c r="F54" s="751"/>
    </row>
    <row r="55" spans="1:21">
      <c r="A55" s="204"/>
      <c r="B55" s="97"/>
      <c r="C55" s="97"/>
      <c r="D55" s="97"/>
      <c r="E55" s="97"/>
      <c r="F55" s="760"/>
    </row>
    <row r="56" spans="1:21">
      <c r="A56" s="1196" t="s">
        <v>318</v>
      </c>
      <c r="B56" s="1196"/>
      <c r="C56" s="1196"/>
      <c r="D56" s="1196"/>
      <c r="E56" s="1196"/>
      <c r="F56" s="747"/>
    </row>
    <row r="57" spans="1:21" ht="16.5" thickBot="1">
      <c r="A57" s="205" t="s">
        <v>319</v>
      </c>
      <c r="B57" s="206"/>
      <c r="F57" s="761"/>
    </row>
    <row r="58" spans="1:21">
      <c r="A58" s="752" t="s">
        <v>310</v>
      </c>
      <c r="B58" s="753" t="s">
        <v>320</v>
      </c>
      <c r="C58" s="754">
        <f>+C59-C60</f>
        <v>574662</v>
      </c>
      <c r="D58" s="754">
        <f>+D59-D60</f>
        <v>469582</v>
      </c>
      <c r="E58" s="754">
        <f>+E59-E60</f>
        <v>469582</v>
      </c>
      <c r="F58" s="762"/>
    </row>
    <row r="59" spans="1:21">
      <c r="A59" s="755" t="s">
        <v>314</v>
      </c>
      <c r="B59" s="95" t="s">
        <v>429</v>
      </c>
      <c r="C59" s="96">
        <f>+C20</f>
        <v>580822</v>
      </c>
      <c r="D59" s="96">
        <f t="shared" ref="D59" si="7">+D20</f>
        <v>476255</v>
      </c>
      <c r="E59" s="96">
        <f>+E20</f>
        <v>476255</v>
      </c>
      <c r="F59" s="763"/>
    </row>
    <row r="60" spans="1:21" ht="16.5" thickBot="1">
      <c r="A60" s="756" t="s">
        <v>315</v>
      </c>
      <c r="B60" s="757" t="s">
        <v>430</v>
      </c>
      <c r="C60" s="758">
        <f>+C46</f>
        <v>6160</v>
      </c>
      <c r="D60" s="758">
        <f t="shared" ref="D60" si="8">+D46</f>
        <v>6673</v>
      </c>
      <c r="E60" s="758">
        <f>+E46</f>
        <v>6673</v>
      </c>
      <c r="F60" s="764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</row>
    <row r="61" spans="1:21">
      <c r="A61" s="204"/>
      <c r="B61" s="97"/>
      <c r="C61" s="97"/>
      <c r="D61" s="97"/>
      <c r="E61" s="97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</row>
    <row r="62" spans="1:21" ht="16.5" thickBot="1">
      <c r="A62" s="205" t="s">
        <v>321</v>
      </c>
      <c r="B62" s="206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</row>
    <row r="63" spans="1:21" ht="16.5" thickBot="1">
      <c r="A63" s="748"/>
      <c r="B63" s="749" t="s">
        <v>670</v>
      </c>
      <c r="C63" s="750">
        <f>+C25-C47</f>
        <v>0</v>
      </c>
      <c r="D63" s="750">
        <f t="shared" ref="D63" si="9">+D25-D47</f>
        <v>16953</v>
      </c>
      <c r="E63" s="750">
        <f>+E25-E47</f>
        <v>410015</v>
      </c>
      <c r="F63" s="759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</row>
    <row r="64" spans="1:21">
      <c r="A64" s="204"/>
      <c r="B64" s="97"/>
      <c r="C64" s="97"/>
      <c r="D64" s="97"/>
      <c r="E64" s="97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</row>
    <row r="65" spans="1:21">
      <c r="A65" s="204"/>
      <c r="B65" s="97"/>
      <c r="C65" s="97"/>
      <c r="D65" s="97"/>
      <c r="E65" s="97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</row>
    <row r="66" spans="1:21">
      <c r="A66" s="204"/>
      <c r="B66" s="97"/>
      <c r="C66" s="97"/>
      <c r="D66" s="97"/>
      <c r="E66" s="97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</row>
    <row r="67" spans="1:21">
      <c r="A67" s="204"/>
      <c r="B67" s="97"/>
      <c r="C67" s="97"/>
      <c r="D67" s="97"/>
      <c r="E67" s="97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</row>
    <row r="68" spans="1:21">
      <c r="A68" s="204"/>
      <c r="B68" s="97"/>
      <c r="C68" s="97"/>
      <c r="D68" s="97"/>
      <c r="E68" s="97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</row>
    <row r="69" spans="1:21">
      <c r="A69" s="204"/>
      <c r="B69" s="97"/>
      <c r="C69" s="97"/>
      <c r="D69" s="97"/>
      <c r="E69" s="97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</row>
    <row r="70" spans="1:21">
      <c r="A70" s="204"/>
      <c r="B70" s="97"/>
      <c r="C70" s="97"/>
      <c r="D70" s="97"/>
      <c r="E70" s="97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</row>
    <row r="71" spans="1:21">
      <c r="A71" s="204"/>
      <c r="B71" s="97"/>
      <c r="C71" s="97"/>
      <c r="D71" s="97"/>
      <c r="E71" s="97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</row>
    <row r="72" spans="1:21">
      <c r="A72" s="204"/>
      <c r="B72" s="97"/>
      <c r="C72" s="97"/>
      <c r="D72" s="97"/>
      <c r="E72" s="97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</row>
    <row r="73" spans="1:21">
      <c r="A73" s="204"/>
      <c r="B73" s="97"/>
      <c r="C73" s="97"/>
      <c r="D73" s="97"/>
      <c r="E73" s="97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</row>
    <row r="74" spans="1:21">
      <c r="A74" s="204"/>
      <c r="B74" s="97"/>
      <c r="C74" s="97"/>
      <c r="D74" s="97"/>
      <c r="E74" s="97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</row>
    <row r="75" spans="1:21">
      <c r="A75" s="204"/>
      <c r="B75" s="97"/>
      <c r="C75" s="97"/>
      <c r="D75" s="97"/>
      <c r="E75" s="97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</row>
    <row r="76" spans="1:21">
      <c r="A76" s="204"/>
      <c r="B76" s="97"/>
      <c r="C76" s="97"/>
      <c r="D76" s="97"/>
      <c r="E76" s="97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</row>
    <row r="77" spans="1:21">
      <c r="A77" s="204"/>
      <c r="B77" s="97"/>
      <c r="C77" s="97"/>
      <c r="D77" s="97"/>
      <c r="E77" s="97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</row>
    <row r="78" spans="1:21">
      <c r="A78" s="204"/>
      <c r="B78" s="97"/>
      <c r="C78" s="97"/>
      <c r="D78" s="97"/>
      <c r="E78" s="97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</row>
    <row r="79" spans="1:21">
      <c r="A79" s="204"/>
      <c r="B79" s="97"/>
      <c r="C79" s="97"/>
      <c r="D79" s="97"/>
      <c r="E79" s="97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</row>
    <row r="80" spans="1:21">
      <c r="A80" s="204"/>
      <c r="B80" s="97"/>
      <c r="C80" s="97"/>
      <c r="D80" s="97"/>
      <c r="E80" s="97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</row>
    <row r="81" spans="1:21">
      <c r="A81" s="204"/>
      <c r="B81" s="97"/>
      <c r="C81" s="97"/>
      <c r="D81" s="97"/>
      <c r="E81" s="97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</row>
    <row r="82" spans="1:21">
      <c r="A82" s="204"/>
      <c r="B82" s="97"/>
      <c r="C82" s="97"/>
      <c r="D82" s="97"/>
      <c r="E82" s="97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</row>
    <row r="83" spans="1:21">
      <c r="A83" s="204"/>
      <c r="B83" s="97"/>
      <c r="C83" s="97"/>
      <c r="D83" s="97"/>
      <c r="E83" s="97"/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</row>
    <row r="84" spans="1:21">
      <c r="A84" s="204"/>
      <c r="B84" s="97"/>
      <c r="C84" s="97"/>
      <c r="D84" s="97"/>
      <c r="E84" s="97"/>
      <c r="F84" s="201"/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</row>
    <row r="85" spans="1:21">
      <c r="A85" s="204"/>
      <c r="B85" s="97"/>
      <c r="C85" s="97"/>
      <c r="D85" s="97"/>
      <c r="E85" s="97"/>
      <c r="F85" s="201"/>
      <c r="G85" s="201"/>
      <c r="H85" s="201"/>
      <c r="I85" s="201"/>
      <c r="J85" s="201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</row>
    <row r="86" spans="1:21">
      <c r="A86" s="204"/>
      <c r="B86" s="97"/>
      <c r="C86" s="97"/>
      <c r="D86" s="97"/>
      <c r="E86" s="97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</row>
    <row r="87" spans="1:21">
      <c r="A87" s="204"/>
      <c r="B87" s="97"/>
      <c r="C87" s="97"/>
      <c r="D87" s="97"/>
      <c r="E87" s="97"/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</row>
    <row r="88" spans="1:21">
      <c r="A88" s="204"/>
      <c r="B88" s="97"/>
      <c r="C88" s="97"/>
      <c r="D88" s="97"/>
      <c r="E88" s="97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</row>
    <row r="89" spans="1:21">
      <c r="A89" s="204"/>
      <c r="B89" s="97"/>
      <c r="C89" s="97"/>
      <c r="D89" s="97"/>
      <c r="E89" s="97"/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</row>
    <row r="90" spans="1:21">
      <c r="A90" s="204"/>
      <c r="B90" s="97"/>
      <c r="C90" s="97"/>
      <c r="D90" s="97"/>
      <c r="E90" s="97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</row>
    <row r="91" spans="1:21">
      <c r="A91" s="204"/>
      <c r="B91" s="97"/>
      <c r="C91" s="97"/>
      <c r="D91" s="97"/>
      <c r="E91" s="97"/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1"/>
      <c r="Q91" s="201"/>
      <c r="R91" s="201"/>
      <c r="S91" s="201"/>
      <c r="T91" s="201"/>
      <c r="U91" s="201"/>
    </row>
    <row r="92" spans="1:21">
      <c r="A92" s="204"/>
      <c r="B92" s="97"/>
      <c r="C92" s="97"/>
      <c r="D92" s="97"/>
      <c r="E92" s="97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</row>
    <row r="93" spans="1:21">
      <c r="A93" s="204"/>
      <c r="B93" s="97"/>
      <c r="C93" s="97"/>
      <c r="D93" s="97"/>
      <c r="E93" s="97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</row>
    <row r="94" spans="1:21">
      <c r="A94" s="204"/>
      <c r="B94" s="97"/>
      <c r="C94" s="97"/>
      <c r="D94" s="97"/>
      <c r="E94" s="97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</row>
    <row r="95" spans="1:21">
      <c r="A95" s="204"/>
      <c r="B95" s="97"/>
      <c r="C95" s="97"/>
      <c r="D95" s="97"/>
      <c r="E95" s="97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</row>
    <row r="96" spans="1:21">
      <c r="A96" s="204"/>
      <c r="B96" s="97"/>
      <c r="C96" s="97"/>
      <c r="D96" s="97"/>
      <c r="E96" s="97"/>
      <c r="F96" s="201"/>
      <c r="G96" s="201"/>
      <c r="H96" s="201"/>
      <c r="I96" s="201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</row>
    <row r="97" spans="1:21">
      <c r="A97" s="204"/>
      <c r="B97" s="97"/>
      <c r="C97" s="97"/>
      <c r="D97" s="97"/>
      <c r="E97" s="97"/>
      <c r="F97" s="201"/>
      <c r="G97" s="201"/>
      <c r="H97" s="201"/>
      <c r="I97" s="201"/>
      <c r="J97" s="201"/>
      <c r="K97" s="201"/>
      <c r="L97" s="201"/>
      <c r="M97" s="201"/>
      <c r="N97" s="201"/>
      <c r="O97" s="201"/>
      <c r="P97" s="201"/>
      <c r="Q97" s="201"/>
      <c r="R97" s="201"/>
      <c r="S97" s="201"/>
      <c r="T97" s="201"/>
      <c r="U97" s="201"/>
    </row>
    <row r="98" spans="1:21">
      <c r="A98" s="204"/>
      <c r="B98" s="97"/>
      <c r="C98" s="97"/>
      <c r="D98" s="97"/>
      <c r="E98" s="97"/>
      <c r="F98" s="201"/>
      <c r="G98" s="201"/>
      <c r="H98" s="201"/>
      <c r="I98" s="201"/>
      <c r="J98" s="201"/>
      <c r="K98" s="201"/>
      <c r="L98" s="201"/>
      <c r="M98" s="201"/>
      <c r="N98" s="201"/>
      <c r="O98" s="201"/>
      <c r="P98" s="201"/>
      <c r="Q98" s="201"/>
      <c r="R98" s="201"/>
      <c r="S98" s="201"/>
      <c r="T98" s="201"/>
      <c r="U98" s="201"/>
    </row>
    <row r="99" spans="1:21">
      <c r="A99" s="204"/>
      <c r="B99" s="97"/>
      <c r="C99" s="97"/>
      <c r="D99" s="97"/>
      <c r="E99" s="97"/>
      <c r="F99" s="201"/>
      <c r="G99" s="201"/>
      <c r="H99" s="201"/>
      <c r="I99" s="201"/>
      <c r="J99" s="201"/>
      <c r="K99" s="201"/>
      <c r="L99" s="201"/>
      <c r="M99" s="201"/>
      <c r="N99" s="201"/>
      <c r="O99" s="201"/>
      <c r="P99" s="201"/>
      <c r="Q99" s="201"/>
      <c r="R99" s="201"/>
      <c r="S99" s="201"/>
      <c r="T99" s="201"/>
      <c r="U99" s="201"/>
    </row>
    <row r="100" spans="1:21">
      <c r="A100" s="204"/>
      <c r="B100" s="97"/>
      <c r="C100" s="97"/>
      <c r="D100" s="97"/>
      <c r="E100" s="97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1"/>
    </row>
    <row r="101" spans="1:21">
      <c r="A101" s="204"/>
      <c r="B101" s="97"/>
      <c r="C101" s="97"/>
      <c r="D101" s="97"/>
      <c r="E101" s="97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201"/>
    </row>
    <row r="102" spans="1:21">
      <c r="A102" s="204"/>
      <c r="B102" s="97"/>
      <c r="C102" s="97"/>
      <c r="D102" s="97"/>
      <c r="E102" s="97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201"/>
    </row>
    <row r="103" spans="1:21">
      <c r="A103" s="204"/>
      <c r="B103" s="97"/>
      <c r="C103" s="97"/>
      <c r="D103" s="97"/>
      <c r="E103" s="97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1"/>
      <c r="U103" s="201"/>
    </row>
    <row r="104" spans="1:21">
      <c r="A104" s="204"/>
      <c r="B104" s="97"/>
      <c r="C104" s="97"/>
      <c r="D104" s="97"/>
      <c r="E104" s="97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  <c r="P104" s="201"/>
      <c r="Q104" s="201"/>
      <c r="R104" s="201"/>
      <c r="S104" s="201"/>
      <c r="T104" s="201"/>
      <c r="U104" s="201"/>
    </row>
    <row r="105" spans="1:21">
      <c r="A105" s="204"/>
      <c r="B105" s="97"/>
      <c r="C105" s="97"/>
      <c r="D105" s="97"/>
      <c r="E105" s="97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1"/>
      <c r="U105" s="201"/>
    </row>
    <row r="106" spans="1:21">
      <c r="A106" s="204"/>
      <c r="B106" s="97"/>
      <c r="C106" s="97"/>
      <c r="D106" s="97"/>
      <c r="E106" s="97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1"/>
    </row>
    <row r="107" spans="1:21">
      <c r="A107" s="204"/>
      <c r="B107" s="97"/>
      <c r="C107" s="97"/>
      <c r="D107" s="97"/>
      <c r="E107" s="97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  <c r="P107" s="201"/>
      <c r="Q107" s="201"/>
      <c r="R107" s="201"/>
      <c r="S107" s="201"/>
      <c r="T107" s="201"/>
      <c r="U107" s="201"/>
    </row>
    <row r="108" spans="1:21">
      <c r="A108" s="204"/>
      <c r="B108" s="97"/>
      <c r="C108" s="97"/>
      <c r="D108" s="97"/>
      <c r="E108" s="97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  <c r="P108" s="201"/>
      <c r="Q108" s="201"/>
      <c r="R108" s="201"/>
      <c r="S108" s="201"/>
      <c r="T108" s="201"/>
      <c r="U108" s="201"/>
    </row>
    <row r="109" spans="1:21">
      <c r="A109" s="204"/>
      <c r="B109" s="97"/>
      <c r="C109" s="97"/>
      <c r="D109" s="97"/>
      <c r="E109" s="97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  <c r="P109" s="201"/>
      <c r="Q109" s="201"/>
      <c r="R109" s="201"/>
      <c r="S109" s="201"/>
      <c r="T109" s="201"/>
      <c r="U109" s="201"/>
    </row>
    <row r="110" spans="1:21">
      <c r="A110" s="204"/>
      <c r="B110" s="97"/>
      <c r="C110" s="97"/>
      <c r="D110" s="97"/>
      <c r="E110" s="97"/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1"/>
    </row>
    <row r="111" spans="1:21">
      <c r="A111" s="204"/>
      <c r="B111" s="97"/>
      <c r="C111" s="97"/>
      <c r="D111" s="97"/>
      <c r="E111" s="97"/>
      <c r="F111" s="201"/>
      <c r="G111" s="201"/>
      <c r="H111" s="201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1"/>
    </row>
    <row r="112" spans="1:21">
      <c r="A112" s="204"/>
      <c r="B112" s="97"/>
      <c r="C112" s="97"/>
      <c r="D112" s="97"/>
      <c r="E112" s="97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</row>
    <row r="113" spans="1:21">
      <c r="A113" s="204"/>
      <c r="B113" s="97"/>
      <c r="C113" s="97"/>
      <c r="D113" s="97"/>
      <c r="E113" s="97"/>
      <c r="F113" s="201"/>
      <c r="G113" s="201"/>
      <c r="H113" s="201"/>
      <c r="I113" s="201"/>
      <c r="J113" s="201"/>
      <c r="K113" s="201"/>
      <c r="L113" s="201"/>
      <c r="M113" s="201"/>
      <c r="N113" s="201"/>
      <c r="O113" s="201"/>
      <c r="P113" s="201"/>
      <c r="Q113" s="201"/>
      <c r="R113" s="201"/>
      <c r="S113" s="201"/>
      <c r="T113" s="201"/>
      <c r="U113" s="201"/>
    </row>
    <row r="114" spans="1:21">
      <c r="A114" s="204"/>
      <c r="B114" s="97"/>
      <c r="C114" s="97"/>
      <c r="D114" s="97"/>
      <c r="E114" s="97"/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201"/>
    </row>
    <row r="115" spans="1:21">
      <c r="A115" s="204"/>
      <c r="B115" s="97"/>
      <c r="C115" s="97"/>
      <c r="D115" s="97"/>
      <c r="E115" s="97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  <c r="P115" s="201"/>
      <c r="Q115" s="201"/>
      <c r="R115" s="201"/>
      <c r="S115" s="201"/>
      <c r="T115" s="201"/>
      <c r="U115" s="201"/>
    </row>
    <row r="116" spans="1:21">
      <c r="A116" s="204"/>
      <c r="B116" s="97"/>
      <c r="C116" s="97"/>
      <c r="D116" s="97"/>
      <c r="E116" s="97"/>
      <c r="F116" s="201"/>
      <c r="G116" s="201"/>
      <c r="H116" s="201"/>
      <c r="I116" s="201"/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1"/>
    </row>
    <row r="117" spans="1:21">
      <c r="A117" s="204"/>
      <c r="B117" s="97"/>
      <c r="C117" s="97"/>
      <c r="D117" s="97"/>
      <c r="E117" s="97"/>
      <c r="F117" s="201"/>
      <c r="G117" s="201"/>
      <c r="H117" s="201"/>
      <c r="I117" s="201"/>
      <c r="J117" s="201"/>
      <c r="K117" s="201"/>
      <c r="L117" s="201"/>
      <c r="M117" s="201"/>
      <c r="N117" s="201"/>
      <c r="O117" s="201"/>
      <c r="P117" s="201"/>
      <c r="Q117" s="201"/>
      <c r="R117" s="201"/>
      <c r="S117" s="201"/>
      <c r="T117" s="201"/>
      <c r="U117" s="201"/>
    </row>
    <row r="118" spans="1:21">
      <c r="A118" s="204"/>
      <c r="B118" s="97"/>
      <c r="C118" s="97"/>
      <c r="D118" s="97"/>
      <c r="E118" s="97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201"/>
      <c r="T118" s="201"/>
      <c r="U118" s="201"/>
    </row>
    <row r="119" spans="1:21">
      <c r="A119" s="204"/>
      <c r="B119" s="97"/>
      <c r="C119" s="97"/>
      <c r="D119" s="97"/>
      <c r="E119" s="97"/>
      <c r="F119" s="201"/>
      <c r="G119" s="201"/>
      <c r="H119" s="201"/>
      <c r="I119" s="201"/>
      <c r="J119" s="201"/>
      <c r="K119" s="201"/>
      <c r="L119" s="201"/>
      <c r="M119" s="201"/>
      <c r="N119" s="201"/>
      <c r="O119" s="201"/>
      <c r="P119" s="201"/>
      <c r="Q119" s="201"/>
      <c r="R119" s="201"/>
      <c r="S119" s="201"/>
      <c r="T119" s="201"/>
      <c r="U119" s="201"/>
    </row>
    <row r="120" spans="1:21">
      <c r="A120" s="204"/>
      <c r="B120" s="97"/>
      <c r="C120" s="97"/>
      <c r="D120" s="97"/>
      <c r="E120" s="97"/>
      <c r="F120" s="201"/>
      <c r="G120" s="201"/>
      <c r="H120" s="201"/>
      <c r="I120" s="201"/>
      <c r="J120" s="201"/>
      <c r="K120" s="201"/>
      <c r="L120" s="201"/>
      <c r="M120" s="201"/>
      <c r="N120" s="201"/>
      <c r="O120" s="201"/>
      <c r="P120" s="201"/>
      <c r="Q120" s="201"/>
      <c r="R120" s="201"/>
      <c r="S120" s="201"/>
      <c r="T120" s="201"/>
      <c r="U120" s="201"/>
    </row>
    <row r="121" spans="1:21">
      <c r="A121" s="204"/>
      <c r="B121" s="97"/>
      <c r="C121" s="97"/>
      <c r="D121" s="97"/>
      <c r="E121" s="97"/>
      <c r="F121" s="201"/>
      <c r="G121" s="201"/>
      <c r="H121" s="201"/>
      <c r="I121" s="201"/>
      <c r="J121" s="201"/>
      <c r="K121" s="201"/>
      <c r="L121" s="201"/>
      <c r="M121" s="201"/>
      <c r="N121" s="201"/>
      <c r="O121" s="201"/>
      <c r="P121" s="201"/>
      <c r="Q121" s="201"/>
      <c r="R121" s="201"/>
      <c r="S121" s="201"/>
      <c r="T121" s="201"/>
      <c r="U121" s="201"/>
    </row>
    <row r="122" spans="1:21">
      <c r="A122" s="204"/>
      <c r="B122" s="97"/>
      <c r="C122" s="97"/>
      <c r="D122" s="97"/>
      <c r="E122" s="97"/>
      <c r="F122" s="201"/>
      <c r="G122" s="201"/>
      <c r="H122" s="201"/>
      <c r="I122" s="201"/>
      <c r="J122" s="201"/>
      <c r="K122" s="201"/>
      <c r="L122" s="201"/>
      <c r="M122" s="201"/>
      <c r="N122" s="201"/>
      <c r="O122" s="201"/>
      <c r="P122" s="201"/>
      <c r="Q122" s="201"/>
      <c r="R122" s="201"/>
      <c r="S122" s="201"/>
      <c r="T122" s="201"/>
      <c r="U122" s="201"/>
    </row>
    <row r="123" spans="1:21">
      <c r="A123" s="204"/>
      <c r="B123" s="97"/>
      <c r="C123" s="97"/>
      <c r="D123" s="97"/>
      <c r="E123" s="97"/>
      <c r="F123" s="201"/>
      <c r="G123" s="201"/>
      <c r="H123" s="201"/>
      <c r="I123" s="201"/>
      <c r="J123" s="201"/>
      <c r="K123" s="201"/>
      <c r="L123" s="201"/>
      <c r="M123" s="201"/>
      <c r="N123" s="201"/>
      <c r="O123" s="201"/>
      <c r="P123" s="201"/>
      <c r="Q123" s="201"/>
      <c r="R123" s="201"/>
      <c r="S123" s="201"/>
      <c r="T123" s="201"/>
      <c r="U123" s="201"/>
    </row>
    <row r="124" spans="1:21" s="97" customFormat="1" ht="11.25">
      <c r="A124" s="204"/>
    </row>
    <row r="125" spans="1:21" s="97" customFormat="1" ht="11.25">
      <c r="A125" s="204"/>
    </row>
    <row r="126" spans="1:21" s="97" customFormat="1" ht="11.25">
      <c r="A126" s="204"/>
    </row>
    <row r="127" spans="1:21" s="97" customFormat="1" ht="11.25">
      <c r="A127" s="204"/>
    </row>
    <row r="128" spans="1:21" s="97" customFormat="1" ht="11.25">
      <c r="A128" s="204"/>
    </row>
    <row r="129" spans="1:5" s="97" customFormat="1" ht="11.25">
      <c r="A129" s="204"/>
    </row>
    <row r="130" spans="1:5" s="97" customFormat="1" ht="11.25">
      <c r="A130" s="204"/>
    </row>
    <row r="131" spans="1:5" s="97" customFormat="1" ht="11.25">
      <c r="A131" s="204"/>
    </row>
    <row r="132" spans="1:5" s="97" customFormat="1" ht="11.25">
      <c r="A132" s="204"/>
    </row>
    <row r="133" spans="1:5" s="97" customFormat="1" ht="11.25">
      <c r="A133" s="204"/>
    </row>
    <row r="134" spans="1:5" s="97" customFormat="1" ht="11.25">
      <c r="A134" s="204"/>
    </row>
    <row r="135" spans="1:5" s="97" customFormat="1">
      <c r="A135" s="207"/>
      <c r="B135" s="201"/>
      <c r="C135" s="201"/>
      <c r="D135" s="201"/>
      <c r="E135" s="201"/>
    </row>
    <row r="136" spans="1:5" s="97" customFormat="1">
      <c r="A136" s="207"/>
      <c r="B136" s="201"/>
      <c r="C136" s="201"/>
      <c r="D136" s="201"/>
      <c r="E136" s="201"/>
    </row>
  </sheetData>
  <mergeCells count="10">
    <mergeCell ref="A25:B25"/>
    <mergeCell ref="A47:B47"/>
    <mergeCell ref="A52:E52"/>
    <mergeCell ref="A56:E56"/>
    <mergeCell ref="A2:B2"/>
    <mergeCell ref="A31:E31"/>
    <mergeCell ref="A32:B32"/>
    <mergeCell ref="C2:F2"/>
    <mergeCell ref="A29:B29"/>
    <mergeCell ref="A51:B5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&amp;C&amp;"Times New Roman,Félkövér"&amp;12Martonvásár Város ÖnkormányzatánakKÖLTSÉGVETÉSI PÉNZÜGYI MÉRLEGE I.&amp;R&amp;"Times New Roman,Normál"&amp;10 1.melléklet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X88"/>
  <sheetViews>
    <sheetView view="pageLayout" topLeftCell="A16" workbookViewId="0">
      <selection activeCell="I30" sqref="I30"/>
    </sheetView>
  </sheetViews>
  <sheetFormatPr defaultColWidth="8.7109375" defaultRowHeight="15"/>
  <cols>
    <col min="1" max="1" width="7.140625" style="277" customWidth="1"/>
    <col min="2" max="2" width="7.140625" style="278" customWidth="1"/>
    <col min="3" max="3" width="19.7109375" style="278" customWidth="1"/>
    <col min="4" max="4" width="7.7109375" style="279" customWidth="1"/>
    <col min="5" max="5" width="7.140625" style="279" customWidth="1"/>
    <col min="6" max="7" width="7.7109375" style="279" customWidth="1"/>
    <col min="8" max="8" width="6.42578125" style="279" customWidth="1"/>
    <col min="9" max="9" width="7.42578125" style="279" customWidth="1"/>
    <col min="10" max="10" width="6.85546875" style="279" customWidth="1"/>
    <col min="11" max="11" width="7.7109375" style="279" customWidth="1"/>
    <col min="12" max="12" width="7.28515625" style="279" customWidth="1"/>
    <col min="13" max="13" width="7" style="279" customWidth="1"/>
    <col min="14" max="14" width="6.5703125" style="279" customWidth="1"/>
    <col min="15" max="15" width="7" style="279" customWidth="1"/>
    <col min="16" max="16" width="7.42578125" style="279" customWidth="1"/>
    <col min="17" max="17" width="7.28515625" style="279" customWidth="1"/>
    <col min="18" max="18" width="7" style="279" customWidth="1"/>
    <col min="19" max="19" width="7.7109375" style="279" hidden="1" customWidth="1"/>
    <col min="20" max="20" width="7.28515625" style="279" hidden="1" customWidth="1"/>
    <col min="21" max="21" width="7" style="279" hidden="1" customWidth="1"/>
    <col min="22" max="22" width="7.7109375" style="279" customWidth="1"/>
    <col min="23" max="23" width="6.42578125" style="279" customWidth="1"/>
    <col min="24" max="24" width="6.5703125" style="279" customWidth="1"/>
    <col min="25" max="16384" width="8.7109375" style="235"/>
  </cols>
  <sheetData>
    <row r="1" spans="1:24">
      <c r="A1" s="236"/>
      <c r="B1" s="237"/>
      <c r="C1" s="237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1382" t="s">
        <v>404</v>
      </c>
      <c r="W1" s="1382"/>
      <c r="X1" s="1382"/>
    </row>
    <row r="2" spans="1:24" ht="42" customHeight="1">
      <c r="A2" s="1380" t="s">
        <v>0</v>
      </c>
      <c r="B2" s="1380" t="s">
        <v>181</v>
      </c>
      <c r="C2" s="1380"/>
      <c r="D2" s="1374" t="s">
        <v>179</v>
      </c>
      <c r="E2" s="1375"/>
      <c r="F2" s="1376"/>
      <c r="G2" s="1373" t="s">
        <v>298</v>
      </c>
      <c r="H2" s="1373"/>
      <c r="I2" s="1373"/>
      <c r="J2" s="1373" t="s">
        <v>299</v>
      </c>
      <c r="K2" s="1373"/>
      <c r="L2" s="1373"/>
      <c r="M2" s="1373" t="s">
        <v>300</v>
      </c>
      <c r="N2" s="1373"/>
      <c r="O2" s="1373"/>
      <c r="P2" s="1373" t="s">
        <v>301</v>
      </c>
      <c r="Q2" s="1373"/>
      <c r="R2" s="1373"/>
      <c r="S2" s="1373" t="s">
        <v>301</v>
      </c>
      <c r="T2" s="1373"/>
      <c r="U2" s="1373"/>
      <c r="V2" s="1373" t="s">
        <v>303</v>
      </c>
      <c r="W2" s="1373"/>
      <c r="X2" s="1373"/>
    </row>
    <row r="3" spans="1:24">
      <c r="A3" s="1380"/>
      <c r="B3" s="1380"/>
      <c r="C3" s="1380"/>
      <c r="D3" s="1374"/>
      <c r="E3" s="1375"/>
      <c r="F3" s="1376"/>
      <c r="G3" s="1373" t="s">
        <v>188</v>
      </c>
      <c r="H3" s="1373"/>
      <c r="I3" s="1373"/>
      <c r="J3" s="1373" t="s">
        <v>188</v>
      </c>
      <c r="K3" s="1373"/>
      <c r="L3" s="1373"/>
      <c r="M3" s="1373" t="s">
        <v>188</v>
      </c>
      <c r="N3" s="1373"/>
      <c r="O3" s="1373"/>
      <c r="P3" s="1373" t="s">
        <v>188</v>
      </c>
      <c r="Q3" s="1373"/>
      <c r="R3" s="1373"/>
      <c r="S3" s="1373" t="s">
        <v>296</v>
      </c>
      <c r="T3" s="1373"/>
      <c r="U3" s="1373"/>
      <c r="V3" s="1373" t="s">
        <v>189</v>
      </c>
      <c r="W3" s="1373"/>
      <c r="X3" s="1373"/>
    </row>
    <row r="4" spans="1:24" s="239" customFormat="1" ht="25.5" customHeight="1">
      <c r="A4" s="1380"/>
      <c r="B4" s="1380"/>
      <c r="C4" s="1380"/>
      <c r="D4" s="412" t="s">
        <v>178</v>
      </c>
      <c r="E4" s="550" t="s">
        <v>672</v>
      </c>
      <c r="F4" s="550" t="s">
        <v>747</v>
      </c>
      <c r="G4" s="412" t="s">
        <v>178</v>
      </c>
      <c r="H4" s="550" t="s">
        <v>672</v>
      </c>
      <c r="I4" s="550" t="s">
        <v>747</v>
      </c>
      <c r="J4" s="412" t="s">
        <v>178</v>
      </c>
      <c r="K4" s="550" t="s">
        <v>672</v>
      </c>
      <c r="L4" s="550" t="s">
        <v>747</v>
      </c>
      <c r="M4" s="412" t="s">
        <v>178</v>
      </c>
      <c r="N4" s="550" t="s">
        <v>672</v>
      </c>
      <c r="O4" s="550" t="s">
        <v>747</v>
      </c>
      <c r="P4" s="412" t="s">
        <v>178</v>
      </c>
      <c r="Q4" s="550" t="s">
        <v>672</v>
      </c>
      <c r="R4" s="550" t="s">
        <v>747</v>
      </c>
      <c r="S4" s="412" t="s">
        <v>178</v>
      </c>
      <c r="T4" s="550" t="s">
        <v>672</v>
      </c>
      <c r="U4" s="550" t="s">
        <v>747</v>
      </c>
      <c r="V4" s="412" t="s">
        <v>178</v>
      </c>
      <c r="W4" s="550" t="s">
        <v>672</v>
      </c>
      <c r="X4" s="550" t="s">
        <v>747</v>
      </c>
    </row>
    <row r="5" spans="1:24">
      <c r="A5" s="240" t="s">
        <v>2</v>
      </c>
      <c r="B5" s="1378" t="s">
        <v>1</v>
      </c>
      <c r="C5" s="1378"/>
      <c r="D5" s="241">
        <f>+G5+J5+M5+S5+V5+P5</f>
        <v>13698</v>
      </c>
      <c r="E5" s="323">
        <f t="shared" ref="E5:F18" si="0">+H5+K5+N5+T5+W5+Q5</f>
        <v>11484</v>
      </c>
      <c r="F5" s="323">
        <f t="shared" si="0"/>
        <v>11474</v>
      </c>
      <c r="G5" s="241">
        <v>6653</v>
      </c>
      <c r="H5" s="241">
        <v>6121</v>
      </c>
      <c r="I5" s="241">
        <v>6116</v>
      </c>
      <c r="J5" s="241">
        <v>3406</v>
      </c>
      <c r="K5" s="241">
        <v>3409</v>
      </c>
      <c r="L5" s="241">
        <v>3409</v>
      </c>
      <c r="M5" s="241">
        <v>1069</v>
      </c>
      <c r="N5" s="241">
        <v>843</v>
      </c>
      <c r="O5" s="241">
        <v>838</v>
      </c>
      <c r="P5" s="241">
        <v>2570</v>
      </c>
      <c r="Q5" s="241">
        <v>1111</v>
      </c>
      <c r="R5" s="241">
        <v>1111</v>
      </c>
      <c r="S5" s="241"/>
      <c r="T5" s="241"/>
      <c r="U5" s="241"/>
      <c r="V5" s="241"/>
      <c r="W5" s="241"/>
      <c r="X5" s="241"/>
    </row>
    <row r="6" spans="1:24">
      <c r="A6" s="240" t="s">
        <v>4</v>
      </c>
      <c r="B6" s="1378" t="s">
        <v>3</v>
      </c>
      <c r="C6" s="1378"/>
      <c r="D6" s="241">
        <f t="shared" ref="D6:D23" si="1">+G6+J6+M6+S6+V6+P6</f>
        <v>0</v>
      </c>
      <c r="E6" s="323">
        <f t="shared" si="0"/>
        <v>0</v>
      </c>
      <c r="F6" s="323">
        <f t="shared" si="0"/>
        <v>0</v>
      </c>
      <c r="G6" s="241"/>
      <c r="H6" s="241"/>
      <c r="I6" s="323"/>
      <c r="J6" s="241"/>
      <c r="K6" s="241"/>
      <c r="L6" s="323"/>
      <c r="M6" s="241"/>
      <c r="N6" s="241"/>
      <c r="O6" s="323"/>
      <c r="P6" s="241"/>
      <c r="Q6" s="241"/>
      <c r="R6" s="323"/>
      <c r="S6" s="241"/>
      <c r="T6" s="241"/>
      <c r="U6" s="241"/>
      <c r="V6" s="241"/>
      <c r="W6" s="241"/>
      <c r="X6" s="241"/>
    </row>
    <row r="7" spans="1:24">
      <c r="A7" s="240" t="s">
        <v>6</v>
      </c>
      <c r="B7" s="1378" t="s">
        <v>5</v>
      </c>
      <c r="C7" s="1378"/>
      <c r="D7" s="241">
        <f t="shared" si="1"/>
        <v>0</v>
      </c>
      <c r="E7" s="323">
        <f t="shared" si="0"/>
        <v>855</v>
      </c>
      <c r="F7" s="323">
        <f t="shared" si="0"/>
        <v>855</v>
      </c>
      <c r="G7" s="241"/>
      <c r="H7" s="241">
        <v>320</v>
      </c>
      <c r="I7" s="323">
        <v>320</v>
      </c>
      <c r="J7" s="241"/>
      <c r="K7" s="241">
        <v>214</v>
      </c>
      <c r="L7" s="323">
        <v>214</v>
      </c>
      <c r="M7" s="241"/>
      <c r="N7" s="241">
        <v>214</v>
      </c>
      <c r="O7" s="323">
        <v>214</v>
      </c>
      <c r="P7" s="241"/>
      <c r="Q7" s="241">
        <v>107</v>
      </c>
      <c r="R7" s="323">
        <v>107</v>
      </c>
      <c r="S7" s="241"/>
      <c r="T7" s="241"/>
      <c r="U7" s="241"/>
      <c r="V7" s="241"/>
      <c r="W7" s="241"/>
      <c r="X7" s="241"/>
    </row>
    <row r="8" spans="1:24">
      <c r="A8" s="240" t="s">
        <v>8</v>
      </c>
      <c r="B8" s="1378" t="s">
        <v>7</v>
      </c>
      <c r="C8" s="1378"/>
      <c r="D8" s="241">
        <f t="shared" si="1"/>
        <v>0</v>
      </c>
      <c r="E8" s="323">
        <f t="shared" si="0"/>
        <v>0</v>
      </c>
      <c r="F8" s="323">
        <f t="shared" si="0"/>
        <v>0</v>
      </c>
      <c r="G8" s="241"/>
      <c r="H8" s="241"/>
      <c r="I8" s="323"/>
      <c r="J8" s="241"/>
      <c r="K8" s="241"/>
      <c r="L8" s="323"/>
      <c r="M8" s="241"/>
      <c r="N8" s="241"/>
      <c r="O8" s="323"/>
      <c r="P8" s="241"/>
      <c r="Q8" s="241"/>
      <c r="R8" s="323"/>
      <c r="S8" s="241"/>
      <c r="T8" s="241"/>
      <c r="U8" s="241"/>
      <c r="V8" s="241"/>
      <c r="W8" s="241"/>
      <c r="X8" s="241"/>
    </row>
    <row r="9" spans="1:24">
      <c r="A9" s="240" t="s">
        <v>10</v>
      </c>
      <c r="B9" s="1378" t="s">
        <v>9</v>
      </c>
      <c r="C9" s="1378"/>
      <c r="D9" s="241">
        <f t="shared" si="1"/>
        <v>0</v>
      </c>
      <c r="E9" s="323">
        <f t="shared" si="0"/>
        <v>0</v>
      </c>
      <c r="F9" s="323">
        <f t="shared" si="0"/>
        <v>0</v>
      </c>
      <c r="G9" s="241"/>
      <c r="H9" s="241"/>
      <c r="I9" s="323"/>
      <c r="J9" s="241"/>
      <c r="K9" s="241"/>
      <c r="L9" s="323"/>
      <c r="M9" s="241"/>
      <c r="N9" s="241"/>
      <c r="O9" s="323"/>
      <c r="P9" s="241"/>
      <c r="Q9" s="241"/>
      <c r="R9" s="323"/>
      <c r="S9" s="241"/>
      <c r="T9" s="241"/>
      <c r="U9" s="241"/>
      <c r="V9" s="241"/>
      <c r="W9" s="241"/>
      <c r="X9" s="241"/>
    </row>
    <row r="10" spans="1:24">
      <c r="A10" s="240" t="s">
        <v>12</v>
      </c>
      <c r="B10" s="1378" t="s">
        <v>11</v>
      </c>
      <c r="C10" s="1378"/>
      <c r="D10" s="241">
        <f t="shared" si="1"/>
        <v>0</v>
      </c>
      <c r="E10" s="323">
        <f t="shared" si="0"/>
        <v>0</v>
      </c>
      <c r="F10" s="323">
        <f t="shared" si="0"/>
        <v>0</v>
      </c>
      <c r="G10" s="241"/>
      <c r="H10" s="241"/>
      <c r="I10" s="323"/>
      <c r="J10" s="241"/>
      <c r="K10" s="241"/>
      <c r="L10" s="323"/>
      <c r="M10" s="241"/>
      <c r="N10" s="241"/>
      <c r="O10" s="323"/>
      <c r="P10" s="241"/>
      <c r="Q10" s="241"/>
      <c r="R10" s="323"/>
      <c r="S10" s="241"/>
      <c r="T10" s="241"/>
      <c r="U10" s="241"/>
      <c r="V10" s="241"/>
      <c r="W10" s="241"/>
      <c r="X10" s="241"/>
    </row>
    <row r="11" spans="1:24">
      <c r="A11" s="240" t="s">
        <v>14</v>
      </c>
      <c r="B11" s="1378" t="s">
        <v>13</v>
      </c>
      <c r="C11" s="1378"/>
      <c r="D11" s="241">
        <f t="shared" si="1"/>
        <v>436</v>
      </c>
      <c r="E11" s="323">
        <f t="shared" si="0"/>
        <v>436</v>
      </c>
      <c r="F11" s="323">
        <f t="shared" si="0"/>
        <v>337</v>
      </c>
      <c r="G11" s="241">
        <v>195</v>
      </c>
      <c r="H11" s="241">
        <v>195</v>
      </c>
      <c r="I11" s="323">
        <v>179</v>
      </c>
      <c r="J11" s="241">
        <v>105</v>
      </c>
      <c r="K11" s="241">
        <v>105</v>
      </c>
      <c r="L11" s="323">
        <v>105</v>
      </c>
      <c r="M11" s="241">
        <v>40</v>
      </c>
      <c r="N11" s="241">
        <v>40</v>
      </c>
      <c r="O11" s="323"/>
      <c r="P11" s="241">
        <v>96</v>
      </c>
      <c r="Q11" s="241">
        <v>96</v>
      </c>
      <c r="R11" s="323">
        <v>53</v>
      </c>
      <c r="S11" s="241"/>
      <c r="T11" s="241"/>
      <c r="U11" s="241"/>
      <c r="V11" s="241"/>
      <c r="W11" s="241"/>
      <c r="X11" s="241"/>
    </row>
    <row r="12" spans="1:24">
      <c r="A12" s="240" t="s">
        <v>16</v>
      </c>
      <c r="B12" s="1378" t="s">
        <v>15</v>
      </c>
      <c r="C12" s="1378"/>
      <c r="D12" s="241">
        <f t="shared" si="1"/>
        <v>0</v>
      </c>
      <c r="E12" s="323">
        <f>+H12+K12+N12+T12+W12+Q12</f>
        <v>0</v>
      </c>
      <c r="F12" s="323">
        <f t="shared" si="0"/>
        <v>0</v>
      </c>
      <c r="G12" s="241"/>
      <c r="H12" s="241"/>
      <c r="I12" s="323"/>
      <c r="J12" s="241"/>
      <c r="K12" s="241"/>
      <c r="L12" s="323"/>
      <c r="M12" s="241"/>
      <c r="N12" s="241"/>
      <c r="O12" s="323"/>
      <c r="P12" s="241"/>
      <c r="Q12" s="241"/>
      <c r="R12" s="323"/>
      <c r="S12" s="241"/>
      <c r="T12" s="241"/>
      <c r="U12" s="241"/>
      <c r="V12" s="241"/>
      <c r="W12" s="241"/>
      <c r="X12" s="241"/>
    </row>
    <row r="13" spans="1:24">
      <c r="A13" s="240" t="s">
        <v>18</v>
      </c>
      <c r="B13" s="1378" t="s">
        <v>17</v>
      </c>
      <c r="C13" s="1378"/>
      <c r="D13" s="241">
        <f t="shared" si="1"/>
        <v>354</v>
      </c>
      <c r="E13" s="323">
        <f t="shared" si="0"/>
        <v>70</v>
      </c>
      <c r="F13" s="323">
        <f t="shared" si="0"/>
        <v>70</v>
      </c>
      <c r="G13" s="241">
        <v>10</v>
      </c>
      <c r="H13" s="241">
        <v>0</v>
      </c>
      <c r="I13" s="323">
        <v>0</v>
      </c>
      <c r="J13" s="241"/>
      <c r="K13" s="241"/>
      <c r="L13" s="323"/>
      <c r="M13" s="241">
        <v>214</v>
      </c>
      <c r="N13" s="241">
        <v>70</v>
      </c>
      <c r="O13" s="323">
        <v>70</v>
      </c>
      <c r="P13" s="241">
        <v>130</v>
      </c>
      <c r="Q13" s="241"/>
      <c r="R13" s="323"/>
      <c r="S13" s="241"/>
      <c r="T13" s="241"/>
      <c r="U13" s="241"/>
      <c r="V13" s="241"/>
      <c r="W13" s="241"/>
      <c r="X13" s="241"/>
    </row>
    <row r="14" spans="1:24">
      <c r="A14" s="240" t="s">
        <v>20</v>
      </c>
      <c r="B14" s="1378" t="s">
        <v>19</v>
      </c>
      <c r="C14" s="1378"/>
      <c r="D14" s="241">
        <f t="shared" si="1"/>
        <v>0</v>
      </c>
      <c r="E14" s="323">
        <f t="shared" si="0"/>
        <v>0</v>
      </c>
      <c r="F14" s="323">
        <f t="shared" si="0"/>
        <v>0</v>
      </c>
      <c r="G14" s="241"/>
      <c r="H14" s="241"/>
      <c r="I14" s="323"/>
      <c r="J14" s="241"/>
      <c r="K14" s="241"/>
      <c r="L14" s="323"/>
      <c r="M14" s="241"/>
      <c r="N14" s="241"/>
      <c r="O14" s="323"/>
      <c r="P14" s="241"/>
      <c r="Q14" s="241"/>
      <c r="R14" s="323"/>
      <c r="S14" s="241"/>
      <c r="T14" s="241"/>
      <c r="U14" s="241"/>
      <c r="V14" s="241"/>
      <c r="W14" s="241"/>
      <c r="X14" s="241"/>
    </row>
    <row r="15" spans="1:24">
      <c r="A15" s="240" t="s">
        <v>22</v>
      </c>
      <c r="B15" s="1378" t="s">
        <v>21</v>
      </c>
      <c r="C15" s="1378"/>
      <c r="D15" s="241">
        <f t="shared" si="1"/>
        <v>733</v>
      </c>
      <c r="E15" s="323">
        <f t="shared" si="0"/>
        <v>733</v>
      </c>
      <c r="F15" s="323">
        <f t="shared" si="0"/>
        <v>712</v>
      </c>
      <c r="G15" s="241">
        <v>733</v>
      </c>
      <c r="H15" s="241">
        <v>733</v>
      </c>
      <c r="I15" s="323">
        <v>712</v>
      </c>
      <c r="J15" s="241"/>
      <c r="K15" s="241"/>
      <c r="L15" s="323"/>
      <c r="M15" s="241"/>
      <c r="N15" s="241"/>
      <c r="O15" s="323"/>
      <c r="P15" s="241"/>
      <c r="Q15" s="241"/>
      <c r="R15" s="323"/>
      <c r="S15" s="241"/>
      <c r="T15" s="241"/>
      <c r="U15" s="241"/>
      <c r="V15" s="241"/>
      <c r="W15" s="241"/>
      <c r="X15" s="241"/>
    </row>
    <row r="16" spans="1:24">
      <c r="A16" s="240" t="s">
        <v>24</v>
      </c>
      <c r="B16" s="1378" t="s">
        <v>23</v>
      </c>
      <c r="C16" s="1378"/>
      <c r="D16" s="241">
        <f t="shared" si="1"/>
        <v>0</v>
      </c>
      <c r="E16" s="323">
        <f t="shared" si="0"/>
        <v>0</v>
      </c>
      <c r="F16" s="323">
        <f t="shared" si="0"/>
        <v>0</v>
      </c>
      <c r="G16" s="241"/>
      <c r="H16" s="241"/>
      <c r="I16" s="323"/>
      <c r="J16" s="241"/>
      <c r="K16" s="241"/>
      <c r="L16" s="323"/>
      <c r="M16" s="241"/>
      <c r="N16" s="241"/>
      <c r="O16" s="323"/>
      <c r="P16" s="241"/>
      <c r="Q16" s="241"/>
      <c r="R16" s="323"/>
      <c r="S16" s="241"/>
      <c r="T16" s="241"/>
      <c r="U16" s="241"/>
      <c r="V16" s="241"/>
      <c r="W16" s="241"/>
      <c r="X16" s="241"/>
    </row>
    <row r="17" spans="1:24">
      <c r="A17" s="240" t="s">
        <v>25</v>
      </c>
      <c r="B17" s="1378" t="s">
        <v>176</v>
      </c>
      <c r="C17" s="1378"/>
      <c r="D17" s="241">
        <f t="shared" si="1"/>
        <v>0</v>
      </c>
      <c r="E17" s="323">
        <f t="shared" si="0"/>
        <v>301</v>
      </c>
      <c r="F17" s="323">
        <f t="shared" si="0"/>
        <v>227</v>
      </c>
      <c r="G17" s="241"/>
      <c r="H17" s="241">
        <v>18</v>
      </c>
      <c r="I17" s="323">
        <v>18</v>
      </c>
      <c r="J17" s="241"/>
      <c r="K17" s="241">
        <v>43</v>
      </c>
      <c r="L17" s="323">
        <v>32</v>
      </c>
      <c r="M17" s="241"/>
      <c r="N17" s="241"/>
      <c r="O17" s="323"/>
      <c r="P17" s="241"/>
      <c r="Q17" s="241">
        <f>79+16+145</f>
        <v>240</v>
      </c>
      <c r="R17" s="323">
        <v>177</v>
      </c>
      <c r="S17" s="242"/>
      <c r="T17" s="241"/>
      <c r="U17" s="241"/>
      <c r="V17" s="242"/>
      <c r="W17" s="241"/>
      <c r="X17" s="241"/>
    </row>
    <row r="18" spans="1:24">
      <c r="A18" s="240" t="s">
        <v>25</v>
      </c>
      <c r="B18" s="1378" t="s">
        <v>26</v>
      </c>
      <c r="C18" s="1378"/>
      <c r="D18" s="241">
        <f t="shared" si="1"/>
        <v>0</v>
      </c>
      <c r="E18" s="323">
        <f t="shared" si="0"/>
        <v>0</v>
      </c>
      <c r="F18" s="323">
        <f t="shared" si="0"/>
        <v>0</v>
      </c>
      <c r="G18" s="241"/>
      <c r="H18" s="241"/>
      <c r="I18" s="323"/>
      <c r="J18" s="241"/>
      <c r="K18" s="241"/>
      <c r="L18" s="323"/>
      <c r="M18" s="241"/>
      <c r="N18" s="241"/>
      <c r="O18" s="323"/>
      <c r="P18" s="241"/>
      <c r="Q18" s="241"/>
      <c r="R18" s="323"/>
      <c r="S18" s="241"/>
      <c r="T18" s="241"/>
      <c r="U18" s="241"/>
      <c r="V18" s="241"/>
      <c r="W18" s="241"/>
      <c r="X18" s="241"/>
    </row>
    <row r="19" spans="1:24" s="327" customFormat="1">
      <c r="A19" s="324" t="s">
        <v>27</v>
      </c>
      <c r="B19" s="1377" t="s">
        <v>439</v>
      </c>
      <c r="C19" s="1377"/>
      <c r="D19" s="325">
        <f>SUM(D5:D18)</f>
        <v>15221</v>
      </c>
      <c r="E19" s="325">
        <f t="shared" ref="E19:X19" si="2">SUM(E5:E18)</f>
        <v>13879</v>
      </c>
      <c r="F19" s="325">
        <f t="shared" si="2"/>
        <v>13675</v>
      </c>
      <c r="G19" s="325">
        <f t="shared" si="2"/>
        <v>7591</v>
      </c>
      <c r="H19" s="325">
        <f t="shared" si="2"/>
        <v>7387</v>
      </c>
      <c r="I19" s="325">
        <f t="shared" si="2"/>
        <v>7345</v>
      </c>
      <c r="J19" s="325">
        <f t="shared" si="2"/>
        <v>3511</v>
      </c>
      <c r="K19" s="325">
        <f t="shared" si="2"/>
        <v>3771</v>
      </c>
      <c r="L19" s="325">
        <f t="shared" si="2"/>
        <v>3760</v>
      </c>
      <c r="M19" s="325">
        <f t="shared" si="2"/>
        <v>1323</v>
      </c>
      <c r="N19" s="325">
        <f t="shared" si="2"/>
        <v>1167</v>
      </c>
      <c r="O19" s="325">
        <f>SUM(O5:O18)</f>
        <v>1122</v>
      </c>
      <c r="P19" s="325">
        <f t="shared" si="2"/>
        <v>2796</v>
      </c>
      <c r="Q19" s="325">
        <f t="shared" si="2"/>
        <v>1554</v>
      </c>
      <c r="R19" s="325">
        <f t="shared" si="2"/>
        <v>1448</v>
      </c>
      <c r="S19" s="325">
        <f t="shared" si="2"/>
        <v>0</v>
      </c>
      <c r="T19" s="325">
        <f t="shared" si="2"/>
        <v>0</v>
      </c>
      <c r="U19" s="325">
        <f t="shared" si="2"/>
        <v>0</v>
      </c>
      <c r="V19" s="325">
        <f t="shared" si="2"/>
        <v>0</v>
      </c>
      <c r="W19" s="325">
        <f t="shared" si="2"/>
        <v>0</v>
      </c>
      <c r="X19" s="325">
        <f t="shared" si="2"/>
        <v>0</v>
      </c>
    </row>
    <row r="20" spans="1:24">
      <c r="A20" s="240" t="s">
        <v>29</v>
      </c>
      <c r="B20" s="1378" t="s">
        <v>28</v>
      </c>
      <c r="C20" s="1378"/>
      <c r="D20" s="241">
        <f t="shared" si="1"/>
        <v>0</v>
      </c>
      <c r="E20" s="323">
        <f t="shared" ref="E20:E22" si="3">+H20+K20+N20+T20+W20+Q20</f>
        <v>0</v>
      </c>
      <c r="F20" s="323">
        <f t="shared" ref="F20:F22" si="4">+I20+L20+O20+U20+X20+R20</f>
        <v>0</v>
      </c>
      <c r="G20" s="241"/>
      <c r="H20" s="241"/>
      <c r="I20" s="241"/>
      <c r="J20" s="241"/>
      <c r="K20" s="241"/>
      <c r="L20" s="241">
        <f>+J20+K20</f>
        <v>0</v>
      </c>
      <c r="M20" s="241"/>
      <c r="N20" s="241"/>
      <c r="O20" s="241">
        <f>+M20+N20</f>
        <v>0</v>
      </c>
      <c r="P20" s="241"/>
      <c r="Q20" s="241"/>
      <c r="R20" s="323">
        <f t="shared" ref="R20:R22" si="5">+P20+Q20</f>
        <v>0</v>
      </c>
      <c r="S20" s="241"/>
      <c r="T20" s="241"/>
      <c r="U20" s="241"/>
      <c r="V20" s="241"/>
      <c r="W20" s="241"/>
      <c r="X20" s="241"/>
    </row>
    <row r="21" spans="1:24" ht="23.25" customHeight="1">
      <c r="A21" s="240" t="s">
        <v>31</v>
      </c>
      <c r="B21" s="1378" t="s">
        <v>30</v>
      </c>
      <c r="C21" s="1378"/>
      <c r="D21" s="241">
        <f t="shared" si="1"/>
        <v>1640</v>
      </c>
      <c r="E21" s="323">
        <f t="shared" si="3"/>
        <v>2537</v>
      </c>
      <c r="F21" s="323">
        <f t="shared" si="4"/>
        <v>2537</v>
      </c>
      <c r="G21" s="241">
        <v>1640</v>
      </c>
      <c r="H21" s="241">
        <v>2047</v>
      </c>
      <c r="I21" s="323">
        <v>2047</v>
      </c>
      <c r="J21" s="241"/>
      <c r="K21" s="241"/>
      <c r="L21" s="323">
        <f t="shared" ref="L21:L22" si="6">+J21+K21</f>
        <v>0</v>
      </c>
      <c r="M21" s="241"/>
      <c r="N21" s="241"/>
      <c r="O21" s="323">
        <f t="shared" ref="O21:O22" si="7">+M21+N21</f>
        <v>0</v>
      </c>
      <c r="P21" s="241"/>
      <c r="Q21" s="241">
        <v>490</v>
      </c>
      <c r="R21" s="323">
        <v>490</v>
      </c>
      <c r="S21" s="241"/>
      <c r="T21" s="241"/>
      <c r="U21" s="241"/>
      <c r="V21" s="241"/>
      <c r="W21" s="241"/>
      <c r="X21" s="241"/>
    </row>
    <row r="22" spans="1:24">
      <c r="A22" s="240" t="s">
        <v>33</v>
      </c>
      <c r="B22" s="1378" t="s">
        <v>32</v>
      </c>
      <c r="C22" s="1378"/>
      <c r="D22" s="241">
        <f t="shared" si="1"/>
        <v>0</v>
      </c>
      <c r="E22" s="323">
        <f t="shared" si="3"/>
        <v>133</v>
      </c>
      <c r="F22" s="323">
        <f t="shared" si="4"/>
        <v>133</v>
      </c>
      <c r="G22" s="241"/>
      <c r="H22" s="241">
        <v>133</v>
      </c>
      <c r="I22" s="323">
        <v>133</v>
      </c>
      <c r="J22" s="241"/>
      <c r="K22" s="241"/>
      <c r="L22" s="323">
        <f t="shared" si="6"/>
        <v>0</v>
      </c>
      <c r="M22" s="241"/>
      <c r="N22" s="241"/>
      <c r="O22" s="323">
        <f t="shared" si="7"/>
        <v>0</v>
      </c>
      <c r="P22" s="241"/>
      <c r="Q22" s="241"/>
      <c r="R22" s="323">
        <f t="shared" si="5"/>
        <v>0</v>
      </c>
      <c r="S22" s="241"/>
      <c r="T22" s="241"/>
      <c r="U22" s="241"/>
      <c r="V22" s="241"/>
      <c r="W22" s="241"/>
      <c r="X22" s="241"/>
    </row>
    <row r="23" spans="1:24" s="327" customFormat="1">
      <c r="A23" s="324" t="s">
        <v>34</v>
      </c>
      <c r="B23" s="1377" t="s">
        <v>440</v>
      </c>
      <c r="C23" s="1377"/>
      <c r="D23" s="325">
        <f t="shared" si="1"/>
        <v>1640</v>
      </c>
      <c r="E23" s="325">
        <f t="shared" ref="E23:X23" si="8">SUM(E20:E22)</f>
        <v>2670</v>
      </c>
      <c r="F23" s="325">
        <f t="shared" si="8"/>
        <v>2670</v>
      </c>
      <c r="G23" s="325">
        <f t="shared" si="8"/>
        <v>1640</v>
      </c>
      <c r="H23" s="325">
        <f t="shared" si="8"/>
        <v>2180</v>
      </c>
      <c r="I23" s="325">
        <f t="shared" si="8"/>
        <v>2180</v>
      </c>
      <c r="J23" s="325">
        <f t="shared" si="8"/>
        <v>0</v>
      </c>
      <c r="K23" s="325">
        <f t="shared" si="8"/>
        <v>0</v>
      </c>
      <c r="L23" s="325">
        <f t="shared" si="8"/>
        <v>0</v>
      </c>
      <c r="M23" s="325">
        <f t="shared" si="8"/>
        <v>0</v>
      </c>
      <c r="N23" s="325">
        <f t="shared" si="8"/>
        <v>0</v>
      </c>
      <c r="O23" s="325">
        <f t="shared" si="8"/>
        <v>0</v>
      </c>
      <c r="P23" s="325">
        <f t="shared" si="8"/>
        <v>0</v>
      </c>
      <c r="Q23" s="325">
        <f t="shared" si="8"/>
        <v>490</v>
      </c>
      <c r="R23" s="325">
        <f t="shared" si="8"/>
        <v>490</v>
      </c>
      <c r="S23" s="325">
        <f t="shared" si="8"/>
        <v>0</v>
      </c>
      <c r="T23" s="325">
        <f t="shared" si="8"/>
        <v>0</v>
      </c>
      <c r="U23" s="325">
        <f t="shared" si="8"/>
        <v>0</v>
      </c>
      <c r="V23" s="325">
        <f t="shared" si="8"/>
        <v>0</v>
      </c>
      <c r="W23" s="325">
        <f t="shared" si="8"/>
        <v>0</v>
      </c>
      <c r="X23" s="325">
        <f t="shared" si="8"/>
        <v>0</v>
      </c>
    </row>
    <row r="24" spans="1:24" s="245" customFormat="1">
      <c r="A24" s="243" t="s">
        <v>35</v>
      </c>
      <c r="B24" s="1377" t="s">
        <v>441</v>
      </c>
      <c r="C24" s="1377"/>
      <c r="D24" s="244">
        <f>+D23+D19</f>
        <v>16861</v>
      </c>
      <c r="E24" s="244">
        <f t="shared" ref="E24:X24" si="9">+E23+E19</f>
        <v>16549</v>
      </c>
      <c r="F24" s="244">
        <f t="shared" si="9"/>
        <v>16345</v>
      </c>
      <c r="G24" s="244">
        <f t="shared" si="9"/>
        <v>9231</v>
      </c>
      <c r="H24" s="244">
        <f t="shared" si="9"/>
        <v>9567</v>
      </c>
      <c r="I24" s="244">
        <f t="shared" si="9"/>
        <v>9525</v>
      </c>
      <c r="J24" s="244">
        <f t="shared" si="9"/>
        <v>3511</v>
      </c>
      <c r="K24" s="244">
        <f t="shared" si="9"/>
        <v>3771</v>
      </c>
      <c r="L24" s="244">
        <f t="shared" si="9"/>
        <v>3760</v>
      </c>
      <c r="M24" s="244">
        <f t="shared" si="9"/>
        <v>1323</v>
      </c>
      <c r="N24" s="244">
        <f t="shared" si="9"/>
        <v>1167</v>
      </c>
      <c r="O24" s="244">
        <f t="shared" si="9"/>
        <v>1122</v>
      </c>
      <c r="P24" s="244">
        <f t="shared" si="9"/>
        <v>2796</v>
      </c>
      <c r="Q24" s="244">
        <f t="shared" si="9"/>
        <v>2044</v>
      </c>
      <c r="R24" s="325">
        <f t="shared" si="9"/>
        <v>1938</v>
      </c>
      <c r="S24" s="244">
        <f t="shared" si="9"/>
        <v>0</v>
      </c>
      <c r="T24" s="244">
        <f t="shared" si="9"/>
        <v>0</v>
      </c>
      <c r="U24" s="244">
        <f t="shared" si="9"/>
        <v>0</v>
      </c>
      <c r="V24" s="244">
        <f t="shared" si="9"/>
        <v>0</v>
      </c>
      <c r="W24" s="244">
        <f t="shared" si="9"/>
        <v>0</v>
      </c>
      <c r="X24" s="244">
        <f t="shared" si="9"/>
        <v>0</v>
      </c>
    </row>
    <row r="25" spans="1:24">
      <c r="A25" s="246"/>
      <c r="B25" s="247"/>
      <c r="C25" s="247"/>
      <c r="D25" s="248"/>
      <c r="E25" s="248"/>
      <c r="F25" s="249"/>
      <c r="G25" s="250"/>
      <c r="H25" s="248"/>
      <c r="I25" s="249"/>
      <c r="J25" s="250"/>
      <c r="K25" s="248"/>
      <c r="L25" s="249"/>
      <c r="M25" s="250"/>
      <c r="N25" s="248"/>
      <c r="O25" s="249"/>
      <c r="P25" s="250"/>
      <c r="Q25" s="248"/>
      <c r="R25" s="249"/>
      <c r="S25" s="250"/>
      <c r="T25" s="248"/>
      <c r="U25" s="249"/>
      <c r="V25" s="250"/>
      <c r="W25" s="248"/>
      <c r="X25" s="249"/>
    </row>
    <row r="26" spans="1:24" s="245" customFormat="1">
      <c r="A26" s="243" t="s">
        <v>36</v>
      </c>
      <c r="B26" s="1377" t="s">
        <v>442</v>
      </c>
      <c r="C26" s="1377"/>
      <c r="D26" s="244">
        <f>+G26+J26+M26+S26+V26+P26</f>
        <v>4494</v>
      </c>
      <c r="E26" s="325">
        <f t="shared" ref="E26:F26" si="10">+H26+K26+N26+T26+W26+Q26</f>
        <v>4559</v>
      </c>
      <c r="F26" s="325">
        <f t="shared" si="10"/>
        <v>4275</v>
      </c>
      <c r="G26" s="244">
        <f>SUM(G27:G32)</f>
        <v>2506</v>
      </c>
      <c r="H26" s="325">
        <f t="shared" ref="H26:W26" si="11">SUM(H27:H32)</f>
        <v>2552</v>
      </c>
      <c r="I26" s="325">
        <f t="shared" si="11"/>
        <v>2454</v>
      </c>
      <c r="J26" s="325">
        <f t="shared" si="11"/>
        <v>957</v>
      </c>
      <c r="K26" s="325">
        <f t="shared" si="11"/>
        <v>1028</v>
      </c>
      <c r="L26" s="325">
        <f t="shared" si="11"/>
        <v>1024</v>
      </c>
      <c r="M26" s="325">
        <f t="shared" si="11"/>
        <v>303</v>
      </c>
      <c r="N26" s="325">
        <f t="shared" si="11"/>
        <v>303</v>
      </c>
      <c r="O26" s="325">
        <f t="shared" si="11"/>
        <v>277</v>
      </c>
      <c r="P26" s="325">
        <f t="shared" si="11"/>
        <v>728</v>
      </c>
      <c r="Q26" s="325">
        <f t="shared" si="11"/>
        <v>676</v>
      </c>
      <c r="R26" s="325">
        <f t="shared" si="11"/>
        <v>520</v>
      </c>
      <c r="S26" s="325">
        <f t="shared" si="11"/>
        <v>0</v>
      </c>
      <c r="T26" s="325">
        <f t="shared" si="11"/>
        <v>0</v>
      </c>
      <c r="U26" s="325">
        <f t="shared" si="11"/>
        <v>0</v>
      </c>
      <c r="V26" s="325">
        <f t="shared" si="11"/>
        <v>0</v>
      </c>
      <c r="W26" s="325">
        <f t="shared" si="11"/>
        <v>0</v>
      </c>
      <c r="X26" s="325">
        <f>SUM(X27:X32)</f>
        <v>0</v>
      </c>
    </row>
    <row r="27" spans="1:24" ht="25.5" customHeight="1">
      <c r="A27" s="251" t="s">
        <v>36</v>
      </c>
      <c r="B27" s="252"/>
      <c r="C27" s="253" t="s">
        <v>37</v>
      </c>
      <c r="D27" s="323">
        <f t="shared" ref="D27:D32" si="12">+G27+J27+M27+S27+V27+P27</f>
        <v>4340</v>
      </c>
      <c r="E27" s="323">
        <f t="shared" ref="E27:E32" si="13">+H27+K27+N27+T27+W27+Q27</f>
        <v>4357</v>
      </c>
      <c r="F27" s="323">
        <f t="shared" ref="F27:F32" si="14">+I27+L27+O27+U27+X27+R27</f>
        <v>4107</v>
      </c>
      <c r="G27" s="241">
        <v>2437</v>
      </c>
      <c r="H27" s="241">
        <v>2435</v>
      </c>
      <c r="I27" s="241">
        <v>2342</v>
      </c>
      <c r="J27" s="241">
        <v>920</v>
      </c>
      <c r="K27" s="241">
        <v>987</v>
      </c>
      <c r="L27" s="241">
        <v>987</v>
      </c>
      <c r="M27" s="241">
        <v>289</v>
      </c>
      <c r="N27" s="241">
        <v>289</v>
      </c>
      <c r="O27" s="241">
        <v>277</v>
      </c>
      <c r="P27" s="241">
        <v>694</v>
      </c>
      <c r="Q27" s="241">
        <v>646</v>
      </c>
      <c r="R27" s="241">
        <v>501</v>
      </c>
      <c r="S27" s="241"/>
      <c r="T27" s="241"/>
      <c r="U27" s="241"/>
      <c r="V27" s="241"/>
      <c r="W27" s="241"/>
      <c r="X27" s="241"/>
    </row>
    <row r="28" spans="1:24" ht="25.5" customHeight="1">
      <c r="A28" s="251" t="s">
        <v>36</v>
      </c>
      <c r="B28" s="252"/>
      <c r="C28" s="253" t="s">
        <v>38</v>
      </c>
      <c r="D28" s="323">
        <f t="shared" si="12"/>
        <v>0</v>
      </c>
      <c r="E28" s="323">
        <f t="shared" si="13"/>
        <v>0</v>
      </c>
      <c r="F28" s="323">
        <f t="shared" si="14"/>
        <v>0</v>
      </c>
      <c r="G28" s="241"/>
      <c r="H28" s="241"/>
      <c r="I28" s="323"/>
      <c r="J28" s="241"/>
      <c r="K28" s="241"/>
      <c r="L28" s="323"/>
      <c r="M28" s="241"/>
      <c r="N28" s="241"/>
      <c r="O28" s="323"/>
      <c r="P28" s="241"/>
      <c r="Q28" s="241"/>
      <c r="R28" s="323"/>
      <c r="S28" s="241"/>
      <c r="T28" s="241"/>
      <c r="U28" s="241"/>
      <c r="V28" s="241"/>
      <c r="W28" s="241"/>
      <c r="X28" s="241"/>
    </row>
    <row r="29" spans="1:24" ht="25.5" customHeight="1">
      <c r="A29" s="251" t="s">
        <v>36</v>
      </c>
      <c r="B29" s="252"/>
      <c r="C29" s="253" t="s">
        <v>39</v>
      </c>
      <c r="D29" s="323">
        <f t="shared" si="12"/>
        <v>72</v>
      </c>
      <c r="E29" s="323">
        <f t="shared" si="13"/>
        <v>101</v>
      </c>
      <c r="F29" s="323">
        <f t="shared" si="14"/>
        <v>80</v>
      </c>
      <c r="G29" s="241">
        <v>32</v>
      </c>
      <c r="H29" s="241">
        <v>61</v>
      </c>
      <c r="I29" s="323">
        <v>58</v>
      </c>
      <c r="J29" s="241">
        <v>17</v>
      </c>
      <c r="K29" s="241">
        <v>17</v>
      </c>
      <c r="L29" s="323">
        <v>13</v>
      </c>
      <c r="M29" s="241">
        <v>7</v>
      </c>
      <c r="N29" s="241">
        <v>7</v>
      </c>
      <c r="O29" s="323">
        <v>0</v>
      </c>
      <c r="P29" s="241">
        <v>16</v>
      </c>
      <c r="Q29" s="241">
        <v>16</v>
      </c>
      <c r="R29" s="323">
        <v>9</v>
      </c>
      <c r="S29" s="241"/>
      <c r="T29" s="241"/>
      <c r="U29" s="241"/>
      <c r="V29" s="241"/>
      <c r="W29" s="241"/>
      <c r="X29" s="241"/>
    </row>
    <row r="30" spans="1:24" ht="25.5" customHeight="1">
      <c r="A30" s="251" t="s">
        <v>36</v>
      </c>
      <c r="B30" s="252"/>
      <c r="C30" s="253" t="s">
        <v>443</v>
      </c>
      <c r="D30" s="323">
        <f t="shared" si="12"/>
        <v>0</v>
      </c>
      <c r="E30" s="323">
        <f t="shared" si="13"/>
        <v>2</v>
      </c>
      <c r="F30" s="323">
        <f t="shared" si="14"/>
        <v>2</v>
      </c>
      <c r="G30" s="241"/>
      <c r="H30" s="241">
        <v>2</v>
      </c>
      <c r="I30" s="323">
        <v>2</v>
      </c>
      <c r="J30" s="241"/>
      <c r="K30" s="241"/>
      <c r="L30" s="323"/>
      <c r="M30" s="241"/>
      <c r="N30" s="241"/>
      <c r="O30" s="323"/>
      <c r="P30" s="241"/>
      <c r="Q30" s="241"/>
      <c r="R30" s="323"/>
      <c r="S30" s="241"/>
      <c r="T30" s="241"/>
      <c r="U30" s="241"/>
      <c r="V30" s="241"/>
      <c r="W30" s="241"/>
      <c r="X30" s="241"/>
    </row>
    <row r="31" spans="1:24" ht="38.25">
      <c r="A31" s="251" t="s">
        <v>36</v>
      </c>
      <c r="B31" s="252"/>
      <c r="C31" s="253" t="s">
        <v>41</v>
      </c>
      <c r="D31" s="323">
        <f t="shared" ref="D31" si="15">+G31+J31+M31+S31+V31+P31</f>
        <v>82</v>
      </c>
      <c r="E31" s="323">
        <f t="shared" ref="E31" si="16">+H31+K31+N31+T31+W31+Q31</f>
        <v>99</v>
      </c>
      <c r="F31" s="323">
        <f t="shared" ref="F31" si="17">+I31+L31+O31+U31+X31+R31</f>
        <v>86</v>
      </c>
      <c r="G31" s="323">
        <v>37</v>
      </c>
      <c r="H31" s="323">
        <v>54</v>
      </c>
      <c r="I31" s="323">
        <v>52</v>
      </c>
      <c r="J31" s="323">
        <v>20</v>
      </c>
      <c r="K31" s="323">
        <v>24</v>
      </c>
      <c r="L31" s="323">
        <v>24</v>
      </c>
      <c r="M31" s="323">
        <v>7</v>
      </c>
      <c r="N31" s="323">
        <v>7</v>
      </c>
      <c r="O31" s="323">
        <v>0</v>
      </c>
      <c r="P31" s="323">
        <v>18</v>
      </c>
      <c r="Q31" s="323">
        <v>14</v>
      </c>
      <c r="R31" s="323">
        <v>10</v>
      </c>
      <c r="S31" s="323"/>
      <c r="T31" s="323"/>
      <c r="U31" s="323"/>
      <c r="V31" s="323"/>
      <c r="W31" s="323"/>
      <c r="X31" s="323"/>
    </row>
    <row r="32" spans="1:24">
      <c r="A32" s="251" t="s">
        <v>36</v>
      </c>
      <c r="B32" s="252"/>
      <c r="C32" s="253" t="s">
        <v>729</v>
      </c>
      <c r="D32" s="323">
        <f t="shared" si="12"/>
        <v>0</v>
      </c>
      <c r="E32" s="323">
        <f t="shared" si="13"/>
        <v>0</v>
      </c>
      <c r="F32" s="323">
        <f t="shared" si="14"/>
        <v>0</v>
      </c>
      <c r="G32" s="241"/>
      <c r="H32" s="241"/>
      <c r="I32" s="323"/>
      <c r="J32" s="241"/>
      <c r="K32" s="241"/>
      <c r="L32" s="323">
        <f t="shared" ref="L32" si="18">+J32+K32</f>
        <v>0</v>
      </c>
      <c r="M32" s="241"/>
      <c r="N32" s="241"/>
      <c r="O32" s="323">
        <f t="shared" ref="O32" si="19">+M32+N32</f>
        <v>0</v>
      </c>
      <c r="P32" s="241"/>
      <c r="Q32" s="241"/>
      <c r="R32" s="323"/>
      <c r="S32" s="241"/>
      <c r="T32" s="241"/>
      <c r="U32" s="241"/>
      <c r="V32" s="241"/>
      <c r="W32" s="241"/>
      <c r="X32" s="241"/>
    </row>
    <row r="33" spans="1:24" ht="9.75" customHeight="1">
      <c r="A33" s="254"/>
      <c r="B33" s="255"/>
      <c r="C33" s="256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7"/>
    </row>
    <row r="34" spans="1:24" ht="9" customHeight="1">
      <c r="A34" s="258"/>
      <c r="B34" s="259"/>
      <c r="C34" s="260"/>
      <c r="D34" s="261"/>
      <c r="E34" s="261"/>
      <c r="F34" s="261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</row>
    <row r="35" spans="1:24">
      <c r="A35" s="240" t="s">
        <v>43</v>
      </c>
      <c r="B35" s="1378" t="s">
        <v>42</v>
      </c>
      <c r="C35" s="1378"/>
      <c r="D35" s="241">
        <f>+G35+J35+M35+P35+S35+V35</f>
        <v>1515</v>
      </c>
      <c r="E35" s="323">
        <f t="shared" ref="E35:F37" si="20">+H35+K35+N35+Q35+T35+W35</f>
        <v>2037</v>
      </c>
      <c r="F35" s="323">
        <f t="shared" si="20"/>
        <v>1900</v>
      </c>
      <c r="G35" s="241">
        <v>585</v>
      </c>
      <c r="H35" s="241">
        <v>743</v>
      </c>
      <c r="I35" s="241">
        <v>744</v>
      </c>
      <c r="J35" s="241">
        <v>200</v>
      </c>
      <c r="K35" s="241">
        <v>82</v>
      </c>
      <c r="L35" s="241">
        <v>14</v>
      </c>
      <c r="M35" s="241"/>
      <c r="N35" s="241">
        <v>61</v>
      </c>
      <c r="O35" s="241">
        <v>61</v>
      </c>
      <c r="P35" s="241">
        <v>730</v>
      </c>
      <c r="Q35" s="241">
        <v>1151</v>
      </c>
      <c r="R35" s="241">
        <v>1081</v>
      </c>
      <c r="S35" s="241"/>
      <c r="T35" s="241"/>
      <c r="U35" s="241"/>
      <c r="V35" s="241"/>
      <c r="W35" s="241"/>
      <c r="X35" s="241">
        <f>+V35+W35</f>
        <v>0</v>
      </c>
    </row>
    <row r="36" spans="1:24">
      <c r="A36" s="240" t="s">
        <v>45</v>
      </c>
      <c r="B36" s="1378" t="s">
        <v>44</v>
      </c>
      <c r="C36" s="1378"/>
      <c r="D36" s="241">
        <f t="shared" ref="D36:D59" si="21">+G36+J36+M36+P36+S36+V36</f>
        <v>660</v>
      </c>
      <c r="E36" s="323">
        <f t="shared" si="20"/>
        <v>669</v>
      </c>
      <c r="F36" s="323">
        <f t="shared" si="20"/>
        <v>561</v>
      </c>
      <c r="G36" s="241">
        <v>220</v>
      </c>
      <c r="H36" s="241">
        <v>425</v>
      </c>
      <c r="I36" s="323">
        <v>425</v>
      </c>
      <c r="J36" s="241">
        <v>250</v>
      </c>
      <c r="K36" s="241">
        <v>89</v>
      </c>
      <c r="L36" s="323">
        <v>77</v>
      </c>
      <c r="M36" s="241"/>
      <c r="N36" s="241"/>
      <c r="O36" s="323">
        <f t="shared" ref="O36:O59" si="22">+M36+N36</f>
        <v>0</v>
      </c>
      <c r="P36" s="241">
        <v>190</v>
      </c>
      <c r="Q36" s="241">
        <v>155</v>
      </c>
      <c r="R36" s="323">
        <v>59</v>
      </c>
      <c r="S36" s="241"/>
      <c r="T36" s="241"/>
      <c r="U36" s="241"/>
      <c r="V36" s="241"/>
      <c r="W36" s="241"/>
      <c r="X36" s="323">
        <f t="shared" ref="X36:X53" si="23">+V36+W36</f>
        <v>0</v>
      </c>
    </row>
    <row r="37" spans="1:24">
      <c r="A37" s="240" t="s">
        <v>47</v>
      </c>
      <c r="B37" s="1378" t="s">
        <v>46</v>
      </c>
      <c r="C37" s="1378"/>
      <c r="D37" s="241">
        <f t="shared" si="21"/>
        <v>0</v>
      </c>
      <c r="E37" s="323">
        <f t="shared" si="20"/>
        <v>0</v>
      </c>
      <c r="F37" s="323">
        <f t="shared" si="20"/>
        <v>0</v>
      </c>
      <c r="G37" s="241"/>
      <c r="H37" s="241"/>
      <c r="I37" s="323"/>
      <c r="J37" s="241"/>
      <c r="K37" s="241"/>
      <c r="L37" s="323">
        <f t="shared" ref="L37" si="24">+J37+K37</f>
        <v>0</v>
      </c>
      <c r="M37" s="241"/>
      <c r="N37" s="241"/>
      <c r="O37" s="323">
        <f t="shared" si="22"/>
        <v>0</v>
      </c>
      <c r="P37" s="241"/>
      <c r="Q37" s="241"/>
      <c r="R37" s="323"/>
      <c r="S37" s="241"/>
      <c r="T37" s="241"/>
      <c r="U37" s="241"/>
      <c r="V37" s="241"/>
      <c r="W37" s="241"/>
      <c r="X37" s="323">
        <f t="shared" si="23"/>
        <v>0</v>
      </c>
    </row>
    <row r="38" spans="1:24" s="327" customFormat="1">
      <c r="A38" s="324" t="s">
        <v>48</v>
      </c>
      <c r="B38" s="1377" t="s">
        <v>444</v>
      </c>
      <c r="C38" s="1377"/>
      <c r="D38" s="325">
        <f>SUM(D35:D37)</f>
        <v>2175</v>
      </c>
      <c r="E38" s="325">
        <f t="shared" ref="E38:X38" si="25">SUM(E35:E37)</f>
        <v>2706</v>
      </c>
      <c r="F38" s="325">
        <f t="shared" si="25"/>
        <v>2461</v>
      </c>
      <c r="G38" s="325">
        <f t="shared" si="25"/>
        <v>805</v>
      </c>
      <c r="H38" s="325">
        <f t="shared" si="25"/>
        <v>1168</v>
      </c>
      <c r="I38" s="325">
        <f t="shared" si="25"/>
        <v>1169</v>
      </c>
      <c r="J38" s="325">
        <f t="shared" si="25"/>
        <v>450</v>
      </c>
      <c r="K38" s="325">
        <f t="shared" si="25"/>
        <v>171</v>
      </c>
      <c r="L38" s="325">
        <f t="shared" si="25"/>
        <v>91</v>
      </c>
      <c r="M38" s="325">
        <f t="shared" si="25"/>
        <v>0</v>
      </c>
      <c r="N38" s="325">
        <f t="shared" si="25"/>
        <v>61</v>
      </c>
      <c r="O38" s="325">
        <f t="shared" si="25"/>
        <v>61</v>
      </c>
      <c r="P38" s="325">
        <f t="shared" si="25"/>
        <v>920</v>
      </c>
      <c r="Q38" s="325">
        <f t="shared" si="25"/>
        <v>1306</v>
      </c>
      <c r="R38" s="325">
        <f t="shared" si="25"/>
        <v>1140</v>
      </c>
      <c r="S38" s="325">
        <f t="shared" si="25"/>
        <v>0</v>
      </c>
      <c r="T38" s="325">
        <f t="shared" si="25"/>
        <v>0</v>
      </c>
      <c r="U38" s="325">
        <f t="shared" si="25"/>
        <v>0</v>
      </c>
      <c r="V38" s="325">
        <f t="shared" si="25"/>
        <v>0</v>
      </c>
      <c r="W38" s="325">
        <f t="shared" si="25"/>
        <v>0</v>
      </c>
      <c r="X38" s="325">
        <f t="shared" si="25"/>
        <v>0</v>
      </c>
    </row>
    <row r="39" spans="1:24">
      <c r="A39" s="240" t="s">
        <v>50</v>
      </c>
      <c r="B39" s="1378" t="s">
        <v>49</v>
      </c>
      <c r="C39" s="1378"/>
      <c r="D39" s="241">
        <f t="shared" si="21"/>
        <v>450</v>
      </c>
      <c r="E39" s="323">
        <f t="shared" ref="E39:E40" si="26">+H39+K39+N39+Q39+T39+W39</f>
        <v>443</v>
      </c>
      <c r="F39" s="323">
        <f t="shared" ref="F39:F40" si="27">+I39+L39+O39+R39+U39+X39</f>
        <v>202</v>
      </c>
      <c r="G39" s="241">
        <v>180</v>
      </c>
      <c r="H39" s="241">
        <v>180</v>
      </c>
      <c r="I39" s="241">
        <v>119</v>
      </c>
      <c r="J39" s="241"/>
      <c r="K39" s="241"/>
      <c r="L39" s="241">
        <f>+J39+K39</f>
        <v>0</v>
      </c>
      <c r="M39" s="241"/>
      <c r="N39" s="241"/>
      <c r="O39" s="323">
        <f t="shared" si="22"/>
        <v>0</v>
      </c>
      <c r="P39" s="241">
        <v>270</v>
      </c>
      <c r="Q39" s="241">
        <v>263</v>
      </c>
      <c r="R39" s="323">
        <v>83</v>
      </c>
      <c r="S39" s="241"/>
      <c r="T39" s="241"/>
      <c r="U39" s="241"/>
      <c r="V39" s="241"/>
      <c r="W39" s="241"/>
      <c r="X39" s="323">
        <f t="shared" si="23"/>
        <v>0</v>
      </c>
    </row>
    <row r="40" spans="1:24">
      <c r="A40" s="240" t="s">
        <v>52</v>
      </c>
      <c r="B40" s="1378" t="s">
        <v>51</v>
      </c>
      <c r="C40" s="1378"/>
      <c r="D40" s="241">
        <f t="shared" si="21"/>
        <v>300</v>
      </c>
      <c r="E40" s="323">
        <f t="shared" si="26"/>
        <v>358</v>
      </c>
      <c r="F40" s="323">
        <f t="shared" si="27"/>
        <v>359</v>
      </c>
      <c r="G40" s="241">
        <v>240</v>
      </c>
      <c r="H40" s="241">
        <v>247</v>
      </c>
      <c r="I40" s="323">
        <v>284</v>
      </c>
      <c r="J40" s="241"/>
      <c r="K40" s="241">
        <v>51</v>
      </c>
      <c r="L40" s="323">
        <v>30</v>
      </c>
      <c r="M40" s="241"/>
      <c r="N40" s="241"/>
      <c r="O40" s="323">
        <f t="shared" si="22"/>
        <v>0</v>
      </c>
      <c r="P40" s="241">
        <v>60</v>
      </c>
      <c r="Q40" s="241">
        <v>60</v>
      </c>
      <c r="R40" s="323">
        <v>45</v>
      </c>
      <c r="S40" s="241"/>
      <c r="T40" s="241"/>
      <c r="U40" s="241"/>
      <c r="V40" s="241"/>
      <c r="W40" s="241"/>
      <c r="X40" s="323">
        <f t="shared" si="23"/>
        <v>0</v>
      </c>
    </row>
    <row r="41" spans="1:24" s="245" customFormat="1">
      <c r="A41" s="243" t="s">
        <v>53</v>
      </c>
      <c r="B41" s="1377" t="s">
        <v>445</v>
      </c>
      <c r="C41" s="1377"/>
      <c r="D41" s="325">
        <f>SUM(D39:D40)</f>
        <v>750</v>
      </c>
      <c r="E41" s="325">
        <f t="shared" ref="E41:X41" si="28">SUM(E39:E40)</f>
        <v>801</v>
      </c>
      <c r="F41" s="325">
        <f t="shared" si="28"/>
        <v>561</v>
      </c>
      <c r="G41" s="325">
        <f t="shared" si="28"/>
        <v>420</v>
      </c>
      <c r="H41" s="325">
        <f t="shared" si="28"/>
        <v>427</v>
      </c>
      <c r="I41" s="325">
        <f t="shared" si="28"/>
        <v>403</v>
      </c>
      <c r="J41" s="325">
        <f t="shared" si="28"/>
        <v>0</v>
      </c>
      <c r="K41" s="325">
        <f t="shared" si="28"/>
        <v>51</v>
      </c>
      <c r="L41" s="325">
        <f t="shared" si="28"/>
        <v>30</v>
      </c>
      <c r="M41" s="325">
        <f t="shared" si="28"/>
        <v>0</v>
      </c>
      <c r="N41" s="325">
        <f t="shared" si="28"/>
        <v>0</v>
      </c>
      <c r="O41" s="325">
        <f t="shared" si="28"/>
        <v>0</v>
      </c>
      <c r="P41" s="325">
        <f t="shared" si="28"/>
        <v>330</v>
      </c>
      <c r="Q41" s="325">
        <f t="shared" si="28"/>
        <v>323</v>
      </c>
      <c r="R41" s="325">
        <f t="shared" si="28"/>
        <v>128</v>
      </c>
      <c r="S41" s="325">
        <f t="shared" si="28"/>
        <v>0</v>
      </c>
      <c r="T41" s="325">
        <f t="shared" si="28"/>
        <v>0</v>
      </c>
      <c r="U41" s="325">
        <f t="shared" si="28"/>
        <v>0</v>
      </c>
      <c r="V41" s="325">
        <f t="shared" si="28"/>
        <v>0</v>
      </c>
      <c r="W41" s="325">
        <f t="shared" si="28"/>
        <v>0</v>
      </c>
      <c r="X41" s="325">
        <f t="shared" si="28"/>
        <v>0</v>
      </c>
    </row>
    <row r="42" spans="1:24">
      <c r="A42" s="240" t="s">
        <v>55</v>
      </c>
      <c r="B42" s="1378" t="s">
        <v>54</v>
      </c>
      <c r="C42" s="1378"/>
      <c r="D42" s="241">
        <f t="shared" si="21"/>
        <v>0</v>
      </c>
      <c r="E42" s="323">
        <f t="shared" ref="E42:E50" si="29">+H42+K42+N42+Q42+T42+W42</f>
        <v>0</v>
      </c>
      <c r="F42" s="323">
        <f t="shared" ref="F42:F50" si="30">+I42+L42+O42+R42+U42+X42</f>
        <v>0</v>
      </c>
      <c r="G42" s="241"/>
      <c r="H42" s="241"/>
      <c r="I42" s="241"/>
      <c r="J42" s="241"/>
      <c r="K42" s="241"/>
      <c r="L42" s="241">
        <f>+J42+K42</f>
        <v>0</v>
      </c>
      <c r="M42" s="241"/>
      <c r="N42" s="241"/>
      <c r="O42" s="323">
        <f t="shared" si="22"/>
        <v>0</v>
      </c>
      <c r="P42" s="241"/>
      <c r="Q42" s="241"/>
      <c r="R42" s="323">
        <f t="shared" ref="R42:R58" si="31">+P42+Q42</f>
        <v>0</v>
      </c>
      <c r="S42" s="241"/>
      <c r="T42" s="241"/>
      <c r="U42" s="241"/>
      <c r="V42" s="241"/>
      <c r="W42" s="241"/>
      <c r="X42" s="323">
        <f t="shared" si="23"/>
        <v>0</v>
      </c>
    </row>
    <row r="43" spans="1:24">
      <c r="A43" s="240" t="s">
        <v>57</v>
      </c>
      <c r="B43" s="1378" t="s">
        <v>56</v>
      </c>
      <c r="C43" s="1378"/>
      <c r="D43" s="241">
        <f t="shared" si="21"/>
        <v>0</v>
      </c>
      <c r="E43" s="323">
        <f t="shared" si="29"/>
        <v>479</v>
      </c>
      <c r="F43" s="323">
        <f t="shared" si="30"/>
        <v>468</v>
      </c>
      <c r="G43" s="241"/>
      <c r="H43" s="241">
        <v>479</v>
      </c>
      <c r="I43" s="323">
        <v>468</v>
      </c>
      <c r="J43" s="241"/>
      <c r="K43" s="241"/>
      <c r="L43" s="323">
        <f t="shared" ref="L43:L50" si="32">+J43+K43</f>
        <v>0</v>
      </c>
      <c r="M43" s="241"/>
      <c r="N43" s="241"/>
      <c r="O43" s="323">
        <f t="shared" si="22"/>
        <v>0</v>
      </c>
      <c r="P43" s="241"/>
      <c r="Q43" s="241"/>
      <c r="R43" s="323">
        <f t="shared" si="31"/>
        <v>0</v>
      </c>
      <c r="S43" s="241"/>
      <c r="T43" s="241"/>
      <c r="U43" s="241"/>
      <c r="V43" s="241"/>
      <c r="W43" s="241"/>
      <c r="X43" s="323">
        <f t="shared" si="23"/>
        <v>0</v>
      </c>
    </row>
    <row r="44" spans="1:24">
      <c r="A44" s="240" t="s">
        <v>58</v>
      </c>
      <c r="B44" s="1378" t="s">
        <v>446</v>
      </c>
      <c r="C44" s="1378"/>
      <c r="D44" s="241">
        <f t="shared" si="21"/>
        <v>440</v>
      </c>
      <c r="E44" s="323">
        <f t="shared" si="29"/>
        <v>226</v>
      </c>
      <c r="F44" s="323">
        <f t="shared" si="30"/>
        <v>226</v>
      </c>
      <c r="G44" s="241">
        <v>440</v>
      </c>
      <c r="H44" s="241">
        <v>226</v>
      </c>
      <c r="I44" s="323">
        <v>226</v>
      </c>
      <c r="J44" s="241"/>
      <c r="K44" s="241"/>
      <c r="L44" s="323">
        <f t="shared" si="32"/>
        <v>0</v>
      </c>
      <c r="M44" s="241"/>
      <c r="N44" s="241"/>
      <c r="O44" s="323">
        <f t="shared" si="22"/>
        <v>0</v>
      </c>
      <c r="P44" s="241"/>
      <c r="Q44" s="241"/>
      <c r="R44" s="323">
        <f t="shared" si="31"/>
        <v>0</v>
      </c>
      <c r="S44" s="241"/>
      <c r="T44" s="241"/>
      <c r="U44" s="241"/>
      <c r="V44" s="241"/>
      <c r="W44" s="241"/>
      <c r="X44" s="323">
        <f t="shared" si="23"/>
        <v>0</v>
      </c>
    </row>
    <row r="45" spans="1:24">
      <c r="A45" s="240" t="s">
        <v>60</v>
      </c>
      <c r="B45" s="1378" t="s">
        <v>59</v>
      </c>
      <c r="C45" s="1378"/>
      <c r="D45" s="241">
        <f t="shared" si="21"/>
        <v>50</v>
      </c>
      <c r="E45" s="323">
        <f t="shared" si="29"/>
        <v>50</v>
      </c>
      <c r="F45" s="323">
        <f t="shared" si="30"/>
        <v>44</v>
      </c>
      <c r="G45" s="241">
        <v>50</v>
      </c>
      <c r="H45" s="241">
        <v>43</v>
      </c>
      <c r="I45" s="323">
        <v>37</v>
      </c>
      <c r="J45" s="241"/>
      <c r="K45" s="241">
        <v>7</v>
      </c>
      <c r="L45" s="323">
        <v>7</v>
      </c>
      <c r="M45" s="241"/>
      <c r="N45" s="241"/>
      <c r="O45" s="323">
        <f t="shared" si="22"/>
        <v>0</v>
      </c>
      <c r="P45" s="241"/>
      <c r="Q45" s="241"/>
      <c r="R45" s="323">
        <f t="shared" si="31"/>
        <v>0</v>
      </c>
      <c r="S45" s="241"/>
      <c r="T45" s="241"/>
      <c r="U45" s="241"/>
      <c r="V45" s="241"/>
      <c r="W45" s="241"/>
      <c r="X45" s="323">
        <f t="shared" si="23"/>
        <v>0</v>
      </c>
    </row>
    <row r="46" spans="1:24">
      <c r="A46" s="240" t="s">
        <v>61</v>
      </c>
      <c r="B46" s="1378" t="s">
        <v>167</v>
      </c>
      <c r="C46" s="1378"/>
      <c r="D46" s="241">
        <f t="shared" si="21"/>
        <v>0</v>
      </c>
      <c r="E46" s="323">
        <f t="shared" si="29"/>
        <v>6102</v>
      </c>
      <c r="F46" s="323">
        <f t="shared" si="30"/>
        <v>5842</v>
      </c>
      <c r="G46" s="241"/>
      <c r="H46" s="241">
        <v>6102</v>
      </c>
      <c r="I46" s="323">
        <v>5842</v>
      </c>
      <c r="J46" s="241"/>
      <c r="K46" s="241"/>
      <c r="L46" s="323">
        <f t="shared" si="32"/>
        <v>0</v>
      </c>
      <c r="M46" s="241"/>
      <c r="N46" s="241"/>
      <c r="O46" s="323">
        <f t="shared" si="22"/>
        <v>0</v>
      </c>
      <c r="P46" s="241"/>
      <c r="Q46" s="241"/>
      <c r="R46" s="323">
        <f t="shared" si="31"/>
        <v>0</v>
      </c>
      <c r="S46" s="241"/>
      <c r="T46" s="241"/>
      <c r="U46" s="241"/>
      <c r="V46" s="241"/>
      <c r="W46" s="241"/>
      <c r="X46" s="323">
        <f t="shared" si="23"/>
        <v>0</v>
      </c>
    </row>
    <row r="47" spans="1:24" ht="25.5" customHeight="1">
      <c r="A47" s="251" t="s">
        <v>61</v>
      </c>
      <c r="B47" s="252"/>
      <c r="C47" s="253" t="s">
        <v>62</v>
      </c>
      <c r="D47" s="241">
        <f t="shared" si="21"/>
        <v>0</v>
      </c>
      <c r="E47" s="323">
        <f t="shared" si="29"/>
        <v>0</v>
      </c>
      <c r="F47" s="323">
        <f t="shared" si="30"/>
        <v>0</v>
      </c>
      <c r="G47" s="241"/>
      <c r="H47" s="241"/>
      <c r="I47" s="323"/>
      <c r="J47" s="241"/>
      <c r="K47" s="241"/>
      <c r="L47" s="323">
        <f t="shared" si="32"/>
        <v>0</v>
      </c>
      <c r="M47" s="241"/>
      <c r="N47" s="241"/>
      <c r="O47" s="323">
        <f t="shared" si="22"/>
        <v>0</v>
      </c>
      <c r="P47" s="241"/>
      <c r="Q47" s="241"/>
      <c r="R47" s="323">
        <f t="shared" si="31"/>
        <v>0</v>
      </c>
      <c r="S47" s="241"/>
      <c r="T47" s="241"/>
      <c r="U47" s="241"/>
      <c r="V47" s="241"/>
      <c r="W47" s="241"/>
      <c r="X47" s="323">
        <f t="shared" si="23"/>
        <v>0</v>
      </c>
    </row>
    <row r="48" spans="1:24" ht="25.5" customHeight="1">
      <c r="A48" s="251" t="s">
        <v>61</v>
      </c>
      <c r="B48" s="252"/>
      <c r="C48" s="253" t="s">
        <v>169</v>
      </c>
      <c r="D48" s="241">
        <f t="shared" si="21"/>
        <v>0</v>
      </c>
      <c r="E48" s="323">
        <f t="shared" si="29"/>
        <v>0</v>
      </c>
      <c r="F48" s="323">
        <f t="shared" si="30"/>
        <v>0</v>
      </c>
      <c r="G48" s="241"/>
      <c r="H48" s="241"/>
      <c r="I48" s="323"/>
      <c r="J48" s="241"/>
      <c r="K48" s="241"/>
      <c r="L48" s="323">
        <f t="shared" si="32"/>
        <v>0</v>
      </c>
      <c r="M48" s="241"/>
      <c r="N48" s="241"/>
      <c r="O48" s="323">
        <f t="shared" si="22"/>
        <v>0</v>
      </c>
      <c r="P48" s="241"/>
      <c r="Q48" s="241"/>
      <c r="R48" s="323">
        <f t="shared" si="31"/>
        <v>0</v>
      </c>
      <c r="S48" s="241"/>
      <c r="T48" s="241"/>
      <c r="U48" s="241"/>
      <c r="V48" s="241"/>
      <c r="W48" s="241"/>
      <c r="X48" s="323">
        <f t="shared" si="23"/>
        <v>0</v>
      </c>
    </row>
    <row r="49" spans="1:24">
      <c r="A49" s="240" t="s">
        <v>64</v>
      </c>
      <c r="B49" s="1378" t="s">
        <v>447</v>
      </c>
      <c r="C49" s="1378"/>
      <c r="D49" s="241">
        <f t="shared" si="21"/>
        <v>200</v>
      </c>
      <c r="E49" s="323">
        <f t="shared" si="29"/>
        <v>71</v>
      </c>
      <c r="F49" s="323">
        <f t="shared" si="30"/>
        <v>14</v>
      </c>
      <c r="G49" s="241">
        <v>200</v>
      </c>
      <c r="H49" s="241">
        <v>65</v>
      </c>
      <c r="I49" s="323">
        <v>8</v>
      </c>
      <c r="J49" s="241"/>
      <c r="K49" s="241">
        <v>6</v>
      </c>
      <c r="L49" s="323">
        <v>6</v>
      </c>
      <c r="M49" s="241"/>
      <c r="N49" s="241"/>
      <c r="O49" s="323">
        <f t="shared" si="22"/>
        <v>0</v>
      </c>
      <c r="P49" s="241"/>
      <c r="Q49" s="241"/>
      <c r="R49" s="323">
        <f t="shared" si="31"/>
        <v>0</v>
      </c>
      <c r="S49" s="241"/>
      <c r="T49" s="241"/>
      <c r="U49" s="241"/>
      <c r="V49" s="241"/>
      <c r="W49" s="241"/>
      <c r="X49" s="323">
        <f t="shared" si="23"/>
        <v>0</v>
      </c>
    </row>
    <row r="50" spans="1:24">
      <c r="A50" s="240" t="s">
        <v>66</v>
      </c>
      <c r="B50" s="1378" t="s">
        <v>448</v>
      </c>
      <c r="C50" s="1378"/>
      <c r="D50" s="241">
        <f t="shared" si="21"/>
        <v>7344</v>
      </c>
      <c r="E50" s="323">
        <f t="shared" si="29"/>
        <v>15410</v>
      </c>
      <c r="F50" s="323">
        <f t="shared" si="30"/>
        <v>15409</v>
      </c>
      <c r="G50" s="241">
        <v>2350</v>
      </c>
      <c r="H50" s="241">
        <v>10253</v>
      </c>
      <c r="I50" s="323">
        <v>10211</v>
      </c>
      <c r="J50" s="241"/>
      <c r="K50" s="241"/>
      <c r="L50" s="323">
        <f t="shared" si="32"/>
        <v>0</v>
      </c>
      <c r="M50" s="241">
        <v>1184</v>
      </c>
      <c r="N50" s="241">
        <v>1304</v>
      </c>
      <c r="O50" s="323">
        <v>1304</v>
      </c>
      <c r="P50" s="241">
        <v>390</v>
      </c>
      <c r="Q50" s="241">
        <v>390</v>
      </c>
      <c r="R50" s="323">
        <v>230</v>
      </c>
      <c r="S50" s="241"/>
      <c r="T50" s="241"/>
      <c r="U50" s="241"/>
      <c r="V50" s="241">
        <v>3420</v>
      </c>
      <c r="W50" s="241">
        <v>3463</v>
      </c>
      <c r="X50" s="323">
        <v>3664</v>
      </c>
    </row>
    <row r="51" spans="1:24" s="245" customFormat="1">
      <c r="A51" s="243" t="s">
        <v>67</v>
      </c>
      <c r="B51" s="1377" t="s">
        <v>449</v>
      </c>
      <c r="C51" s="1377"/>
      <c r="D51" s="325">
        <f>SUM(D42:D50)</f>
        <v>8034</v>
      </c>
      <c r="E51" s="325">
        <f t="shared" ref="E51:X51" si="33">SUM(E42:E50)</f>
        <v>22338</v>
      </c>
      <c r="F51" s="325">
        <f t="shared" si="33"/>
        <v>22003</v>
      </c>
      <c r="G51" s="325">
        <f t="shared" si="33"/>
        <v>3040</v>
      </c>
      <c r="H51" s="325">
        <f t="shared" si="33"/>
        <v>17168</v>
      </c>
      <c r="I51" s="325">
        <f t="shared" si="33"/>
        <v>16792</v>
      </c>
      <c r="J51" s="325">
        <f t="shared" si="33"/>
        <v>0</v>
      </c>
      <c r="K51" s="325">
        <f t="shared" si="33"/>
        <v>13</v>
      </c>
      <c r="L51" s="325">
        <f t="shared" si="33"/>
        <v>13</v>
      </c>
      <c r="M51" s="325">
        <f t="shared" si="33"/>
        <v>1184</v>
      </c>
      <c r="N51" s="325">
        <f t="shared" si="33"/>
        <v>1304</v>
      </c>
      <c r="O51" s="325">
        <f t="shared" si="33"/>
        <v>1304</v>
      </c>
      <c r="P51" s="325">
        <f t="shared" si="33"/>
        <v>390</v>
      </c>
      <c r="Q51" s="325">
        <f t="shared" si="33"/>
        <v>390</v>
      </c>
      <c r="R51" s="325">
        <f t="shared" si="33"/>
        <v>230</v>
      </c>
      <c r="S51" s="325">
        <f t="shared" si="33"/>
        <v>0</v>
      </c>
      <c r="T51" s="325">
        <f t="shared" si="33"/>
        <v>0</v>
      </c>
      <c r="U51" s="325">
        <f t="shared" si="33"/>
        <v>0</v>
      </c>
      <c r="V51" s="325">
        <f t="shared" si="33"/>
        <v>3420</v>
      </c>
      <c r="W51" s="325">
        <f t="shared" si="33"/>
        <v>3463</v>
      </c>
      <c r="X51" s="325">
        <f t="shared" si="33"/>
        <v>3664</v>
      </c>
    </row>
    <row r="52" spans="1:24">
      <c r="A52" s="240" t="s">
        <v>69</v>
      </c>
      <c r="B52" s="1378" t="s">
        <v>68</v>
      </c>
      <c r="C52" s="1378"/>
      <c r="D52" s="241">
        <f t="shared" si="21"/>
        <v>225</v>
      </c>
      <c r="E52" s="323">
        <f t="shared" ref="E52:E53" si="34">+H52+K52+N52+Q52+T52+W52</f>
        <v>238</v>
      </c>
      <c r="F52" s="323">
        <f t="shared" ref="F52:F53" si="35">+I52+L52+O52+R52+U52+X52</f>
        <v>238</v>
      </c>
      <c r="G52" s="241">
        <v>200</v>
      </c>
      <c r="H52" s="241">
        <v>222</v>
      </c>
      <c r="I52" s="241">
        <v>222</v>
      </c>
      <c r="J52" s="241"/>
      <c r="K52" s="241">
        <v>14</v>
      </c>
      <c r="L52" s="241">
        <v>14</v>
      </c>
      <c r="M52" s="241"/>
      <c r="N52" s="241"/>
      <c r="O52" s="323">
        <f t="shared" si="22"/>
        <v>0</v>
      </c>
      <c r="P52" s="241">
        <v>25</v>
      </c>
      <c r="Q52" s="241">
        <v>2</v>
      </c>
      <c r="R52" s="323">
        <v>2</v>
      </c>
      <c r="S52" s="241"/>
      <c r="T52" s="241"/>
      <c r="U52" s="241"/>
      <c r="V52" s="241"/>
      <c r="W52" s="241"/>
      <c r="X52" s="323">
        <f t="shared" si="23"/>
        <v>0</v>
      </c>
    </row>
    <row r="53" spans="1:24">
      <c r="A53" s="240" t="s">
        <v>71</v>
      </c>
      <c r="B53" s="1378" t="s">
        <v>70</v>
      </c>
      <c r="C53" s="1378"/>
      <c r="D53" s="241">
        <f t="shared" si="21"/>
        <v>700</v>
      </c>
      <c r="E53" s="323">
        <f t="shared" si="34"/>
        <v>841</v>
      </c>
      <c r="F53" s="323">
        <f t="shared" si="35"/>
        <v>828</v>
      </c>
      <c r="G53" s="241">
        <v>700</v>
      </c>
      <c r="H53" s="241">
        <v>841</v>
      </c>
      <c r="I53" s="323">
        <v>828</v>
      </c>
      <c r="J53" s="241"/>
      <c r="K53" s="241"/>
      <c r="L53" s="323">
        <f>+J53+K53</f>
        <v>0</v>
      </c>
      <c r="M53" s="241"/>
      <c r="N53" s="241"/>
      <c r="O53" s="323">
        <f t="shared" si="22"/>
        <v>0</v>
      </c>
      <c r="P53" s="241"/>
      <c r="Q53" s="241"/>
      <c r="R53" s="323">
        <f t="shared" si="31"/>
        <v>0</v>
      </c>
      <c r="S53" s="241"/>
      <c r="T53" s="241"/>
      <c r="U53" s="241"/>
      <c r="V53" s="241"/>
      <c r="W53" s="241"/>
      <c r="X53" s="323">
        <f t="shared" si="23"/>
        <v>0</v>
      </c>
    </row>
    <row r="54" spans="1:24" s="245" customFormat="1">
      <c r="A54" s="243" t="s">
        <v>72</v>
      </c>
      <c r="B54" s="1377" t="s">
        <v>156</v>
      </c>
      <c r="C54" s="1377"/>
      <c r="D54" s="325">
        <f>SUM(D52:D53)</f>
        <v>925</v>
      </c>
      <c r="E54" s="325">
        <f t="shared" ref="E54:X54" si="36">SUM(E52:E53)</f>
        <v>1079</v>
      </c>
      <c r="F54" s="325">
        <f t="shared" si="36"/>
        <v>1066</v>
      </c>
      <c r="G54" s="325">
        <f t="shared" si="36"/>
        <v>900</v>
      </c>
      <c r="H54" s="325">
        <f t="shared" si="36"/>
        <v>1063</v>
      </c>
      <c r="I54" s="325">
        <f t="shared" si="36"/>
        <v>1050</v>
      </c>
      <c r="J54" s="325">
        <f t="shared" si="36"/>
        <v>0</v>
      </c>
      <c r="K54" s="325">
        <f t="shared" si="36"/>
        <v>14</v>
      </c>
      <c r="L54" s="325">
        <f t="shared" si="36"/>
        <v>14</v>
      </c>
      <c r="M54" s="325">
        <f t="shared" si="36"/>
        <v>0</v>
      </c>
      <c r="N54" s="325">
        <f t="shared" si="36"/>
        <v>0</v>
      </c>
      <c r="O54" s="325">
        <f t="shared" si="36"/>
        <v>0</v>
      </c>
      <c r="P54" s="325">
        <f t="shared" si="36"/>
        <v>25</v>
      </c>
      <c r="Q54" s="325">
        <f t="shared" si="36"/>
        <v>2</v>
      </c>
      <c r="R54" s="325">
        <f t="shared" si="36"/>
        <v>2</v>
      </c>
      <c r="S54" s="325">
        <f t="shared" si="36"/>
        <v>0</v>
      </c>
      <c r="T54" s="325">
        <f t="shared" si="36"/>
        <v>0</v>
      </c>
      <c r="U54" s="325">
        <f t="shared" si="36"/>
        <v>0</v>
      </c>
      <c r="V54" s="325">
        <f t="shared" si="36"/>
        <v>0</v>
      </c>
      <c r="W54" s="325">
        <f t="shared" si="36"/>
        <v>0</v>
      </c>
      <c r="X54" s="325">
        <f t="shared" si="36"/>
        <v>0</v>
      </c>
    </row>
    <row r="55" spans="1:24">
      <c r="A55" s="240" t="s">
        <v>74</v>
      </c>
      <c r="B55" s="1378" t="s">
        <v>73</v>
      </c>
      <c r="C55" s="1378"/>
      <c r="D55" s="241">
        <f t="shared" si="21"/>
        <v>2224</v>
      </c>
      <c r="E55" s="323">
        <f t="shared" ref="E55:E59" si="37">+H55+K55+N55+Q55+T55+W55</f>
        <v>4589</v>
      </c>
      <c r="F55" s="323">
        <f t="shared" ref="F55:F59" si="38">+I55+L55+O55+R55+U55+X55</f>
        <v>4589</v>
      </c>
      <c r="G55" s="241">
        <v>1158</v>
      </c>
      <c r="H55" s="241">
        <v>3830</v>
      </c>
      <c r="I55" s="241">
        <v>3691</v>
      </c>
      <c r="J55" s="241">
        <v>122</v>
      </c>
      <c r="K55" s="241">
        <v>34</v>
      </c>
      <c r="L55" s="241">
        <v>34</v>
      </c>
      <c r="M55" s="241">
        <v>135</v>
      </c>
      <c r="N55" s="241">
        <v>58</v>
      </c>
      <c r="O55" s="323">
        <v>58</v>
      </c>
      <c r="P55" s="241">
        <v>323</v>
      </c>
      <c r="Q55" s="241">
        <v>181</v>
      </c>
      <c r="R55" s="323">
        <v>181</v>
      </c>
      <c r="S55" s="241"/>
      <c r="T55" s="241"/>
      <c r="U55" s="241"/>
      <c r="V55" s="241">
        <v>486</v>
      </c>
      <c r="W55" s="241">
        <v>486</v>
      </c>
      <c r="X55" s="323">
        <v>625</v>
      </c>
    </row>
    <row r="56" spans="1:24">
      <c r="A56" s="240" t="s">
        <v>76</v>
      </c>
      <c r="B56" s="1378" t="s">
        <v>450</v>
      </c>
      <c r="C56" s="1378"/>
      <c r="D56" s="241">
        <f t="shared" si="21"/>
        <v>759</v>
      </c>
      <c r="E56" s="323">
        <f t="shared" si="37"/>
        <v>4975</v>
      </c>
      <c r="F56" s="323">
        <f t="shared" si="38"/>
        <v>4478</v>
      </c>
      <c r="G56" s="241">
        <v>326</v>
      </c>
      <c r="H56" s="241">
        <v>4666</v>
      </c>
      <c r="I56" s="323">
        <v>4478</v>
      </c>
      <c r="J56" s="241">
        <v>312</v>
      </c>
      <c r="K56" s="241">
        <v>0</v>
      </c>
      <c r="L56" s="323"/>
      <c r="M56" s="241"/>
      <c r="N56" s="241"/>
      <c r="O56" s="323">
        <f t="shared" si="22"/>
        <v>0</v>
      </c>
      <c r="P56" s="241">
        <v>24</v>
      </c>
      <c r="Q56" s="241">
        <v>44</v>
      </c>
      <c r="R56" s="323">
        <v>0</v>
      </c>
      <c r="S56" s="241"/>
      <c r="T56" s="241"/>
      <c r="U56" s="241"/>
      <c r="V56" s="241">
        <v>97</v>
      </c>
      <c r="W56" s="241">
        <v>265</v>
      </c>
      <c r="X56" s="323"/>
    </row>
    <row r="57" spans="1:24">
      <c r="A57" s="240" t="s">
        <v>77</v>
      </c>
      <c r="B57" s="1378" t="s">
        <v>451</v>
      </c>
      <c r="C57" s="1378"/>
      <c r="D57" s="241">
        <f t="shared" si="21"/>
        <v>0</v>
      </c>
      <c r="E57" s="323">
        <f t="shared" si="37"/>
        <v>0</v>
      </c>
      <c r="F57" s="323">
        <f t="shared" si="38"/>
        <v>0</v>
      </c>
      <c r="G57" s="241"/>
      <c r="H57" s="241"/>
      <c r="I57" s="323"/>
      <c r="J57" s="241"/>
      <c r="K57" s="241"/>
      <c r="L57" s="323"/>
      <c r="M57" s="241"/>
      <c r="N57" s="241"/>
      <c r="O57" s="323">
        <f t="shared" si="22"/>
        <v>0</v>
      </c>
      <c r="P57" s="241"/>
      <c r="Q57" s="241"/>
      <c r="R57" s="323">
        <f t="shared" si="31"/>
        <v>0</v>
      </c>
      <c r="S57" s="241"/>
      <c r="T57" s="241"/>
      <c r="U57" s="241"/>
      <c r="V57" s="241"/>
      <c r="W57" s="241"/>
      <c r="X57" s="323"/>
    </row>
    <row r="58" spans="1:24">
      <c r="A58" s="240" t="s">
        <v>78</v>
      </c>
      <c r="B58" s="1378" t="s">
        <v>452</v>
      </c>
      <c r="C58" s="1378"/>
      <c r="D58" s="241">
        <f t="shared" si="21"/>
        <v>0</v>
      </c>
      <c r="E58" s="323">
        <f t="shared" si="37"/>
        <v>0</v>
      </c>
      <c r="F58" s="323">
        <f t="shared" si="38"/>
        <v>0</v>
      </c>
      <c r="G58" s="241"/>
      <c r="H58" s="241"/>
      <c r="I58" s="323"/>
      <c r="J58" s="241"/>
      <c r="K58" s="241"/>
      <c r="L58" s="323"/>
      <c r="M58" s="241"/>
      <c r="N58" s="241"/>
      <c r="O58" s="323">
        <f t="shared" si="22"/>
        <v>0</v>
      </c>
      <c r="P58" s="241"/>
      <c r="Q58" s="241"/>
      <c r="R58" s="323">
        <f t="shared" si="31"/>
        <v>0</v>
      </c>
      <c r="S58" s="241"/>
      <c r="T58" s="241"/>
      <c r="U58" s="241"/>
      <c r="V58" s="241"/>
      <c r="W58" s="241"/>
      <c r="X58" s="323"/>
    </row>
    <row r="59" spans="1:24">
      <c r="A59" s="240" t="s">
        <v>80</v>
      </c>
      <c r="B59" s="1378" t="s">
        <v>79</v>
      </c>
      <c r="C59" s="1378"/>
      <c r="D59" s="241">
        <f t="shared" si="21"/>
        <v>25</v>
      </c>
      <c r="E59" s="323">
        <f t="shared" si="37"/>
        <v>694</v>
      </c>
      <c r="F59" s="323">
        <f t="shared" si="38"/>
        <v>652</v>
      </c>
      <c r="G59" s="241"/>
      <c r="H59" s="241">
        <v>669</v>
      </c>
      <c r="I59" s="323">
        <v>632</v>
      </c>
      <c r="J59" s="241"/>
      <c r="K59" s="241"/>
      <c r="L59" s="323"/>
      <c r="M59" s="241"/>
      <c r="N59" s="241"/>
      <c r="O59" s="323">
        <f t="shared" si="22"/>
        <v>0</v>
      </c>
      <c r="P59" s="241">
        <v>25</v>
      </c>
      <c r="Q59" s="241">
        <v>25</v>
      </c>
      <c r="R59" s="323">
        <v>20</v>
      </c>
      <c r="S59" s="241"/>
      <c r="T59" s="241"/>
      <c r="U59" s="241"/>
      <c r="V59" s="241"/>
      <c r="W59" s="241"/>
      <c r="X59" s="323"/>
    </row>
    <row r="60" spans="1:24">
      <c r="A60" s="243" t="s">
        <v>81</v>
      </c>
      <c r="B60" s="1377" t="s">
        <v>153</v>
      </c>
      <c r="C60" s="1377"/>
      <c r="D60" s="325">
        <f>SUM(D55:D59)</f>
        <v>3008</v>
      </c>
      <c r="E60" s="325">
        <f t="shared" ref="E60:X60" si="39">SUM(E55:E59)</f>
        <v>10258</v>
      </c>
      <c r="F60" s="325">
        <f t="shared" si="39"/>
        <v>9719</v>
      </c>
      <c r="G60" s="325">
        <f t="shared" si="39"/>
        <v>1484</v>
      </c>
      <c r="H60" s="325">
        <f t="shared" si="39"/>
        <v>9165</v>
      </c>
      <c r="I60" s="325">
        <f t="shared" si="39"/>
        <v>8801</v>
      </c>
      <c r="J60" s="325">
        <f t="shared" si="39"/>
        <v>434</v>
      </c>
      <c r="K60" s="325">
        <f t="shared" si="39"/>
        <v>34</v>
      </c>
      <c r="L60" s="325">
        <f t="shared" si="39"/>
        <v>34</v>
      </c>
      <c r="M60" s="325">
        <f t="shared" si="39"/>
        <v>135</v>
      </c>
      <c r="N60" s="325">
        <f t="shared" si="39"/>
        <v>58</v>
      </c>
      <c r="O60" s="325">
        <f t="shared" si="39"/>
        <v>58</v>
      </c>
      <c r="P60" s="325">
        <f t="shared" si="39"/>
        <v>372</v>
      </c>
      <c r="Q60" s="325">
        <f t="shared" si="39"/>
        <v>250</v>
      </c>
      <c r="R60" s="325">
        <f t="shared" si="39"/>
        <v>201</v>
      </c>
      <c r="S60" s="325">
        <f t="shared" si="39"/>
        <v>0</v>
      </c>
      <c r="T60" s="325">
        <f t="shared" si="39"/>
        <v>0</v>
      </c>
      <c r="U60" s="325">
        <f t="shared" si="39"/>
        <v>0</v>
      </c>
      <c r="V60" s="325">
        <f t="shared" si="39"/>
        <v>583</v>
      </c>
      <c r="W60" s="325">
        <f t="shared" si="39"/>
        <v>751</v>
      </c>
      <c r="X60" s="325">
        <f t="shared" si="39"/>
        <v>625</v>
      </c>
    </row>
    <row r="61" spans="1:24">
      <c r="A61" s="243" t="s">
        <v>82</v>
      </c>
      <c r="B61" s="1377" t="s">
        <v>344</v>
      </c>
      <c r="C61" s="1377"/>
      <c r="D61" s="244">
        <f>+D60+D54+D51+D41+D38</f>
        <v>14892</v>
      </c>
      <c r="E61" s="325">
        <f t="shared" ref="E61:X61" si="40">+E60+E54+E51+E41+E38</f>
        <v>37182</v>
      </c>
      <c r="F61" s="325">
        <f t="shared" si="40"/>
        <v>35810</v>
      </c>
      <c r="G61" s="325">
        <f t="shared" si="40"/>
        <v>6649</v>
      </c>
      <c r="H61" s="325">
        <f t="shared" si="40"/>
        <v>28991</v>
      </c>
      <c r="I61" s="325">
        <f t="shared" si="40"/>
        <v>28215</v>
      </c>
      <c r="J61" s="325">
        <f t="shared" si="40"/>
        <v>884</v>
      </c>
      <c r="K61" s="325">
        <f t="shared" si="40"/>
        <v>283</v>
      </c>
      <c r="L61" s="325">
        <f t="shared" si="40"/>
        <v>182</v>
      </c>
      <c r="M61" s="325">
        <f t="shared" si="40"/>
        <v>1319</v>
      </c>
      <c r="N61" s="325">
        <f t="shared" si="40"/>
        <v>1423</v>
      </c>
      <c r="O61" s="325">
        <f t="shared" si="40"/>
        <v>1423</v>
      </c>
      <c r="P61" s="325">
        <f t="shared" si="40"/>
        <v>2037</v>
      </c>
      <c r="Q61" s="325">
        <f t="shared" si="40"/>
        <v>2271</v>
      </c>
      <c r="R61" s="325">
        <f t="shared" si="40"/>
        <v>1701</v>
      </c>
      <c r="S61" s="325">
        <f t="shared" si="40"/>
        <v>0</v>
      </c>
      <c r="T61" s="325">
        <f t="shared" si="40"/>
        <v>0</v>
      </c>
      <c r="U61" s="325">
        <f t="shared" si="40"/>
        <v>0</v>
      </c>
      <c r="V61" s="325">
        <f t="shared" si="40"/>
        <v>4003</v>
      </c>
      <c r="W61" s="325">
        <f t="shared" si="40"/>
        <v>4214</v>
      </c>
      <c r="X61" s="325">
        <f t="shared" si="40"/>
        <v>4289</v>
      </c>
    </row>
    <row r="62" spans="1:24">
      <c r="A62" s="246"/>
      <c r="B62" s="1379"/>
      <c r="C62" s="1379"/>
      <c r="D62" s="248"/>
      <c r="E62" s="248"/>
      <c r="F62" s="249"/>
      <c r="G62" s="250"/>
      <c r="H62" s="248"/>
      <c r="I62" s="249"/>
      <c r="J62" s="250"/>
      <c r="K62" s="248"/>
      <c r="L62" s="249"/>
      <c r="M62" s="250"/>
      <c r="N62" s="248"/>
      <c r="O62" s="249"/>
      <c r="P62" s="250"/>
      <c r="Q62" s="248"/>
      <c r="R62" s="249"/>
      <c r="S62" s="250"/>
      <c r="T62" s="248"/>
      <c r="U62" s="249"/>
      <c r="V62" s="250"/>
      <c r="W62" s="248"/>
      <c r="X62" s="249"/>
    </row>
    <row r="63" spans="1:24" ht="15.75" customHeight="1">
      <c r="A63" s="240" t="s">
        <v>97</v>
      </c>
      <c r="B63" s="1264" t="s">
        <v>732</v>
      </c>
      <c r="C63" s="1264"/>
      <c r="D63" s="323">
        <f>+G63+J63+M63+P63+S63+V63</f>
        <v>0</v>
      </c>
      <c r="E63" s="323">
        <f t="shared" ref="E63" si="41">+H63+K63+N63+Q63+T63+W63</f>
        <v>11</v>
      </c>
      <c r="F63" s="323">
        <v>11</v>
      </c>
      <c r="G63" s="323"/>
      <c r="H63" s="323"/>
      <c r="I63" s="323"/>
      <c r="J63" s="323"/>
      <c r="K63" s="323"/>
      <c r="L63" s="323"/>
      <c r="M63" s="323"/>
      <c r="N63" s="323"/>
      <c r="O63" s="323"/>
      <c r="P63" s="323"/>
      <c r="Q63" s="323">
        <v>11</v>
      </c>
      <c r="R63" s="323">
        <v>0</v>
      </c>
      <c r="S63" s="323"/>
      <c r="T63" s="323"/>
      <c r="U63" s="323"/>
      <c r="V63" s="323"/>
      <c r="W63" s="323"/>
      <c r="X63" s="323"/>
    </row>
    <row r="64" spans="1:24" ht="27" customHeight="1">
      <c r="A64" s="240" t="s">
        <v>102</v>
      </c>
      <c r="B64" s="1264" t="s">
        <v>733</v>
      </c>
      <c r="C64" s="1264"/>
      <c r="D64" s="323">
        <f>+G64+J64+M64+P64+S64+V64</f>
        <v>0</v>
      </c>
      <c r="E64" s="323">
        <f t="shared" ref="E64:F64" si="42">+H64+K64+N64+Q64+T64+W64</f>
        <v>4419</v>
      </c>
      <c r="F64" s="323">
        <f t="shared" si="42"/>
        <v>4419</v>
      </c>
      <c r="G64" s="323"/>
      <c r="H64" s="323">
        <v>4419</v>
      </c>
      <c r="I64" s="323">
        <v>4419</v>
      </c>
      <c r="J64" s="323"/>
      <c r="K64" s="323"/>
      <c r="L64" s="323">
        <f>+J64+K64</f>
        <v>0</v>
      </c>
      <c r="M64" s="323"/>
      <c r="N64" s="323"/>
      <c r="O64" s="323">
        <f>+M64+N64</f>
        <v>0</v>
      </c>
      <c r="P64" s="323"/>
      <c r="Q64" s="323"/>
      <c r="R64" s="323">
        <f>+P64+Q64</f>
        <v>0</v>
      </c>
      <c r="S64" s="323"/>
      <c r="T64" s="323"/>
      <c r="U64" s="323"/>
      <c r="V64" s="323"/>
      <c r="W64" s="323"/>
      <c r="X64" s="323"/>
    </row>
    <row r="65" spans="1:24">
      <c r="A65" s="240" t="s">
        <v>106</v>
      </c>
      <c r="B65" s="1378" t="s">
        <v>165</v>
      </c>
      <c r="C65" s="1378"/>
      <c r="D65" s="323">
        <f t="shared" ref="D65:D66" si="43">+G65+J65+M65+P65+S65+V65</f>
        <v>13359</v>
      </c>
      <c r="E65" s="323">
        <f t="shared" ref="E65:E66" si="44">+H65+K65+N65+Q65+T65+W65</f>
        <v>13489</v>
      </c>
      <c r="F65" s="323">
        <f t="shared" ref="F65:F66" si="45">+I65+L65+O65+R65+U65+X65</f>
        <v>13489</v>
      </c>
      <c r="G65" s="241">
        <v>9030</v>
      </c>
      <c r="H65" s="241">
        <v>9160</v>
      </c>
      <c r="I65" s="323">
        <v>9160</v>
      </c>
      <c r="J65" s="241"/>
      <c r="K65" s="241"/>
      <c r="L65" s="323">
        <f t="shared" ref="L65:L66" si="46">+J65+K65</f>
        <v>0</v>
      </c>
      <c r="M65" s="241"/>
      <c r="N65" s="241"/>
      <c r="O65" s="323">
        <f t="shared" ref="O65:O66" si="47">+M65+N65</f>
        <v>0</v>
      </c>
      <c r="P65" s="241">
        <v>4329</v>
      </c>
      <c r="Q65" s="241">
        <v>4329</v>
      </c>
      <c r="R65" s="323">
        <v>4329</v>
      </c>
      <c r="S65" s="241"/>
      <c r="T65" s="241"/>
      <c r="U65" s="241"/>
      <c r="V65" s="241"/>
      <c r="W65" s="241"/>
      <c r="X65" s="241"/>
    </row>
    <row r="66" spans="1:24" ht="38.25" customHeight="1">
      <c r="A66" s="262" t="s">
        <v>106</v>
      </c>
      <c r="B66" s="252"/>
      <c r="C66" s="263" t="s">
        <v>105</v>
      </c>
      <c r="D66" s="323">
        <f t="shared" si="43"/>
        <v>13359</v>
      </c>
      <c r="E66" s="323">
        <f t="shared" si="44"/>
        <v>13489</v>
      </c>
      <c r="F66" s="323">
        <f t="shared" si="45"/>
        <v>13489</v>
      </c>
      <c r="G66" s="241">
        <v>9030</v>
      </c>
      <c r="H66" s="241">
        <v>9160</v>
      </c>
      <c r="I66" s="323">
        <v>9160</v>
      </c>
      <c r="J66" s="241"/>
      <c r="K66" s="241"/>
      <c r="L66" s="323">
        <f t="shared" si="46"/>
        <v>0</v>
      </c>
      <c r="M66" s="241"/>
      <c r="N66" s="241"/>
      <c r="O66" s="323">
        <f t="shared" si="47"/>
        <v>0</v>
      </c>
      <c r="P66" s="241">
        <v>4329</v>
      </c>
      <c r="Q66" s="241">
        <v>4329</v>
      </c>
      <c r="R66" s="323">
        <v>4329</v>
      </c>
      <c r="S66" s="241"/>
      <c r="T66" s="241"/>
      <c r="U66" s="241"/>
      <c r="V66" s="241"/>
      <c r="W66" s="241"/>
      <c r="X66" s="241"/>
    </row>
    <row r="67" spans="1:24">
      <c r="A67" s="243" t="s">
        <v>109</v>
      </c>
      <c r="B67" s="1377" t="s">
        <v>164</v>
      </c>
      <c r="C67" s="1377"/>
      <c r="D67" s="244">
        <f>+D65+D64+D63</f>
        <v>13359</v>
      </c>
      <c r="E67" s="325">
        <f t="shared" ref="E67:X67" si="48">+E65+E64+E63</f>
        <v>17919</v>
      </c>
      <c r="F67" s="325">
        <f t="shared" si="48"/>
        <v>17919</v>
      </c>
      <c r="G67" s="325">
        <f t="shared" si="48"/>
        <v>9030</v>
      </c>
      <c r="H67" s="325">
        <f>+H65+H64+H63</f>
        <v>13579</v>
      </c>
      <c r="I67" s="325">
        <f t="shared" si="48"/>
        <v>13579</v>
      </c>
      <c r="J67" s="325">
        <f t="shared" si="48"/>
        <v>0</v>
      </c>
      <c r="K67" s="325">
        <f t="shared" si="48"/>
        <v>0</v>
      </c>
      <c r="L67" s="325">
        <f t="shared" si="48"/>
        <v>0</v>
      </c>
      <c r="M67" s="325">
        <f t="shared" si="48"/>
        <v>0</v>
      </c>
      <c r="N67" s="325">
        <f t="shared" si="48"/>
        <v>0</v>
      </c>
      <c r="O67" s="325">
        <f t="shared" si="48"/>
        <v>0</v>
      </c>
      <c r="P67" s="325">
        <f t="shared" si="48"/>
        <v>4329</v>
      </c>
      <c r="Q67" s="325">
        <f t="shared" si="48"/>
        <v>4340</v>
      </c>
      <c r="R67" s="325">
        <f t="shared" si="48"/>
        <v>4329</v>
      </c>
      <c r="S67" s="325">
        <f t="shared" si="48"/>
        <v>0</v>
      </c>
      <c r="T67" s="325">
        <f t="shared" si="48"/>
        <v>0</v>
      </c>
      <c r="U67" s="325">
        <f t="shared" si="48"/>
        <v>0</v>
      </c>
      <c r="V67" s="325">
        <f t="shared" si="48"/>
        <v>0</v>
      </c>
      <c r="W67" s="325">
        <f t="shared" si="48"/>
        <v>0</v>
      </c>
      <c r="X67" s="325">
        <f t="shared" si="48"/>
        <v>0</v>
      </c>
    </row>
    <row r="68" spans="1:24" ht="27.75" customHeight="1">
      <c r="A68" s="264"/>
      <c r="B68" s="265"/>
      <c r="C68" s="265"/>
      <c r="D68" s="266"/>
      <c r="E68" s="266"/>
      <c r="F68" s="266"/>
      <c r="G68" s="266"/>
      <c r="H68" s="266"/>
      <c r="I68" s="266"/>
      <c r="J68" s="266"/>
      <c r="K68" s="266"/>
      <c r="L68" s="266"/>
      <c r="M68" s="266"/>
      <c r="N68" s="266"/>
      <c r="O68" s="266"/>
      <c r="P68" s="266"/>
      <c r="Q68" s="266"/>
      <c r="R68" s="266"/>
      <c r="S68" s="266"/>
      <c r="T68" s="266"/>
      <c r="U68" s="266"/>
      <c r="V68" s="266"/>
      <c r="W68" s="266"/>
      <c r="X68" s="266"/>
    </row>
    <row r="69" spans="1:24" ht="21.75" customHeight="1">
      <c r="A69" s="267"/>
      <c r="B69" s="268"/>
      <c r="C69" s="268"/>
      <c r="D69" s="261"/>
      <c r="E69" s="261"/>
      <c r="F69" s="261"/>
      <c r="G69" s="261"/>
      <c r="H69" s="261"/>
      <c r="I69" s="261"/>
      <c r="J69" s="261"/>
      <c r="K69" s="261"/>
      <c r="L69" s="261"/>
      <c r="M69" s="261"/>
      <c r="N69" s="261"/>
      <c r="O69" s="261"/>
      <c r="P69" s="261"/>
      <c r="Q69" s="261"/>
      <c r="R69" s="261"/>
      <c r="S69" s="261"/>
      <c r="T69" s="261"/>
      <c r="U69" s="261"/>
      <c r="V69" s="261"/>
      <c r="W69" s="261"/>
      <c r="X69" s="261"/>
    </row>
    <row r="70" spans="1:24">
      <c r="A70" s="240" t="s">
        <v>111</v>
      </c>
      <c r="B70" s="1378" t="s">
        <v>110</v>
      </c>
      <c r="C70" s="1378"/>
      <c r="D70" s="241">
        <f>+G70+J70+M70+P70+S70+V70</f>
        <v>0</v>
      </c>
      <c r="E70" s="323">
        <f t="shared" ref="E70:F77" si="49">+H70+K70+N70+Q70+T70+W70</f>
        <v>0</v>
      </c>
      <c r="F70" s="323">
        <f t="shared" si="49"/>
        <v>0</v>
      </c>
      <c r="G70" s="241"/>
      <c r="H70" s="241"/>
      <c r="I70" s="241"/>
      <c r="J70" s="241"/>
      <c r="K70" s="241"/>
      <c r="L70" s="241"/>
      <c r="M70" s="241"/>
      <c r="N70" s="241"/>
      <c r="O70" s="241"/>
      <c r="P70" s="241"/>
      <c r="Q70" s="241"/>
      <c r="R70" s="241"/>
      <c r="S70" s="241"/>
      <c r="T70" s="241"/>
      <c r="U70" s="241"/>
      <c r="V70" s="241"/>
      <c r="W70" s="241"/>
      <c r="X70" s="241"/>
    </row>
    <row r="71" spans="1:24">
      <c r="A71" s="240" t="s">
        <v>112</v>
      </c>
      <c r="B71" s="1378" t="s">
        <v>453</v>
      </c>
      <c r="C71" s="1378"/>
      <c r="D71" s="241">
        <f t="shared" ref="D71:D77" si="50">+G71+J71+M71+P71+S71+V71</f>
        <v>0</v>
      </c>
      <c r="E71" s="323">
        <f t="shared" si="49"/>
        <v>0</v>
      </c>
      <c r="F71" s="323">
        <f t="shared" si="49"/>
        <v>0</v>
      </c>
      <c r="G71" s="241"/>
      <c r="H71" s="241"/>
      <c r="I71" s="323"/>
      <c r="J71" s="241"/>
      <c r="K71" s="241"/>
      <c r="L71" s="241"/>
      <c r="M71" s="241"/>
      <c r="N71" s="241"/>
      <c r="O71" s="241"/>
      <c r="P71" s="241"/>
      <c r="Q71" s="241"/>
      <c r="R71" s="241"/>
      <c r="S71" s="241"/>
      <c r="T71" s="241"/>
      <c r="U71" s="241"/>
      <c r="V71" s="241"/>
      <c r="W71" s="241"/>
      <c r="X71" s="241"/>
    </row>
    <row r="72" spans="1:24" ht="25.5" customHeight="1">
      <c r="A72" s="251" t="s">
        <v>112</v>
      </c>
      <c r="B72" s="252"/>
      <c r="C72" s="263" t="s">
        <v>113</v>
      </c>
      <c r="D72" s="241">
        <f t="shared" si="50"/>
        <v>0</v>
      </c>
      <c r="E72" s="323">
        <f t="shared" si="49"/>
        <v>0</v>
      </c>
      <c r="F72" s="323">
        <f t="shared" si="49"/>
        <v>0</v>
      </c>
      <c r="G72" s="241"/>
      <c r="H72" s="241"/>
      <c r="I72" s="323"/>
      <c r="J72" s="241"/>
      <c r="K72" s="241"/>
      <c r="L72" s="241"/>
      <c r="M72" s="241"/>
      <c r="N72" s="241"/>
      <c r="O72" s="241"/>
      <c r="P72" s="241"/>
      <c r="Q72" s="241"/>
      <c r="R72" s="241"/>
      <c r="S72" s="241"/>
      <c r="T72" s="241"/>
      <c r="U72" s="241"/>
      <c r="V72" s="241"/>
      <c r="W72" s="241"/>
      <c r="X72" s="241"/>
    </row>
    <row r="73" spans="1:24">
      <c r="A73" s="240" t="s">
        <v>115</v>
      </c>
      <c r="B73" s="1378" t="s">
        <v>114</v>
      </c>
      <c r="C73" s="1378"/>
      <c r="D73" s="241">
        <f t="shared" si="50"/>
        <v>0</v>
      </c>
      <c r="E73" s="323">
        <f t="shared" si="49"/>
        <v>118</v>
      </c>
      <c r="F73" s="323">
        <f t="shared" si="49"/>
        <v>118</v>
      </c>
      <c r="G73" s="241"/>
      <c r="H73" s="241">
        <v>118</v>
      </c>
      <c r="I73" s="323">
        <v>118</v>
      </c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</row>
    <row r="74" spans="1:24">
      <c r="A74" s="240" t="s">
        <v>117</v>
      </c>
      <c r="B74" s="1378" t="s">
        <v>116</v>
      </c>
      <c r="C74" s="1378"/>
      <c r="D74" s="241">
        <f t="shared" si="50"/>
        <v>79</v>
      </c>
      <c r="E74" s="323">
        <f t="shared" si="49"/>
        <v>2630</v>
      </c>
      <c r="F74" s="323">
        <f t="shared" si="49"/>
        <v>2614</v>
      </c>
      <c r="G74" s="241">
        <v>79</v>
      </c>
      <c r="H74" s="241">
        <v>2552</v>
      </c>
      <c r="I74" s="323">
        <v>2536</v>
      </c>
      <c r="J74" s="241"/>
      <c r="K74" s="241">
        <v>78</v>
      </c>
      <c r="L74" s="241">
        <v>78</v>
      </c>
      <c r="M74" s="241"/>
      <c r="N74" s="241"/>
      <c r="O74" s="241"/>
      <c r="P74" s="241"/>
      <c r="Q74" s="241"/>
      <c r="R74" s="241"/>
      <c r="S74" s="241"/>
      <c r="T74" s="241"/>
      <c r="U74" s="241"/>
      <c r="V74" s="241"/>
      <c r="W74" s="241"/>
      <c r="X74" s="241"/>
    </row>
    <row r="75" spans="1:24">
      <c r="A75" s="240" t="s">
        <v>119</v>
      </c>
      <c r="B75" s="1378" t="s">
        <v>118</v>
      </c>
      <c r="C75" s="1378"/>
      <c r="D75" s="241">
        <f t="shared" si="50"/>
        <v>0</v>
      </c>
      <c r="E75" s="323">
        <f t="shared" si="49"/>
        <v>0</v>
      </c>
      <c r="F75" s="323">
        <f t="shared" si="49"/>
        <v>0</v>
      </c>
      <c r="G75" s="241"/>
      <c r="H75" s="241"/>
      <c r="I75" s="323"/>
      <c r="J75" s="241"/>
      <c r="K75" s="241"/>
      <c r="L75" s="241"/>
      <c r="M75" s="241"/>
      <c r="N75" s="241"/>
      <c r="O75" s="241"/>
      <c r="P75" s="241"/>
      <c r="Q75" s="241"/>
      <c r="R75" s="241"/>
      <c r="S75" s="241"/>
      <c r="T75" s="241"/>
      <c r="U75" s="241"/>
      <c r="V75" s="241"/>
      <c r="W75" s="241"/>
      <c r="X75" s="241"/>
    </row>
    <row r="76" spans="1:24">
      <c r="A76" s="240" t="s">
        <v>121</v>
      </c>
      <c r="B76" s="1378" t="s">
        <v>120</v>
      </c>
      <c r="C76" s="1378"/>
      <c r="D76" s="241">
        <f t="shared" si="50"/>
        <v>0</v>
      </c>
      <c r="E76" s="323">
        <f t="shared" si="49"/>
        <v>0</v>
      </c>
      <c r="F76" s="323">
        <f t="shared" si="49"/>
        <v>0</v>
      </c>
      <c r="G76" s="241"/>
      <c r="H76" s="241"/>
      <c r="I76" s="323"/>
      <c r="J76" s="241"/>
      <c r="K76" s="241"/>
      <c r="L76" s="241"/>
      <c r="M76" s="241"/>
      <c r="N76" s="241"/>
      <c r="O76" s="241"/>
      <c r="P76" s="241"/>
      <c r="Q76" s="241"/>
      <c r="R76" s="241"/>
      <c r="S76" s="241"/>
      <c r="T76" s="241"/>
      <c r="U76" s="241"/>
      <c r="V76" s="241"/>
      <c r="W76" s="241"/>
      <c r="X76" s="241"/>
    </row>
    <row r="77" spans="1:24">
      <c r="A77" s="240" t="s">
        <v>123</v>
      </c>
      <c r="B77" s="1378" t="s">
        <v>122</v>
      </c>
      <c r="C77" s="1378"/>
      <c r="D77" s="241">
        <f t="shared" si="50"/>
        <v>21</v>
      </c>
      <c r="E77" s="323">
        <f t="shared" si="49"/>
        <v>738</v>
      </c>
      <c r="F77" s="323">
        <f t="shared" si="49"/>
        <v>738</v>
      </c>
      <c r="G77" s="241">
        <v>21</v>
      </c>
      <c r="H77" s="241">
        <v>717</v>
      </c>
      <c r="I77" s="323">
        <v>717</v>
      </c>
      <c r="J77" s="241"/>
      <c r="K77" s="241">
        <v>21</v>
      </c>
      <c r="L77" s="241">
        <v>21</v>
      </c>
      <c r="M77" s="241"/>
      <c r="N77" s="241"/>
      <c r="O77" s="241"/>
      <c r="P77" s="241"/>
      <c r="Q77" s="241"/>
      <c r="R77" s="241"/>
      <c r="S77" s="241"/>
      <c r="T77" s="241"/>
      <c r="U77" s="241"/>
      <c r="V77" s="241"/>
      <c r="W77" s="241"/>
      <c r="X77" s="241"/>
    </row>
    <row r="78" spans="1:24">
      <c r="A78" s="243" t="s">
        <v>124</v>
      </c>
      <c r="B78" s="1377" t="s">
        <v>162</v>
      </c>
      <c r="C78" s="1377"/>
      <c r="D78" s="244">
        <f>SUM(D70:D77)</f>
        <v>100</v>
      </c>
      <c r="E78" s="244">
        <f t="shared" ref="E78:X78" si="51">SUM(E70:E77)</f>
        <v>3486</v>
      </c>
      <c r="F78" s="244">
        <f t="shared" si="51"/>
        <v>3470</v>
      </c>
      <c r="G78" s="244">
        <f t="shared" si="51"/>
        <v>100</v>
      </c>
      <c r="H78" s="244">
        <f>SUM(H70:H77)</f>
        <v>3387</v>
      </c>
      <c r="I78" s="244">
        <f t="shared" si="51"/>
        <v>3371</v>
      </c>
      <c r="J78" s="244">
        <f t="shared" si="51"/>
        <v>0</v>
      </c>
      <c r="K78" s="244">
        <f t="shared" si="51"/>
        <v>99</v>
      </c>
      <c r="L78" s="244">
        <f t="shared" si="51"/>
        <v>99</v>
      </c>
      <c r="M78" s="244">
        <f t="shared" si="51"/>
        <v>0</v>
      </c>
      <c r="N78" s="244">
        <f t="shared" si="51"/>
        <v>0</v>
      </c>
      <c r="O78" s="244">
        <f t="shared" si="51"/>
        <v>0</v>
      </c>
      <c r="P78" s="244">
        <f t="shared" si="51"/>
        <v>0</v>
      </c>
      <c r="Q78" s="244">
        <f t="shared" si="51"/>
        <v>0</v>
      </c>
      <c r="R78" s="244">
        <f t="shared" si="51"/>
        <v>0</v>
      </c>
      <c r="S78" s="244">
        <f t="shared" si="51"/>
        <v>0</v>
      </c>
      <c r="T78" s="244">
        <f t="shared" si="51"/>
        <v>0</v>
      </c>
      <c r="U78" s="244">
        <f t="shared" si="51"/>
        <v>0</v>
      </c>
      <c r="V78" s="244">
        <f t="shared" si="51"/>
        <v>0</v>
      </c>
      <c r="W78" s="244">
        <f t="shared" si="51"/>
        <v>0</v>
      </c>
      <c r="X78" s="244">
        <f t="shared" si="51"/>
        <v>0</v>
      </c>
    </row>
    <row r="79" spans="1:24">
      <c r="A79" s="246"/>
      <c r="B79" s="247"/>
      <c r="C79" s="247"/>
      <c r="D79" s="248"/>
      <c r="E79" s="248"/>
      <c r="F79" s="249"/>
      <c r="G79" s="250"/>
      <c r="H79" s="248"/>
      <c r="I79" s="249"/>
      <c r="J79" s="250"/>
      <c r="K79" s="248"/>
      <c r="L79" s="249"/>
      <c r="M79" s="250"/>
      <c r="N79" s="248"/>
      <c r="O79" s="249"/>
      <c r="P79" s="250"/>
      <c r="Q79" s="248"/>
      <c r="R79" s="249"/>
      <c r="S79" s="250"/>
      <c r="T79" s="248"/>
      <c r="U79" s="249"/>
      <c r="V79" s="250"/>
      <c r="W79" s="248"/>
      <c r="X79" s="249"/>
    </row>
    <row r="80" spans="1:24" hidden="1">
      <c r="A80" s="240" t="s">
        <v>126</v>
      </c>
      <c r="B80" s="1378" t="s">
        <v>125</v>
      </c>
      <c r="C80" s="1378"/>
      <c r="D80" s="241">
        <f>(((+G80+J80)+M80)+P80)+S80</f>
        <v>0</v>
      </c>
      <c r="E80" s="241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241"/>
      <c r="Q80" s="241"/>
      <c r="R80" s="241"/>
      <c r="S80" s="241"/>
      <c r="T80" s="241"/>
      <c r="U80" s="241"/>
      <c r="V80" s="241"/>
      <c r="W80" s="241"/>
      <c r="X80" s="241"/>
    </row>
    <row r="81" spans="1:24" hidden="1">
      <c r="A81" s="240" t="s">
        <v>128</v>
      </c>
      <c r="B81" s="1378" t="s">
        <v>127</v>
      </c>
      <c r="C81" s="1378"/>
      <c r="D81" s="241">
        <f>(((+G81+J81)+M81)+P81)+S81</f>
        <v>0</v>
      </c>
      <c r="E81" s="241"/>
      <c r="F81" s="241"/>
      <c r="G81" s="241"/>
      <c r="H81" s="241"/>
      <c r="I81" s="241"/>
      <c r="J81" s="241"/>
      <c r="K81" s="241"/>
      <c r="L81" s="241"/>
      <c r="M81" s="241"/>
      <c r="N81" s="241"/>
      <c r="O81" s="241"/>
      <c r="P81" s="241"/>
      <c r="Q81" s="241"/>
      <c r="R81" s="241"/>
      <c r="S81" s="241"/>
      <c r="T81" s="241"/>
      <c r="U81" s="241"/>
      <c r="V81" s="241"/>
      <c r="W81" s="241"/>
      <c r="X81" s="241"/>
    </row>
    <row r="82" spans="1:24" hidden="1">
      <c r="A82" s="240" t="s">
        <v>130</v>
      </c>
      <c r="B82" s="1378" t="s">
        <v>454</v>
      </c>
      <c r="C82" s="1378"/>
      <c r="D82" s="241">
        <f>(((+G82+J82)+M82)+P82)+S82</f>
        <v>0</v>
      </c>
      <c r="E82" s="241"/>
      <c r="F82" s="241"/>
      <c r="G82" s="241"/>
      <c r="H82" s="241"/>
      <c r="I82" s="241"/>
      <c r="J82" s="241"/>
      <c r="K82" s="241"/>
      <c r="L82" s="241"/>
      <c r="M82" s="241"/>
      <c r="N82" s="241"/>
      <c r="O82" s="241"/>
      <c r="P82" s="241"/>
      <c r="Q82" s="241"/>
      <c r="R82" s="241"/>
      <c r="S82" s="241"/>
      <c r="T82" s="241"/>
      <c r="U82" s="241"/>
      <c r="V82" s="241"/>
      <c r="W82" s="241"/>
      <c r="X82" s="241"/>
    </row>
    <row r="83" spans="1:24" hidden="1">
      <c r="A83" s="240" t="s">
        <v>132</v>
      </c>
      <c r="B83" s="1378" t="s">
        <v>131</v>
      </c>
      <c r="C83" s="1378"/>
      <c r="D83" s="241">
        <f>(((+G83+J83)+M83)+P83)+S83</f>
        <v>0</v>
      </c>
      <c r="E83" s="241"/>
      <c r="F83" s="241"/>
      <c r="G83" s="241"/>
      <c r="H83" s="241"/>
      <c r="I83" s="241"/>
      <c r="J83" s="241"/>
      <c r="K83" s="241"/>
      <c r="L83" s="241"/>
      <c r="M83" s="241"/>
      <c r="N83" s="241"/>
      <c r="O83" s="241"/>
      <c r="P83" s="241"/>
      <c r="Q83" s="241"/>
      <c r="R83" s="241"/>
      <c r="S83" s="241"/>
      <c r="T83" s="241"/>
      <c r="U83" s="241"/>
      <c r="V83" s="241"/>
      <c r="W83" s="241"/>
      <c r="X83" s="241"/>
    </row>
    <row r="84" spans="1:24">
      <c r="A84" s="243" t="s">
        <v>133</v>
      </c>
      <c r="B84" s="1377" t="s">
        <v>316</v>
      </c>
      <c r="C84" s="1377"/>
      <c r="D84" s="244">
        <f t="shared" ref="D84:X84" si="52">SUM(D80:D83)</f>
        <v>0</v>
      </c>
      <c r="E84" s="244">
        <f t="shared" si="52"/>
        <v>0</v>
      </c>
      <c r="F84" s="244">
        <f t="shared" si="52"/>
        <v>0</v>
      </c>
      <c r="G84" s="244">
        <f t="shared" si="52"/>
        <v>0</v>
      </c>
      <c r="H84" s="244">
        <f t="shared" si="52"/>
        <v>0</v>
      </c>
      <c r="I84" s="244">
        <f t="shared" si="52"/>
        <v>0</v>
      </c>
      <c r="J84" s="244">
        <f t="shared" si="52"/>
        <v>0</v>
      </c>
      <c r="K84" s="244">
        <f t="shared" si="52"/>
        <v>0</v>
      </c>
      <c r="L84" s="244">
        <f t="shared" si="52"/>
        <v>0</v>
      </c>
      <c r="M84" s="244">
        <f t="shared" si="52"/>
        <v>0</v>
      </c>
      <c r="N84" s="244">
        <f t="shared" si="52"/>
        <v>0</v>
      </c>
      <c r="O84" s="244">
        <f t="shared" si="52"/>
        <v>0</v>
      </c>
      <c r="P84" s="244">
        <f t="shared" si="52"/>
        <v>0</v>
      </c>
      <c r="Q84" s="244">
        <f t="shared" si="52"/>
        <v>0</v>
      </c>
      <c r="R84" s="244">
        <f t="shared" si="52"/>
        <v>0</v>
      </c>
      <c r="S84" s="244">
        <f t="shared" si="52"/>
        <v>0</v>
      </c>
      <c r="T84" s="244">
        <f t="shared" si="52"/>
        <v>0</v>
      </c>
      <c r="U84" s="244">
        <f t="shared" si="52"/>
        <v>0</v>
      </c>
      <c r="V84" s="244">
        <f t="shared" si="52"/>
        <v>0</v>
      </c>
      <c r="W84" s="244">
        <f t="shared" si="52"/>
        <v>0</v>
      </c>
      <c r="X84" s="244">
        <f t="shared" si="52"/>
        <v>0</v>
      </c>
    </row>
    <row r="85" spans="1:24">
      <c r="A85" s="246"/>
      <c r="B85" s="269"/>
      <c r="C85" s="269"/>
      <c r="D85" s="248"/>
      <c r="E85" s="248"/>
      <c r="F85" s="249"/>
      <c r="G85" s="250"/>
      <c r="H85" s="248"/>
      <c r="I85" s="249"/>
      <c r="J85" s="250"/>
      <c r="K85" s="248"/>
      <c r="L85" s="249"/>
      <c r="M85" s="250"/>
      <c r="N85" s="248"/>
      <c r="O85" s="249"/>
      <c r="P85" s="250"/>
      <c r="Q85" s="248"/>
      <c r="R85" s="249"/>
      <c r="S85" s="250"/>
      <c r="T85" s="248"/>
      <c r="U85" s="249"/>
      <c r="V85" s="250"/>
      <c r="W85" s="248"/>
      <c r="X85" s="249"/>
    </row>
    <row r="86" spans="1:24">
      <c r="A86" s="243" t="s">
        <v>135</v>
      </c>
      <c r="B86" s="1377" t="s">
        <v>159</v>
      </c>
      <c r="C86" s="1377"/>
      <c r="D86" s="241"/>
      <c r="E86" s="241"/>
      <c r="F86" s="241"/>
      <c r="G86" s="241"/>
      <c r="H86" s="241"/>
      <c r="I86" s="241"/>
      <c r="J86" s="241"/>
      <c r="K86" s="241"/>
      <c r="L86" s="241"/>
      <c r="M86" s="241"/>
      <c r="N86" s="241"/>
      <c r="O86" s="241"/>
      <c r="P86" s="241"/>
      <c r="Q86" s="241"/>
      <c r="R86" s="241"/>
      <c r="S86" s="241"/>
      <c r="T86" s="241"/>
      <c r="U86" s="241"/>
      <c r="V86" s="241"/>
      <c r="W86" s="241"/>
      <c r="X86" s="241"/>
    </row>
    <row r="87" spans="1:24" ht="15.75" customHeight="1" thickBot="1">
      <c r="A87" s="270"/>
      <c r="B87" s="271"/>
      <c r="C87" s="271"/>
      <c r="D87" s="272"/>
      <c r="E87" s="272"/>
      <c r="F87" s="273"/>
      <c r="G87" s="274"/>
      <c r="H87" s="272"/>
      <c r="I87" s="273"/>
      <c r="J87" s="274"/>
      <c r="K87" s="272"/>
      <c r="L87" s="273"/>
      <c r="M87" s="274"/>
      <c r="N87" s="272"/>
      <c r="O87" s="273"/>
      <c r="P87" s="274"/>
      <c r="Q87" s="272"/>
      <c r="R87" s="273"/>
      <c r="S87" s="274"/>
      <c r="T87" s="272"/>
      <c r="U87" s="273"/>
      <c r="V87" s="274"/>
      <c r="W87" s="272"/>
      <c r="X87" s="273"/>
    </row>
    <row r="88" spans="1:24" ht="15.75" customHeight="1" thickBot="1">
      <c r="A88" s="275" t="s">
        <v>136</v>
      </c>
      <c r="B88" s="1381" t="s">
        <v>455</v>
      </c>
      <c r="C88" s="1381"/>
      <c r="D88" s="276">
        <f>+D86+D84+D78+D67+D61+D26+D24</f>
        <v>49706</v>
      </c>
      <c r="E88" s="276">
        <f t="shared" ref="E88:X88" si="53">+E86+E84+E78+E67+E61+E26+E24</f>
        <v>79695</v>
      </c>
      <c r="F88" s="276">
        <f t="shared" si="53"/>
        <v>77819</v>
      </c>
      <c r="G88" s="276">
        <f t="shared" si="53"/>
        <v>27516</v>
      </c>
      <c r="H88" s="276">
        <f t="shared" si="53"/>
        <v>58076</v>
      </c>
      <c r="I88" s="276">
        <f t="shared" si="53"/>
        <v>57144</v>
      </c>
      <c r="J88" s="276">
        <f t="shared" si="53"/>
        <v>5352</v>
      </c>
      <c r="K88" s="276">
        <f t="shared" si="53"/>
        <v>5181</v>
      </c>
      <c r="L88" s="276">
        <f t="shared" si="53"/>
        <v>5065</v>
      </c>
      <c r="M88" s="276">
        <f t="shared" si="53"/>
        <v>2945</v>
      </c>
      <c r="N88" s="276">
        <f t="shared" si="53"/>
        <v>2893</v>
      </c>
      <c r="O88" s="276">
        <f t="shared" si="53"/>
        <v>2822</v>
      </c>
      <c r="P88" s="276">
        <f t="shared" si="53"/>
        <v>9890</v>
      </c>
      <c r="Q88" s="276">
        <f t="shared" si="53"/>
        <v>9331</v>
      </c>
      <c r="R88" s="276">
        <f t="shared" si="53"/>
        <v>8488</v>
      </c>
      <c r="S88" s="276">
        <f t="shared" si="53"/>
        <v>0</v>
      </c>
      <c r="T88" s="276">
        <f t="shared" si="53"/>
        <v>0</v>
      </c>
      <c r="U88" s="276">
        <f t="shared" si="53"/>
        <v>0</v>
      </c>
      <c r="V88" s="276">
        <f t="shared" si="53"/>
        <v>4003</v>
      </c>
      <c r="W88" s="276">
        <f t="shared" si="53"/>
        <v>4214</v>
      </c>
      <c r="X88" s="276">
        <f t="shared" si="53"/>
        <v>4289</v>
      </c>
    </row>
  </sheetData>
  <mergeCells count="82">
    <mergeCell ref="B88:C88"/>
    <mergeCell ref="B59:C59"/>
    <mergeCell ref="B60:C60"/>
    <mergeCell ref="B78:C78"/>
    <mergeCell ref="B71:C71"/>
    <mergeCell ref="B61:C61"/>
    <mergeCell ref="B62:C62"/>
    <mergeCell ref="B86:C86"/>
    <mergeCell ref="B77:C77"/>
    <mergeCell ref="B81:C81"/>
    <mergeCell ref="B82:C82"/>
    <mergeCell ref="B84:C84"/>
    <mergeCell ref="B75:C75"/>
    <mergeCell ref="B83:C83"/>
    <mergeCell ref="B65:C65"/>
    <mergeCell ref="B76:C76"/>
    <mergeCell ref="B52:C52"/>
    <mergeCell ref="B46:C46"/>
    <mergeCell ref="B49:C49"/>
    <mergeCell ref="B51:C51"/>
    <mergeCell ref="B53:C53"/>
    <mergeCell ref="B50:C50"/>
    <mergeCell ref="B58:C58"/>
    <mergeCell ref="B67:C67"/>
    <mergeCell ref="B70:C70"/>
    <mergeCell ref="B73:C73"/>
    <mergeCell ref="B64:C64"/>
    <mergeCell ref="B63:C63"/>
    <mergeCell ref="B74:C74"/>
    <mergeCell ref="B80:C80"/>
    <mergeCell ref="B5:C5"/>
    <mergeCell ref="B17:C17"/>
    <mergeCell ref="B18:C18"/>
    <mergeCell ref="B19:C19"/>
    <mergeCell ref="B35:C35"/>
    <mergeCell ref="B40:C40"/>
    <mergeCell ref="B36:C36"/>
    <mergeCell ref="B37:C37"/>
    <mergeCell ref="B38:C38"/>
    <mergeCell ref="B39:C39"/>
    <mergeCell ref="B22:C22"/>
    <mergeCell ref="B42:C42"/>
    <mergeCell ref="B43:C43"/>
    <mergeCell ref="B44:C44"/>
    <mergeCell ref="B45:C45"/>
    <mergeCell ref="B10:C10"/>
    <mergeCell ref="B11:C11"/>
    <mergeCell ref="B9:C9"/>
    <mergeCell ref="B6:C6"/>
    <mergeCell ref="B7:C7"/>
    <mergeCell ref="B8:C8"/>
    <mergeCell ref="B14:C14"/>
    <mergeCell ref="B15:C15"/>
    <mergeCell ref="B24:C24"/>
    <mergeCell ref="B12:C12"/>
    <mergeCell ref="B13:C13"/>
    <mergeCell ref="B23:C23"/>
    <mergeCell ref="B41:C41"/>
    <mergeCell ref="B20:C20"/>
    <mergeCell ref="B16:C16"/>
    <mergeCell ref="B54:C54"/>
    <mergeCell ref="B55:C55"/>
    <mergeCell ref="B56:C56"/>
    <mergeCell ref="B57:C57"/>
    <mergeCell ref="V1:X1"/>
    <mergeCell ref="G2:I2"/>
    <mergeCell ref="J2:L2"/>
    <mergeCell ref="M2:O2"/>
    <mergeCell ref="P2:R2"/>
    <mergeCell ref="S3:U3"/>
    <mergeCell ref="V2:X2"/>
    <mergeCell ref="V3:X3"/>
    <mergeCell ref="S2:U2"/>
    <mergeCell ref="P3:R3"/>
    <mergeCell ref="B26:C26"/>
    <mergeCell ref="B21:C21"/>
    <mergeCell ref="A2:A4"/>
    <mergeCell ref="D2:F3"/>
    <mergeCell ref="B2:C4"/>
    <mergeCell ref="J3:L3"/>
    <mergeCell ref="M3:O3"/>
    <mergeCell ref="G3:I3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0" orientation="landscape" cellComments="asDisplayed" r:id="rId1"/>
  <headerFooter>
    <oddHeader>&amp;C&amp;"Times New Roman,Félkövér"&amp;12Martonvásár Város Önkormányzatának kiadásai 2015. 
Brunszvik-Beethoven Kulturális Központ&amp;R&amp;"Times New Roman,Normál"&amp;10&amp;K000000 6.c melléklet</oddHeader>
  </headerFooter>
  <rowBreaks count="1" manualBreakCount="1">
    <brk id="32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9"/>
  <sheetViews>
    <sheetView view="pageLayout" topLeftCell="A25" workbookViewId="0">
      <selection activeCell="B38" sqref="B38"/>
    </sheetView>
  </sheetViews>
  <sheetFormatPr defaultRowHeight="12.75"/>
  <cols>
    <col min="1" max="1" width="6.85546875" style="225" customWidth="1"/>
    <col min="2" max="2" width="50.140625" style="225" customWidth="1"/>
    <col min="3" max="3" width="10.42578125" style="225" customWidth="1"/>
    <col min="4" max="4" width="9.5703125" style="227" bestFit="1" customWidth="1"/>
    <col min="5" max="5" width="11.140625" style="227" customWidth="1"/>
    <col min="6" max="16384" width="9.140625" style="225"/>
  </cols>
  <sheetData>
    <row r="1" spans="1:5" ht="14.25" customHeight="1" thickBot="1">
      <c r="B1" s="226"/>
      <c r="C1" s="1382" t="s">
        <v>404</v>
      </c>
      <c r="D1" s="1382"/>
      <c r="E1" s="1382"/>
    </row>
    <row r="2" spans="1:5" s="226" customFormat="1" ht="39" thickBot="1">
      <c r="A2" s="688" t="s">
        <v>349</v>
      </c>
      <c r="B2" s="673" t="s">
        <v>350</v>
      </c>
      <c r="C2" s="659" t="s">
        <v>284</v>
      </c>
      <c r="D2" s="660" t="s">
        <v>1215</v>
      </c>
      <c r="E2" s="109" t="s">
        <v>1298</v>
      </c>
    </row>
    <row r="3" spans="1:5">
      <c r="A3" s="689">
        <v>1</v>
      </c>
      <c r="B3" s="674"/>
      <c r="C3" s="228"/>
      <c r="D3" s="229"/>
      <c r="E3" s="661"/>
    </row>
    <row r="4" spans="1:5" ht="12.75" customHeight="1">
      <c r="A4" s="689">
        <v>2</v>
      </c>
      <c r="B4" s="675"/>
      <c r="C4" s="230"/>
      <c r="D4" s="222"/>
      <c r="E4" s="662"/>
    </row>
    <row r="5" spans="1:5" ht="12.75" customHeight="1">
      <c r="A5" s="689">
        <v>3</v>
      </c>
      <c r="B5" s="676"/>
      <c r="C5" s="193"/>
      <c r="D5" s="193"/>
      <c r="E5" s="663"/>
    </row>
    <row r="6" spans="1:5" s="231" customFormat="1" ht="12.75" customHeight="1">
      <c r="A6" s="689">
        <v>4</v>
      </c>
      <c r="B6" s="675" t="s">
        <v>437</v>
      </c>
      <c r="C6" s="223"/>
      <c r="D6" s="223"/>
      <c r="E6" s="664"/>
    </row>
    <row r="7" spans="1:5" ht="12.75" customHeight="1">
      <c r="A7" s="689">
        <v>5</v>
      </c>
      <c r="B7" s="677"/>
      <c r="C7" s="191"/>
      <c r="D7" s="194"/>
      <c r="E7" s="665"/>
    </row>
    <row r="8" spans="1:5" ht="12.75" customHeight="1">
      <c r="A8" s="689">
        <v>6</v>
      </c>
      <c r="B8" s="678"/>
      <c r="C8" s="191"/>
      <c r="D8" s="194"/>
      <c r="E8" s="665"/>
    </row>
    <row r="9" spans="1:5" s="231" customFormat="1" ht="12.75" customHeight="1">
      <c r="A9" s="689">
        <v>7</v>
      </c>
      <c r="B9" s="679" t="s">
        <v>351</v>
      </c>
      <c r="C9" s="223"/>
      <c r="D9" s="223"/>
      <c r="E9" s="664"/>
    </row>
    <row r="10" spans="1:5" s="231" customFormat="1" ht="12.75" customHeight="1" thickBot="1">
      <c r="A10" s="689">
        <v>8</v>
      </c>
      <c r="B10" s="680"/>
      <c r="C10" s="476"/>
      <c r="D10" s="476"/>
      <c r="E10" s="666"/>
    </row>
    <row r="11" spans="1:5" ht="12.75" customHeight="1" thickBot="1">
      <c r="A11" s="689">
        <v>9</v>
      </c>
      <c r="B11" s="681" t="s">
        <v>436</v>
      </c>
      <c r="C11" s="479"/>
      <c r="D11" s="475"/>
      <c r="E11" s="667"/>
    </row>
    <row r="12" spans="1:5" ht="12.75" customHeight="1">
      <c r="A12" s="689">
        <v>10</v>
      </c>
      <c r="B12" s="668"/>
      <c r="C12" s="477"/>
      <c r="D12" s="478"/>
      <c r="E12" s="669"/>
    </row>
    <row r="13" spans="1:5" ht="12.75" customHeight="1">
      <c r="A13" s="689">
        <v>11</v>
      </c>
      <c r="B13" s="679" t="s">
        <v>352</v>
      </c>
      <c r="C13" s="585"/>
      <c r="D13" s="585"/>
      <c r="E13" s="670"/>
    </row>
    <row r="14" spans="1:5" ht="12.75" customHeight="1">
      <c r="A14" s="689">
        <v>12</v>
      </c>
      <c r="B14" s="677" t="s">
        <v>653</v>
      </c>
      <c r="C14" s="193">
        <v>157480</v>
      </c>
      <c r="D14" s="194">
        <v>0</v>
      </c>
      <c r="E14" s="663">
        <v>0</v>
      </c>
    </row>
    <row r="15" spans="1:5" ht="12.75" customHeight="1">
      <c r="A15" s="689">
        <v>13</v>
      </c>
      <c r="B15" s="682" t="s">
        <v>1302</v>
      </c>
      <c r="C15" s="193">
        <v>380</v>
      </c>
      <c r="D15" s="194">
        <v>352</v>
      </c>
      <c r="E15" s="663">
        <f>249+61+11+29</f>
        <v>350</v>
      </c>
    </row>
    <row r="16" spans="1:5" ht="12.75" customHeight="1">
      <c r="A16" s="689">
        <v>14</v>
      </c>
      <c r="B16" s="682" t="s">
        <v>1299</v>
      </c>
      <c r="C16" s="193"/>
      <c r="D16" s="194">
        <v>418</v>
      </c>
      <c r="E16" s="663">
        <v>120</v>
      </c>
    </row>
    <row r="17" spans="1:5" ht="12.75" customHeight="1">
      <c r="A17" s="689">
        <v>15</v>
      </c>
      <c r="B17" s="682" t="s">
        <v>1301</v>
      </c>
      <c r="C17" s="193"/>
      <c r="D17" s="194">
        <v>6350</v>
      </c>
      <c r="E17" s="663">
        <v>6350</v>
      </c>
    </row>
    <row r="18" spans="1:5" ht="12.75" customHeight="1">
      <c r="A18" s="689">
        <v>16</v>
      </c>
      <c r="B18" s="682" t="s">
        <v>724</v>
      </c>
      <c r="C18" s="193"/>
      <c r="D18" s="194">
        <f>91+25</f>
        <v>116</v>
      </c>
      <c r="E18" s="663">
        <f>198+41</f>
        <v>239</v>
      </c>
    </row>
    <row r="19" spans="1:5" ht="12.75" customHeight="1">
      <c r="A19" s="689">
        <v>17</v>
      </c>
      <c r="B19" s="682" t="s">
        <v>725</v>
      </c>
      <c r="C19" s="193"/>
      <c r="D19" s="194">
        <v>200200</v>
      </c>
      <c r="E19" s="663">
        <f>2300+197900</f>
        <v>200200</v>
      </c>
    </row>
    <row r="20" spans="1:5" ht="12.75" customHeight="1">
      <c r="A20" s="689">
        <v>18</v>
      </c>
      <c r="B20" s="682" t="s">
        <v>806</v>
      </c>
      <c r="C20" s="193"/>
      <c r="D20" s="194">
        <v>762</v>
      </c>
      <c r="E20" s="663">
        <v>762</v>
      </c>
    </row>
    <row r="21" spans="1:5" ht="12.75" customHeight="1">
      <c r="A21" s="689">
        <v>19</v>
      </c>
      <c r="B21" s="682" t="s">
        <v>1300</v>
      </c>
      <c r="C21" s="193"/>
      <c r="D21" s="194">
        <v>539</v>
      </c>
      <c r="E21" s="663">
        <v>537</v>
      </c>
    </row>
    <row r="22" spans="1:5" ht="12.75" customHeight="1">
      <c r="A22" s="689">
        <v>20</v>
      </c>
      <c r="B22" s="682" t="s">
        <v>778</v>
      </c>
      <c r="C22" s="193"/>
      <c r="D22" s="194">
        <v>5773</v>
      </c>
      <c r="E22" s="663">
        <v>5773</v>
      </c>
    </row>
    <row r="23" spans="1:5" ht="12.75" customHeight="1">
      <c r="A23" s="689">
        <v>21</v>
      </c>
      <c r="B23" s="682" t="s">
        <v>1304</v>
      </c>
      <c r="C23" s="193"/>
      <c r="D23" s="194">
        <v>222</v>
      </c>
      <c r="E23" s="663">
        <v>222</v>
      </c>
    </row>
    <row r="24" spans="1:5" ht="12.75" customHeight="1">
      <c r="A24" s="689">
        <v>22</v>
      </c>
      <c r="B24" s="682"/>
      <c r="C24" s="193"/>
      <c r="D24" s="194"/>
      <c r="E24" s="663"/>
    </row>
    <row r="25" spans="1:5" ht="12.75" customHeight="1">
      <c r="A25" s="689">
        <v>23</v>
      </c>
      <c r="B25" s="682" t="s">
        <v>1303</v>
      </c>
      <c r="C25" s="193"/>
      <c r="D25" s="194">
        <v>3568</v>
      </c>
      <c r="E25" s="663">
        <f>2762+805</f>
        <v>3567</v>
      </c>
    </row>
    <row r="26" spans="1:5" ht="12.75" customHeight="1">
      <c r="A26" s="689">
        <v>24</v>
      </c>
      <c r="B26" s="682" t="s">
        <v>777</v>
      </c>
      <c r="C26" s="193"/>
      <c r="D26" s="194">
        <v>1905</v>
      </c>
      <c r="E26" s="663">
        <v>1905</v>
      </c>
    </row>
    <row r="27" spans="1:5" ht="12.75" customHeight="1">
      <c r="A27" s="689">
        <v>25</v>
      </c>
      <c r="B27" s="682" t="s">
        <v>776</v>
      </c>
      <c r="C27" s="193"/>
      <c r="D27" s="194">
        <v>119</v>
      </c>
      <c r="E27" s="663">
        <v>119</v>
      </c>
    </row>
    <row r="28" spans="1:5" ht="12.75" customHeight="1">
      <c r="A28" s="689">
        <v>26</v>
      </c>
      <c r="B28" s="682" t="s">
        <v>807</v>
      </c>
      <c r="C28" s="193"/>
      <c r="D28" s="194">
        <v>2801</v>
      </c>
      <c r="E28" s="663"/>
    </row>
    <row r="29" spans="1:5" ht="12.75" customHeight="1">
      <c r="A29" s="689">
        <v>27</v>
      </c>
      <c r="B29" s="682" t="s">
        <v>808</v>
      </c>
      <c r="C29" s="193"/>
      <c r="D29" s="194">
        <v>572</v>
      </c>
      <c r="E29" s="663">
        <v>572</v>
      </c>
    </row>
    <row r="30" spans="1:5" ht="12.75" customHeight="1">
      <c r="A30" s="689">
        <v>28</v>
      </c>
      <c r="B30" s="682" t="s">
        <v>809</v>
      </c>
      <c r="C30" s="193"/>
      <c r="D30" s="194">
        <v>1300</v>
      </c>
      <c r="E30" s="663">
        <v>1300</v>
      </c>
    </row>
    <row r="31" spans="1:5" ht="12.75" customHeight="1">
      <c r="A31" s="689">
        <v>29</v>
      </c>
      <c r="B31" s="683" t="s">
        <v>810</v>
      </c>
      <c r="C31" s="470"/>
      <c r="D31" s="471">
        <v>537</v>
      </c>
      <c r="E31" s="663">
        <f>537+9</f>
        <v>546</v>
      </c>
    </row>
    <row r="32" spans="1:5" ht="12.75" customHeight="1">
      <c r="A32" s="689">
        <v>30</v>
      </c>
      <c r="B32" s="683" t="s">
        <v>1216</v>
      </c>
      <c r="C32" s="470"/>
      <c r="D32" s="471">
        <v>200</v>
      </c>
      <c r="E32" s="663">
        <v>200</v>
      </c>
    </row>
    <row r="33" spans="1:5" ht="12.75" customHeight="1">
      <c r="A33" s="689">
        <v>31</v>
      </c>
      <c r="B33" s="683" t="s">
        <v>1217</v>
      </c>
      <c r="C33" s="470"/>
      <c r="D33" s="471">
        <v>495</v>
      </c>
      <c r="E33" s="663">
        <v>495</v>
      </c>
    </row>
    <row r="34" spans="1:5" ht="12.75" customHeight="1">
      <c r="A34" s="689">
        <v>32</v>
      </c>
      <c r="B34" s="683" t="s">
        <v>1218</v>
      </c>
      <c r="C34" s="470"/>
      <c r="D34" s="471">
        <f>670+181</f>
        <v>851</v>
      </c>
      <c r="E34" s="663">
        <f>109+455</f>
        <v>564</v>
      </c>
    </row>
    <row r="35" spans="1:5" ht="12.75" customHeight="1">
      <c r="A35" s="689">
        <v>33</v>
      </c>
      <c r="B35" s="683" t="s">
        <v>1220</v>
      </c>
      <c r="C35" s="470"/>
      <c r="D35" s="471">
        <v>142</v>
      </c>
      <c r="E35" s="663">
        <v>142</v>
      </c>
    </row>
    <row r="36" spans="1:5" ht="12.75" customHeight="1">
      <c r="A36" s="689">
        <v>34</v>
      </c>
      <c r="B36" s="683" t="s">
        <v>1219</v>
      </c>
      <c r="C36" s="470"/>
      <c r="D36" s="471">
        <v>1925</v>
      </c>
      <c r="E36" s="663">
        <v>1925</v>
      </c>
    </row>
    <row r="37" spans="1:5" ht="12.75" customHeight="1">
      <c r="A37" s="689">
        <v>35</v>
      </c>
      <c r="B37" s="683"/>
      <c r="C37" s="470"/>
      <c r="D37" s="471"/>
      <c r="E37" s="663"/>
    </row>
    <row r="38" spans="1:5" ht="12.75" customHeight="1">
      <c r="A38" s="689">
        <v>36</v>
      </c>
      <c r="B38" s="683"/>
      <c r="C38" s="470"/>
      <c r="D38" s="471"/>
      <c r="E38" s="663"/>
    </row>
    <row r="39" spans="1:5" ht="12.75" customHeight="1">
      <c r="A39" s="689">
        <v>37</v>
      </c>
      <c r="B39" s="683"/>
      <c r="C39" s="470"/>
      <c r="D39" s="471"/>
      <c r="E39" s="663"/>
    </row>
    <row r="40" spans="1:5" ht="12.75" customHeight="1">
      <c r="A40" s="689">
        <v>38</v>
      </c>
      <c r="B40" s="683"/>
      <c r="C40" s="470"/>
      <c r="D40" s="471"/>
      <c r="E40" s="663"/>
    </row>
    <row r="41" spans="1:5" ht="12.75" customHeight="1">
      <c r="A41" s="689">
        <v>39</v>
      </c>
      <c r="B41" s="683"/>
      <c r="C41" s="470"/>
      <c r="D41" s="471"/>
      <c r="E41" s="663"/>
    </row>
    <row r="42" spans="1:5" ht="12.75" customHeight="1" thickBot="1">
      <c r="A42" s="689">
        <v>40</v>
      </c>
      <c r="B42" s="683"/>
      <c r="C42" s="470"/>
      <c r="D42" s="471"/>
      <c r="E42" s="663"/>
    </row>
    <row r="43" spans="1:5" s="231" customFormat="1" ht="12.75" customHeight="1" thickBot="1">
      <c r="A43" s="689">
        <v>41</v>
      </c>
      <c r="B43" s="681" t="s">
        <v>353</v>
      </c>
      <c r="C43" s="474">
        <f>SUM(C14:C42)</f>
        <v>157860</v>
      </c>
      <c r="D43" s="474">
        <f>SUM(D14:D42)</f>
        <v>229147</v>
      </c>
      <c r="E43" s="474">
        <f>SUM(E14:E42)</f>
        <v>225888</v>
      </c>
    </row>
    <row r="44" spans="1:5" ht="12.75" customHeight="1">
      <c r="A44" s="689">
        <v>42</v>
      </c>
      <c r="B44" s="684"/>
      <c r="C44" s="472"/>
      <c r="D44" s="473"/>
      <c r="E44" s="671"/>
    </row>
    <row r="45" spans="1:5" ht="12.75" customHeight="1">
      <c r="A45" s="689">
        <v>43</v>
      </c>
      <c r="B45" s="685" t="s">
        <v>354</v>
      </c>
      <c r="C45" s="191"/>
      <c r="D45" s="195"/>
      <c r="E45" s="672"/>
    </row>
    <row r="46" spans="1:5" ht="12.75" customHeight="1">
      <c r="A46" s="689">
        <v>44</v>
      </c>
      <c r="B46" s="686"/>
      <c r="C46" s="193"/>
      <c r="D46" s="194"/>
      <c r="E46" s="665"/>
    </row>
    <row r="47" spans="1:5" ht="12.75" customHeight="1">
      <c r="A47" s="689">
        <v>45</v>
      </c>
      <c r="B47" s="685" t="s">
        <v>356</v>
      </c>
      <c r="C47" s="191"/>
      <c r="D47" s="223"/>
      <c r="E47" s="664"/>
    </row>
    <row r="48" spans="1:5" ht="12.75" customHeight="1">
      <c r="A48" s="689">
        <v>46</v>
      </c>
      <c r="B48" s="685"/>
      <c r="C48" s="191"/>
      <c r="D48" s="195"/>
      <c r="E48" s="672"/>
    </row>
    <row r="49" spans="1:5" ht="12.75" customHeight="1">
      <c r="A49" s="689">
        <v>47</v>
      </c>
      <c r="B49" s="685" t="s">
        <v>652</v>
      </c>
      <c r="C49" s="191"/>
      <c r="D49" s="195"/>
      <c r="E49" s="672"/>
    </row>
    <row r="50" spans="1:5" ht="12.75" customHeight="1">
      <c r="A50" s="689">
        <v>48</v>
      </c>
      <c r="B50" s="682" t="s">
        <v>1221</v>
      </c>
      <c r="C50" s="191"/>
      <c r="D50" s="1106">
        <v>150</v>
      </c>
      <c r="E50" s="1107">
        <v>150</v>
      </c>
    </row>
    <row r="51" spans="1:5" ht="12.75" customHeight="1">
      <c r="A51" s="689">
        <v>49</v>
      </c>
      <c r="B51" s="682" t="s">
        <v>654</v>
      </c>
      <c r="C51" s="193">
        <v>100</v>
      </c>
      <c r="D51" s="194">
        <v>3336</v>
      </c>
      <c r="E51" s="665">
        <v>3320</v>
      </c>
    </row>
    <row r="52" spans="1:5" ht="12.75" customHeight="1">
      <c r="A52" s="689">
        <v>50</v>
      </c>
      <c r="B52" s="682" t="s">
        <v>655</v>
      </c>
      <c r="C52" s="193">
        <v>200</v>
      </c>
      <c r="D52" s="194">
        <v>366</v>
      </c>
      <c r="E52" s="665">
        <v>363</v>
      </c>
    </row>
    <row r="53" spans="1:5" ht="12.75" customHeight="1">
      <c r="A53" s="689">
        <v>51</v>
      </c>
      <c r="B53" s="682" t="s">
        <v>656</v>
      </c>
      <c r="C53" s="193">
        <v>400</v>
      </c>
      <c r="D53" s="194">
        <v>211</v>
      </c>
      <c r="E53" s="665">
        <v>187</v>
      </c>
    </row>
    <row r="54" spans="1:5" ht="12.75" customHeight="1">
      <c r="A54" s="689">
        <v>52</v>
      </c>
      <c r="B54" s="683" t="s">
        <v>657</v>
      </c>
      <c r="C54" s="470">
        <v>127</v>
      </c>
      <c r="D54" s="471">
        <v>22</v>
      </c>
      <c r="E54" s="665">
        <v>0</v>
      </c>
    </row>
    <row r="55" spans="1:5" ht="12.75" customHeight="1">
      <c r="A55" s="689">
        <v>53</v>
      </c>
      <c r="B55" s="683" t="s">
        <v>658</v>
      </c>
      <c r="C55" s="470">
        <v>381</v>
      </c>
      <c r="D55" s="471">
        <v>1012</v>
      </c>
      <c r="E55" s="665">
        <v>1011</v>
      </c>
    </row>
    <row r="56" spans="1:5" ht="12.75" customHeight="1" thickBot="1">
      <c r="A56" s="689">
        <v>54</v>
      </c>
      <c r="B56" s="683" t="s">
        <v>659</v>
      </c>
      <c r="C56" s="470">
        <v>635</v>
      </c>
      <c r="D56" s="471">
        <v>632</v>
      </c>
      <c r="E56" s="665">
        <v>631</v>
      </c>
    </row>
    <row r="57" spans="1:5" s="231" customFormat="1" ht="12.75" customHeight="1" thickBot="1">
      <c r="A57" s="689">
        <v>55</v>
      </c>
      <c r="B57" s="681" t="s">
        <v>357</v>
      </c>
      <c r="C57" s="474">
        <f>SUM(C51:C56)</f>
        <v>1843</v>
      </c>
      <c r="D57" s="474">
        <f>SUM(D50:D56)</f>
        <v>5729</v>
      </c>
      <c r="E57" s="474">
        <f>SUM(E50:E56)</f>
        <v>5662</v>
      </c>
    </row>
    <row r="58" spans="1:5" s="231" customFormat="1" ht="13.5" customHeight="1" thickBot="1">
      <c r="A58" s="1108">
        <v>56</v>
      </c>
      <c r="B58" s="687" t="s">
        <v>360</v>
      </c>
      <c r="C58" s="480">
        <f>+C57+C43</f>
        <v>159703</v>
      </c>
      <c r="D58" s="480">
        <f>+D57+D43</f>
        <v>234876</v>
      </c>
      <c r="E58" s="480">
        <f>+E57+E43</f>
        <v>231550</v>
      </c>
    </row>
    <row r="59" spans="1:5" ht="13.5" customHeight="1">
      <c r="B59" s="196"/>
      <c r="C59" s="232"/>
      <c r="D59" s="233"/>
      <c r="E59" s="233"/>
    </row>
  </sheetData>
  <mergeCells count="1">
    <mergeCell ref="C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&amp;C&amp;"Times New Roman,Félkövér"&amp;12Martonvásár Város Önkormányzat beruházási 
(felhalmozási) célú kiadásaielőirányzata feladatonként&amp;R&amp;"Times New Roman,Normál"&amp;10 7.melléklet</oddHead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workbookViewId="0">
      <selection activeCell="B21" sqref="B21"/>
    </sheetView>
  </sheetViews>
  <sheetFormatPr defaultColWidth="53.140625" defaultRowHeight="15"/>
  <cols>
    <col min="1" max="1" width="5.5703125" style="107" customWidth="1"/>
    <col min="2" max="2" width="47.85546875" style="108" customWidth="1"/>
    <col min="3" max="3" width="10.85546875" style="107" customWidth="1"/>
    <col min="4" max="4" width="10" style="107" customWidth="1"/>
    <col min="5" max="5" width="10.85546875" style="107" customWidth="1"/>
    <col min="6" max="16384" width="53.140625" style="107"/>
  </cols>
  <sheetData>
    <row r="1" spans="1:5" ht="12.75" customHeight="1" thickBot="1">
      <c r="C1" s="1382" t="s">
        <v>404</v>
      </c>
      <c r="D1" s="1382"/>
      <c r="E1" s="1382"/>
    </row>
    <row r="2" spans="1:5" s="130" customFormat="1" ht="39.75" customHeight="1" thickBot="1">
      <c r="A2" s="129" t="s">
        <v>361</v>
      </c>
      <c r="B2" s="109" t="s">
        <v>362</v>
      </c>
      <c r="C2" s="109" t="s">
        <v>363</v>
      </c>
      <c r="D2" s="109" t="s">
        <v>744</v>
      </c>
      <c r="E2" s="109" t="s">
        <v>1297</v>
      </c>
    </row>
    <row r="3" spans="1:5" s="133" customFormat="1" ht="12.75" customHeight="1">
      <c r="A3" s="131">
        <v>1</v>
      </c>
      <c r="B3" s="132" t="s">
        <v>306</v>
      </c>
      <c r="C3" s="132" t="s">
        <v>313</v>
      </c>
      <c r="D3" s="132" t="s">
        <v>307</v>
      </c>
      <c r="E3" s="132" t="s">
        <v>308</v>
      </c>
    </row>
    <row r="4" spans="1:5" s="133" customFormat="1" ht="12.75" customHeight="1">
      <c r="A4" s="134">
        <v>2</v>
      </c>
      <c r="B4" s="135" t="s">
        <v>364</v>
      </c>
      <c r="C4" s="136"/>
      <c r="D4" s="136"/>
      <c r="E4" s="136"/>
    </row>
    <row r="5" spans="1:5" ht="13.5" customHeight="1">
      <c r="A5" s="134">
        <v>3</v>
      </c>
      <c r="B5" s="121"/>
      <c r="C5" s="137"/>
      <c r="D5" s="138"/>
      <c r="E5" s="139"/>
    </row>
    <row r="6" spans="1:5" ht="12.75" customHeight="1">
      <c r="A6" s="134">
        <v>4</v>
      </c>
      <c r="B6" s="140"/>
      <c r="C6" s="137"/>
      <c r="D6" s="138"/>
      <c r="E6" s="139"/>
    </row>
    <row r="7" spans="1:5" ht="12.75" customHeight="1" thickBot="1">
      <c r="A7" s="141">
        <v>5</v>
      </c>
      <c r="B7" s="122"/>
      <c r="C7" s="142"/>
      <c r="D7" s="143"/>
      <c r="E7" s="144"/>
    </row>
    <row r="8" spans="1:5" ht="12.75" customHeight="1" thickBot="1">
      <c r="A8" s="145">
        <v>6</v>
      </c>
      <c r="B8" s="110" t="s">
        <v>365</v>
      </c>
      <c r="C8" s="146"/>
      <c r="D8" s="147"/>
      <c r="E8" s="116"/>
    </row>
    <row r="9" spans="1:5" ht="12.75" customHeight="1">
      <c r="A9" s="131">
        <v>7</v>
      </c>
      <c r="B9" s="148" t="s">
        <v>438</v>
      </c>
      <c r="C9" s="149"/>
      <c r="D9" s="150"/>
      <c r="E9" s="117"/>
    </row>
    <row r="10" spans="1:5" ht="12.75" customHeight="1" thickBot="1">
      <c r="A10" s="141">
        <v>8</v>
      </c>
      <c r="B10" s="122"/>
      <c r="C10" s="142"/>
      <c r="D10" s="143"/>
      <c r="E10" s="144"/>
    </row>
    <row r="11" spans="1:5" ht="12.75" customHeight="1" thickBot="1">
      <c r="A11" s="145">
        <v>9</v>
      </c>
      <c r="B11" s="120" t="s">
        <v>351</v>
      </c>
      <c r="C11" s="146"/>
      <c r="D11" s="147"/>
      <c r="E11" s="116"/>
    </row>
    <row r="12" spans="1:5" ht="12.75" customHeight="1">
      <c r="A12" s="131">
        <v>10</v>
      </c>
      <c r="B12" s="148" t="s">
        <v>366</v>
      </c>
      <c r="C12" s="117"/>
      <c r="D12" s="117"/>
      <c r="E12" s="117"/>
    </row>
    <row r="13" spans="1:5" ht="12.75" customHeight="1">
      <c r="A13" s="134">
        <v>11</v>
      </c>
      <c r="B13" s="192" t="s">
        <v>726</v>
      </c>
      <c r="C13" s="193"/>
      <c r="D13" s="194">
        <v>400</v>
      </c>
      <c r="E13" s="193">
        <f>+C13+D13</f>
        <v>400</v>
      </c>
    </row>
    <row r="14" spans="1:5" ht="12.75" customHeight="1">
      <c r="A14" s="134">
        <v>12</v>
      </c>
      <c r="B14" s="192" t="s">
        <v>775</v>
      </c>
      <c r="C14" s="193"/>
      <c r="D14" s="194">
        <v>830</v>
      </c>
      <c r="E14" s="193">
        <v>830</v>
      </c>
    </row>
    <row r="15" spans="1:5" ht="12.75" customHeight="1">
      <c r="A15" s="134">
        <v>13</v>
      </c>
      <c r="B15" s="682" t="s">
        <v>774</v>
      </c>
      <c r="C15" s="193"/>
      <c r="D15" s="194">
        <v>7502</v>
      </c>
      <c r="E15" s="663">
        <v>7502</v>
      </c>
    </row>
    <row r="16" spans="1:5" ht="12.75" customHeight="1" thickBot="1">
      <c r="A16" s="141">
        <v>14</v>
      </c>
      <c r="B16" s="192"/>
      <c r="C16" s="193"/>
      <c r="D16" s="586"/>
      <c r="E16" s="193"/>
    </row>
    <row r="17" spans="1:5" ht="12.75" customHeight="1" thickBot="1">
      <c r="A17" s="145">
        <v>15</v>
      </c>
      <c r="B17" s="123" t="s">
        <v>367</v>
      </c>
      <c r="C17" s="124">
        <f>SUM(C12:C16)</f>
        <v>0</v>
      </c>
      <c r="D17" s="124">
        <f>SUM(D12:D16)</f>
        <v>8732</v>
      </c>
      <c r="E17" s="124">
        <f>SUM(E12:E16)</f>
        <v>8732</v>
      </c>
    </row>
    <row r="18" spans="1:5" ht="12.75" customHeight="1">
      <c r="A18" s="131">
        <v>16</v>
      </c>
      <c r="B18" s="125" t="s">
        <v>354</v>
      </c>
      <c r="C18" s="126"/>
      <c r="D18" s="156"/>
      <c r="E18" s="126"/>
    </row>
    <row r="19" spans="1:5" ht="12.75" customHeight="1">
      <c r="A19" s="134">
        <v>17</v>
      </c>
      <c r="B19" s="121"/>
      <c r="C19" s="111"/>
      <c r="D19" s="152"/>
      <c r="E19" s="111"/>
    </row>
    <row r="20" spans="1:5" ht="12.75" customHeight="1">
      <c r="A20" s="134">
        <v>18</v>
      </c>
      <c r="B20" s="118" t="s">
        <v>355</v>
      </c>
      <c r="C20" s="153"/>
      <c r="D20" s="154"/>
      <c r="E20" s="119"/>
    </row>
    <row r="21" spans="1:5" ht="12.75" customHeight="1">
      <c r="A21" s="134">
        <v>19</v>
      </c>
      <c r="B21" s="118"/>
      <c r="C21" s="153"/>
      <c r="D21" s="154"/>
      <c r="E21" s="119"/>
    </row>
    <row r="22" spans="1:5" ht="12.75" customHeight="1" thickBot="1">
      <c r="A22" s="141">
        <v>20</v>
      </c>
      <c r="B22" s="113"/>
      <c r="C22" s="114"/>
      <c r="D22" s="155"/>
      <c r="E22" s="114"/>
    </row>
    <row r="23" spans="1:5" ht="12.75" customHeight="1" thickBot="1">
      <c r="A23" s="145">
        <v>21</v>
      </c>
      <c r="B23" s="123" t="s">
        <v>356</v>
      </c>
      <c r="C23" s="124"/>
      <c r="D23" s="128">
        <f>SUM(D21:D22)</f>
        <v>0</v>
      </c>
      <c r="E23" s="128">
        <f>SUM(E21:E22)</f>
        <v>0</v>
      </c>
    </row>
    <row r="24" spans="1:5" ht="12.75" customHeight="1">
      <c r="A24" s="131">
        <v>22</v>
      </c>
      <c r="B24" s="125" t="s">
        <v>368</v>
      </c>
      <c r="C24" s="126"/>
      <c r="D24" s="156"/>
      <c r="E24" s="126"/>
    </row>
    <row r="25" spans="1:5" ht="12.75" customHeight="1" thickBot="1">
      <c r="A25" s="141">
        <v>23</v>
      </c>
      <c r="B25" s="157"/>
      <c r="C25" s="114"/>
      <c r="D25" s="158"/>
      <c r="E25" s="114"/>
    </row>
    <row r="26" spans="1:5" ht="12.75" customHeight="1" thickBot="1">
      <c r="A26" s="145">
        <v>24</v>
      </c>
      <c r="B26" s="123" t="s">
        <v>369</v>
      </c>
      <c r="C26" s="124"/>
      <c r="D26" s="128">
        <f>SUM(D25:D25)</f>
        <v>0</v>
      </c>
      <c r="E26" s="128">
        <f>SUM(E25:E25)</f>
        <v>0</v>
      </c>
    </row>
    <row r="27" spans="1:5" ht="12.75" customHeight="1">
      <c r="A27" s="131">
        <v>25</v>
      </c>
      <c r="B27" s="125" t="s">
        <v>358</v>
      </c>
      <c r="C27" s="126"/>
      <c r="D27" s="127"/>
      <c r="E27" s="127"/>
    </row>
    <row r="28" spans="1:5" ht="12.75" customHeight="1">
      <c r="A28" s="134">
        <v>26</v>
      </c>
      <c r="B28" s="151"/>
      <c r="C28" s="111"/>
      <c r="D28" s="112"/>
      <c r="E28" s="112"/>
    </row>
    <row r="29" spans="1:5" ht="12.75" customHeight="1" thickBot="1">
      <c r="A29" s="141">
        <v>27</v>
      </c>
      <c r="B29" s="157"/>
      <c r="C29" s="114"/>
      <c r="D29" s="115"/>
      <c r="E29" s="115"/>
    </row>
    <row r="30" spans="1:5" s="159" customFormat="1" ht="12.75" customHeight="1" thickBot="1">
      <c r="A30" s="145">
        <v>28</v>
      </c>
      <c r="B30" s="123" t="s">
        <v>359</v>
      </c>
      <c r="C30" s="124"/>
      <c r="D30" s="128"/>
      <c r="E30" s="128"/>
    </row>
    <row r="31" spans="1:5" ht="12.75" customHeight="1">
      <c r="A31" s="131">
        <v>29</v>
      </c>
      <c r="B31" s="160"/>
      <c r="C31" s="161"/>
      <c r="D31" s="162"/>
      <c r="E31" s="162"/>
    </row>
    <row r="32" spans="1:5" s="159" customFormat="1" ht="12.75" customHeight="1" thickBot="1">
      <c r="A32" s="141">
        <v>30</v>
      </c>
      <c r="B32" s="163"/>
      <c r="C32" s="164"/>
      <c r="D32" s="165"/>
      <c r="E32" s="165"/>
    </row>
    <row r="33" spans="1:5" s="159" customFormat="1" ht="12.75" customHeight="1" thickBot="1">
      <c r="A33" s="145">
        <v>31</v>
      </c>
      <c r="B33" s="166" t="s">
        <v>370</v>
      </c>
      <c r="C33" s="167">
        <f>+C30+C26+C23+C20+C17</f>
        <v>0</v>
      </c>
      <c r="D33" s="167">
        <f>+D30+D26+D23+D20+D17</f>
        <v>8732</v>
      </c>
      <c r="E33" s="167">
        <f>+E30+E26+E23+E20+E17</f>
        <v>8732</v>
      </c>
    </row>
  </sheetData>
  <mergeCells count="1">
    <mergeCell ref="C1:E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 felújítási 
(felhalmozási) célú kiadásaielőirányzata feladatonként&amp;R&amp;"Times New Roman,Normál"&amp;10 8.melléklet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E7" sqref="E7"/>
    </sheetView>
  </sheetViews>
  <sheetFormatPr defaultRowHeight="15"/>
  <cols>
    <col min="1" max="1" width="7.85546875" bestFit="1" customWidth="1"/>
    <col min="2" max="2" width="28.42578125" customWidth="1"/>
    <col min="3" max="3" width="13" customWidth="1"/>
    <col min="4" max="4" width="13.5703125" customWidth="1"/>
    <col min="5" max="5" width="13.7109375" customWidth="1"/>
  </cols>
  <sheetData>
    <row r="1" spans="1:5" ht="28.5" customHeight="1" thickBot="1">
      <c r="A1" s="168"/>
      <c r="B1" s="169"/>
      <c r="C1" s="170"/>
      <c r="D1" s="169"/>
      <c r="E1" s="169"/>
    </row>
    <row r="2" spans="1:5">
      <c r="A2" s="1383" t="s">
        <v>371</v>
      </c>
      <c r="B2" s="1385" t="s">
        <v>285</v>
      </c>
      <c r="C2" s="1387" t="s">
        <v>674</v>
      </c>
      <c r="D2" s="1389" t="s">
        <v>675</v>
      </c>
      <c r="E2" s="1389" t="s">
        <v>762</v>
      </c>
    </row>
    <row r="3" spans="1:5">
      <c r="A3" s="1384"/>
      <c r="B3" s="1386"/>
      <c r="C3" s="1388"/>
      <c r="D3" s="1390"/>
      <c r="E3" s="1390"/>
    </row>
    <row r="4" spans="1:5">
      <c r="A4" s="1384"/>
      <c r="B4" s="1386"/>
      <c r="C4" s="1388"/>
      <c r="D4" s="1390"/>
      <c r="E4" s="1390"/>
    </row>
    <row r="5" spans="1:5">
      <c r="A5" s="1384"/>
      <c r="B5" s="1386"/>
      <c r="C5" s="1388"/>
      <c r="D5" s="1390"/>
      <c r="E5" s="1390"/>
    </row>
    <row r="6" spans="1:5">
      <c r="A6" s="171" t="s">
        <v>306</v>
      </c>
      <c r="B6" s="172" t="s">
        <v>313</v>
      </c>
      <c r="C6" s="173" t="s">
        <v>307</v>
      </c>
      <c r="D6" s="174" t="s">
        <v>308</v>
      </c>
      <c r="E6" s="175" t="s">
        <v>309</v>
      </c>
    </row>
    <row r="7" spans="1:5">
      <c r="A7" s="176">
        <v>1</v>
      </c>
      <c r="B7" s="177" t="s">
        <v>266</v>
      </c>
      <c r="C7" s="178">
        <v>1</v>
      </c>
      <c r="D7" s="177">
        <v>1</v>
      </c>
      <c r="E7" s="178">
        <v>1</v>
      </c>
    </row>
    <row r="8" spans="1:5">
      <c r="A8" s="176">
        <v>2</v>
      </c>
      <c r="B8" s="177" t="s">
        <v>372</v>
      </c>
      <c r="C8" s="178"/>
      <c r="D8" s="177"/>
      <c r="E8" s="178"/>
    </row>
    <row r="9" spans="1:5">
      <c r="A9" s="176">
        <v>3</v>
      </c>
      <c r="B9" s="179" t="s">
        <v>295</v>
      </c>
      <c r="C9" s="180">
        <v>35</v>
      </c>
      <c r="D9" s="179">
        <v>35</v>
      </c>
      <c r="E9" s="180">
        <v>34</v>
      </c>
    </row>
    <row r="10" spans="1:5">
      <c r="A10" s="176">
        <v>4</v>
      </c>
      <c r="B10" s="179" t="s">
        <v>373</v>
      </c>
      <c r="C10" s="180">
        <v>7.4</v>
      </c>
      <c r="D10" s="179">
        <v>7.4</v>
      </c>
      <c r="E10" s="180">
        <v>7</v>
      </c>
    </row>
    <row r="11" spans="1:5">
      <c r="A11" s="176">
        <v>5</v>
      </c>
      <c r="B11" s="177" t="s">
        <v>374</v>
      </c>
      <c r="C11" s="181">
        <f t="shared" ref="C11:D11" si="0">SUM(C9:C10)</f>
        <v>42.4</v>
      </c>
      <c r="D11" s="181">
        <f t="shared" si="0"/>
        <v>42.4</v>
      </c>
      <c r="E11" s="181">
        <f t="shared" ref="E11" si="1">SUM(E9:E10)</f>
        <v>41</v>
      </c>
    </row>
    <row r="12" spans="1:5">
      <c r="A12" s="176">
        <v>6</v>
      </c>
      <c r="B12" s="177" t="s">
        <v>399</v>
      </c>
      <c r="C12" s="178">
        <v>28</v>
      </c>
      <c r="D12" s="177">
        <v>28</v>
      </c>
      <c r="E12" s="178">
        <v>24</v>
      </c>
    </row>
    <row r="13" spans="1:5">
      <c r="A13" s="176">
        <v>7</v>
      </c>
      <c r="B13" s="177" t="s">
        <v>375</v>
      </c>
      <c r="C13" s="178">
        <v>3</v>
      </c>
      <c r="D13" s="177">
        <v>3</v>
      </c>
      <c r="E13" s="178">
        <v>2</v>
      </c>
    </row>
    <row r="14" spans="1:5">
      <c r="A14" s="176">
        <v>8</v>
      </c>
      <c r="B14" s="177" t="s">
        <v>376</v>
      </c>
      <c r="C14" s="178">
        <v>1</v>
      </c>
      <c r="D14" s="177">
        <v>1</v>
      </c>
      <c r="E14" s="178">
        <v>1</v>
      </c>
    </row>
    <row r="15" spans="1:5">
      <c r="A15" s="176">
        <v>9</v>
      </c>
      <c r="B15" s="182" t="s">
        <v>377</v>
      </c>
      <c r="C15" s="178">
        <v>24</v>
      </c>
      <c r="D15" s="177">
        <v>24</v>
      </c>
      <c r="E15" s="178">
        <v>13</v>
      </c>
    </row>
    <row r="16" spans="1:5" ht="15.75" thickBot="1">
      <c r="A16" s="183">
        <v>10</v>
      </c>
      <c r="B16" s="184" t="s">
        <v>378</v>
      </c>
      <c r="C16" s="185">
        <f>SUM(C11:C15)+C7</f>
        <v>99.4</v>
      </c>
      <c r="D16" s="185">
        <f>SUM(D11:D15)+D7</f>
        <v>99.4</v>
      </c>
      <c r="E16" s="185">
        <f>SUM(E11:E15)+E7</f>
        <v>82</v>
      </c>
    </row>
  </sheetData>
  <mergeCells count="5">
    <mergeCell ref="A2:A5"/>
    <mergeCell ref="B2:B5"/>
    <mergeCell ref="C2:C5"/>
    <mergeCell ref="D2:D5"/>
    <mergeCell ref="E2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Önkormányzata és Intézményei  
2015. évi létszámkerete&amp;R&amp;"Times New Roman,Normál"&amp;10 9. 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"/>
  <sheetViews>
    <sheetView view="pageLayout" topLeftCell="B4" workbookViewId="0">
      <selection activeCell="G17" activeCellId="1" sqref="D17:E17 G17"/>
    </sheetView>
  </sheetViews>
  <sheetFormatPr defaultRowHeight="15"/>
  <cols>
    <col min="1" max="1" width="5.85546875" style="345" customWidth="1"/>
    <col min="2" max="2" width="42.5703125" style="346" customWidth="1"/>
    <col min="3" max="8" width="11" style="346" customWidth="1"/>
    <col min="9" max="9" width="12.140625" style="346" customWidth="1"/>
    <col min="10" max="10" width="13.28515625" style="346" customWidth="1"/>
    <col min="11" max="16384" width="9.140625" style="346"/>
  </cols>
  <sheetData>
    <row r="1" spans="1:11" ht="15.75">
      <c r="A1" s="348"/>
      <c r="B1" s="349"/>
      <c r="C1" s="349"/>
      <c r="D1" s="349"/>
      <c r="E1" s="349"/>
      <c r="F1" s="349"/>
      <c r="G1" s="349"/>
      <c r="H1" s="349"/>
      <c r="I1" s="1393"/>
      <c r="J1" s="1393"/>
    </row>
    <row r="2" spans="1:11">
      <c r="A2" s="1394"/>
      <c r="B2" s="1394"/>
      <c r="C2" s="1394"/>
      <c r="D2" s="1394"/>
      <c r="E2" s="1394"/>
      <c r="F2" s="1394"/>
      <c r="G2" s="1394"/>
      <c r="H2" s="1394"/>
      <c r="I2" s="1394"/>
      <c r="J2" s="1394"/>
    </row>
    <row r="3" spans="1:11" s="351" customFormat="1" ht="26.25" customHeight="1" thickBot="1">
      <c r="A3" s="345"/>
      <c r="B3" s="346"/>
      <c r="C3" s="346"/>
      <c r="D3" s="346"/>
      <c r="E3" s="346"/>
      <c r="F3" s="346"/>
      <c r="G3" s="346"/>
      <c r="H3" s="346"/>
      <c r="I3" s="346"/>
      <c r="J3" s="350" t="s">
        <v>472</v>
      </c>
    </row>
    <row r="4" spans="1:11" s="352" customFormat="1" ht="32.25" customHeight="1" thickBot="1">
      <c r="A4" s="1395" t="s">
        <v>486</v>
      </c>
      <c r="B4" s="1397" t="s">
        <v>487</v>
      </c>
      <c r="C4" s="1395" t="s">
        <v>488</v>
      </c>
      <c r="D4" s="1395" t="s">
        <v>489</v>
      </c>
      <c r="E4" s="1400" t="s">
        <v>490</v>
      </c>
      <c r="F4" s="1401"/>
      <c r="G4" s="1401"/>
      <c r="H4" s="1401"/>
      <c r="I4" s="1402"/>
      <c r="J4" s="1403" t="s">
        <v>179</v>
      </c>
    </row>
    <row r="5" spans="1:11" s="356" customFormat="1" ht="37.5" customHeight="1" thickBot="1">
      <c r="A5" s="1396"/>
      <c r="B5" s="1398"/>
      <c r="C5" s="1399"/>
      <c r="D5" s="1396"/>
      <c r="E5" s="353" t="s">
        <v>491</v>
      </c>
      <c r="F5" s="354" t="s">
        <v>492</v>
      </c>
      <c r="G5" s="354" t="s">
        <v>493</v>
      </c>
      <c r="H5" s="354" t="s">
        <v>494</v>
      </c>
      <c r="I5" s="355" t="s">
        <v>666</v>
      </c>
      <c r="J5" s="1399"/>
    </row>
    <row r="6" spans="1:11" ht="20.100000000000001" customHeight="1">
      <c r="A6" s="357">
        <v>1</v>
      </c>
      <c r="B6" s="358">
        <v>2</v>
      </c>
      <c r="C6" s="357">
        <v>3</v>
      </c>
      <c r="D6" s="357">
        <v>4</v>
      </c>
      <c r="E6" s="359">
        <v>5</v>
      </c>
      <c r="F6" s="360">
        <v>6</v>
      </c>
      <c r="G6" s="360">
        <v>7</v>
      </c>
      <c r="H6" s="360">
        <v>8</v>
      </c>
      <c r="I6" s="361">
        <v>9</v>
      </c>
      <c r="J6" s="357" t="s">
        <v>495</v>
      </c>
    </row>
    <row r="7" spans="1:11" s="370" customFormat="1" ht="20.100000000000001" customHeight="1">
      <c r="A7" s="362" t="s">
        <v>310</v>
      </c>
      <c r="B7" s="363" t="s">
        <v>496</v>
      </c>
      <c r="C7" s="364"/>
      <c r="D7" s="365"/>
      <c r="E7" s="366">
        <f>SUM(E8:E8)</f>
        <v>0</v>
      </c>
      <c r="F7" s="367"/>
      <c r="G7" s="367"/>
      <c r="H7" s="367"/>
      <c r="I7" s="368"/>
      <c r="J7" s="369"/>
    </row>
    <row r="8" spans="1:11" ht="20.100000000000001" customHeight="1">
      <c r="A8" s="362" t="s">
        <v>414</v>
      </c>
      <c r="B8" s="371"/>
      <c r="C8" s="372"/>
      <c r="D8" s="373"/>
      <c r="E8" s="374"/>
      <c r="F8" s="375"/>
      <c r="G8" s="375"/>
      <c r="H8" s="375"/>
      <c r="I8" s="376"/>
      <c r="J8" s="369"/>
    </row>
    <row r="9" spans="1:11" ht="20.100000000000001" customHeight="1">
      <c r="A9" s="362" t="s">
        <v>474</v>
      </c>
      <c r="B9" s="377"/>
      <c r="C9" s="378"/>
      <c r="D9" s="373"/>
      <c r="E9" s="374"/>
      <c r="F9" s="375"/>
      <c r="G9" s="375"/>
      <c r="H9" s="375"/>
      <c r="I9" s="376"/>
      <c r="J9" s="369"/>
    </row>
    <row r="10" spans="1:11" ht="20.100000000000001" customHeight="1">
      <c r="A10" s="362" t="s">
        <v>475</v>
      </c>
      <c r="B10" s="377"/>
      <c r="C10" s="378"/>
      <c r="D10" s="373"/>
      <c r="E10" s="374"/>
      <c r="F10" s="375"/>
      <c r="G10" s="375"/>
      <c r="H10" s="375"/>
      <c r="I10" s="376"/>
      <c r="J10" s="369"/>
    </row>
    <row r="11" spans="1:11" s="370" customFormat="1" ht="20.100000000000001" customHeight="1">
      <c r="A11" s="362" t="s">
        <v>476</v>
      </c>
      <c r="B11" s="379" t="s">
        <v>497</v>
      </c>
      <c r="C11" s="380"/>
      <c r="D11" s="365">
        <f t="shared" ref="D11:J11" si="0">SUM(D12:D13)</f>
        <v>0</v>
      </c>
      <c r="E11" s="366">
        <f t="shared" si="0"/>
        <v>0</v>
      </c>
      <c r="F11" s="367">
        <f t="shared" si="0"/>
        <v>0</v>
      </c>
      <c r="G11" s="367">
        <f t="shared" si="0"/>
        <v>0</v>
      </c>
      <c r="H11" s="367">
        <f t="shared" si="0"/>
        <v>0</v>
      </c>
      <c r="I11" s="368">
        <f t="shared" si="0"/>
        <v>0</v>
      </c>
      <c r="J11" s="365">
        <f t="shared" si="0"/>
        <v>0</v>
      </c>
    </row>
    <row r="12" spans="1:11" ht="20.100000000000001" customHeight="1">
      <c r="A12" s="362" t="s">
        <v>477</v>
      </c>
      <c r="B12" s="371"/>
      <c r="C12" s="372"/>
      <c r="D12" s="373"/>
      <c r="E12" s="374"/>
      <c r="F12" s="375"/>
      <c r="G12" s="375"/>
      <c r="H12" s="375"/>
      <c r="I12" s="376"/>
      <c r="J12" s="369">
        <f>SUM(D12:I12)</f>
        <v>0</v>
      </c>
    </row>
    <row r="13" spans="1:11" ht="20.100000000000001" customHeight="1">
      <c r="A13" s="362" t="s">
        <v>478</v>
      </c>
      <c r="B13" s="371"/>
      <c r="C13" s="372"/>
      <c r="D13" s="373"/>
      <c r="E13" s="374"/>
      <c r="F13" s="375"/>
      <c r="G13" s="375"/>
      <c r="H13" s="375"/>
      <c r="I13" s="376"/>
      <c r="J13" s="369">
        <f>SUM(D13:I13)</f>
        <v>0</v>
      </c>
      <c r="K13" s="381"/>
    </row>
    <row r="14" spans="1:11" ht="19.5" customHeight="1">
      <c r="A14" s="362" t="s">
        <v>479</v>
      </c>
      <c r="B14" s="371"/>
      <c r="C14" s="372"/>
      <c r="D14" s="373"/>
      <c r="E14" s="374"/>
      <c r="F14" s="375"/>
      <c r="G14" s="375"/>
      <c r="H14" s="375"/>
      <c r="I14" s="376"/>
      <c r="J14" s="369"/>
    </row>
    <row r="15" spans="1:11" ht="20.100000000000001" customHeight="1">
      <c r="A15" s="362" t="s">
        <v>480</v>
      </c>
      <c r="B15" s="382"/>
      <c r="C15" s="383"/>
      <c r="D15" s="384"/>
      <c r="E15" s="385"/>
      <c r="F15" s="386"/>
      <c r="G15" s="386"/>
      <c r="H15" s="386"/>
      <c r="I15" s="387"/>
      <c r="J15" s="369"/>
    </row>
    <row r="16" spans="1:11" s="370" customFormat="1" ht="12.75">
      <c r="A16" s="362" t="s">
        <v>481</v>
      </c>
      <c r="B16" s="388" t="s">
        <v>498</v>
      </c>
      <c r="C16" s="380"/>
      <c r="D16" s="389">
        <f t="shared" ref="D16:J16" si="1">D17</f>
        <v>17967</v>
      </c>
      <c r="E16" s="390">
        <f t="shared" si="1"/>
        <v>6160</v>
      </c>
      <c r="F16" s="390">
        <f t="shared" si="1"/>
        <v>6160</v>
      </c>
      <c r="G16" s="391">
        <f t="shared" si="1"/>
        <v>5873</v>
      </c>
      <c r="H16" s="391">
        <f t="shared" si="1"/>
        <v>0</v>
      </c>
      <c r="I16" s="392">
        <f t="shared" si="1"/>
        <v>0</v>
      </c>
      <c r="J16" s="369">
        <f t="shared" si="1"/>
        <v>30000</v>
      </c>
    </row>
    <row r="17" spans="1:10" s="398" customFormat="1">
      <c r="A17" s="362" t="s">
        <v>482</v>
      </c>
      <c r="B17" s="393" t="s">
        <v>499</v>
      </c>
      <c r="C17" s="394">
        <v>2012</v>
      </c>
      <c r="D17" s="395">
        <v>17967</v>
      </c>
      <c r="E17" s="396">
        <v>6160</v>
      </c>
      <c r="F17" s="347">
        <v>6160</v>
      </c>
      <c r="G17" s="347">
        <v>5873</v>
      </c>
      <c r="H17" s="347"/>
      <c r="I17" s="397"/>
      <c r="J17" s="369">
        <f>SUM(E17+G17+H17+I17)+D17</f>
        <v>30000</v>
      </c>
    </row>
    <row r="18" spans="1:10" ht="15.75" thickBot="1">
      <c r="A18" s="399" t="s">
        <v>483</v>
      </c>
      <c r="B18" s="400"/>
      <c r="C18" s="401"/>
      <c r="D18" s="402"/>
      <c r="E18" s="403"/>
      <c r="F18" s="404"/>
      <c r="G18" s="404"/>
      <c r="H18" s="404"/>
      <c r="I18" s="405"/>
      <c r="J18" s="406"/>
    </row>
    <row r="19" spans="1:10" s="370" customFormat="1" ht="13.5" thickBot="1">
      <c r="A19" s="1391" t="s">
        <v>500</v>
      </c>
      <c r="B19" s="1392"/>
      <c r="C19" s="407"/>
      <c r="D19" s="408">
        <f>+D16+D11</f>
        <v>17967</v>
      </c>
      <c r="E19" s="409">
        <f t="shared" ref="E19:J19" si="2">+E16+E11</f>
        <v>6160</v>
      </c>
      <c r="F19" s="410">
        <f t="shared" si="2"/>
        <v>6160</v>
      </c>
      <c r="G19" s="410">
        <f t="shared" si="2"/>
        <v>5873</v>
      </c>
      <c r="H19" s="410">
        <f t="shared" si="2"/>
        <v>0</v>
      </c>
      <c r="I19" s="411">
        <f t="shared" si="2"/>
        <v>0</v>
      </c>
      <c r="J19" s="408">
        <f t="shared" si="2"/>
        <v>30000</v>
      </c>
    </row>
  </sheetData>
  <mergeCells count="9">
    <mergeCell ref="A19:B19"/>
    <mergeCell ref="I1:J1"/>
    <mergeCell ref="A2:J2"/>
    <mergeCell ref="A4:A5"/>
    <mergeCell ref="B4:B5"/>
    <mergeCell ref="C4:C5"/>
    <mergeCell ref="D4:D5"/>
    <mergeCell ref="E4:I4"/>
    <mergeCell ref="J4:J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&amp;C&amp;"Times New Roman,Félkövér"&amp;12Többéves kihatással járó döntésekből származó kötelezettségek célok szerint, évenkénti bontásban&amp;R&amp;"Times New Roman,Normál"&amp;10 10. melléklet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topLeftCell="A19" workbookViewId="0">
      <selection activeCell="D35" sqref="D35"/>
    </sheetView>
  </sheetViews>
  <sheetFormatPr defaultRowHeight="15"/>
  <cols>
    <col min="1" max="1" width="5" style="1116" customWidth="1"/>
    <col min="2" max="2" width="4.85546875" style="346" bestFit="1" customWidth="1"/>
    <col min="3" max="3" width="32" style="346" bestFit="1" customWidth="1"/>
    <col min="4" max="4" width="13.7109375" style="346" customWidth="1"/>
    <col min="5" max="5" width="14.140625" style="346" customWidth="1"/>
    <col min="6" max="6" width="14" style="346" customWidth="1"/>
    <col min="7" max="16384" width="9.140625" style="346"/>
  </cols>
  <sheetData>
    <row r="1" spans="1:6">
      <c r="A1" s="346"/>
    </row>
    <row r="2" spans="1:6" ht="15.75" thickBot="1">
      <c r="A2" s="346"/>
      <c r="E2" s="1119"/>
      <c r="F2" s="1117" t="s">
        <v>404</v>
      </c>
    </row>
    <row r="3" spans="1:6" s="1116" customFormat="1" ht="33.75" customHeight="1">
      <c r="B3" s="1120" t="s">
        <v>486</v>
      </c>
      <c r="C3" s="1121" t="s">
        <v>1233</v>
      </c>
      <c r="D3" s="1122" t="s">
        <v>1234</v>
      </c>
      <c r="E3" s="1123" t="s">
        <v>1235</v>
      </c>
      <c r="F3" s="1115" t="s">
        <v>1236</v>
      </c>
    </row>
    <row r="4" spans="1:6" s="1124" customFormat="1">
      <c r="B4" s="1125"/>
      <c r="C4" s="1126" t="s">
        <v>501</v>
      </c>
      <c r="D4" s="1151">
        <v>5500</v>
      </c>
      <c r="E4" s="1152">
        <v>8500</v>
      </c>
      <c r="F4" s="1153">
        <f>SUM(F5:F11)</f>
        <v>7810</v>
      </c>
    </row>
    <row r="5" spans="1:6" s="1127" customFormat="1" ht="14.1" customHeight="1">
      <c r="B5" s="1125"/>
      <c r="C5" s="1138" t="s">
        <v>1237</v>
      </c>
      <c r="D5" s="1139"/>
      <c r="E5" s="1140"/>
      <c r="F5" s="1141">
        <v>160</v>
      </c>
    </row>
    <row r="6" spans="1:6" ht="18" customHeight="1">
      <c r="A6" s="346"/>
      <c r="B6" s="1125"/>
      <c r="C6" s="1138" t="s">
        <v>1238</v>
      </c>
      <c r="D6" s="1139"/>
      <c r="E6" s="1140"/>
      <c r="F6" s="1141">
        <v>200</v>
      </c>
    </row>
    <row r="7" spans="1:6" ht="18" customHeight="1">
      <c r="A7" s="346"/>
      <c r="B7" s="1125"/>
      <c r="C7" s="1138" t="s">
        <v>1239</v>
      </c>
      <c r="D7" s="1139"/>
      <c r="E7" s="1140"/>
      <c r="F7" s="1141">
        <v>1200</v>
      </c>
    </row>
    <row r="8" spans="1:6" ht="18" customHeight="1">
      <c r="A8" s="346"/>
      <c r="B8" s="1125"/>
      <c r="C8" s="1138" t="s">
        <v>1240</v>
      </c>
      <c r="D8" s="1139"/>
      <c r="E8" s="1140"/>
      <c r="F8" s="1141">
        <v>900</v>
      </c>
    </row>
    <row r="9" spans="1:6" ht="18" customHeight="1">
      <c r="A9" s="346"/>
      <c r="B9" s="1125"/>
      <c r="C9" s="1138" t="s">
        <v>1241</v>
      </c>
      <c r="D9" s="1139"/>
      <c r="E9" s="1140"/>
      <c r="F9" s="1141">
        <v>250</v>
      </c>
    </row>
    <row r="10" spans="1:6" ht="18" customHeight="1">
      <c r="A10" s="346"/>
      <c r="B10" s="1125"/>
      <c r="C10" s="1142" t="s">
        <v>1242</v>
      </c>
      <c r="D10" s="1139"/>
      <c r="E10" s="1140"/>
      <c r="F10" s="1143">
        <v>5000</v>
      </c>
    </row>
    <row r="11" spans="1:6" ht="18" customHeight="1">
      <c r="A11" s="346"/>
      <c r="B11" s="1125"/>
      <c r="C11" s="1142" t="s">
        <v>1265</v>
      </c>
      <c r="D11" s="1139"/>
      <c r="E11" s="1144"/>
      <c r="F11" s="1143">
        <v>100</v>
      </c>
    </row>
    <row r="12" spans="1:6" ht="18" customHeight="1">
      <c r="A12" s="346"/>
      <c r="B12" s="1125"/>
      <c r="C12" s="1126" t="s">
        <v>1243</v>
      </c>
      <c r="D12" s="1151">
        <v>3100</v>
      </c>
      <c r="E12" s="1154">
        <v>6400</v>
      </c>
      <c r="F12" s="1155">
        <f>SUM(F13:F25)</f>
        <v>6950</v>
      </c>
    </row>
    <row r="13" spans="1:6" ht="18" customHeight="1">
      <c r="A13" s="346"/>
      <c r="B13" s="1125"/>
      <c r="C13" s="1128" t="s">
        <v>1244</v>
      </c>
      <c r="D13" s="1156"/>
      <c r="E13" s="1157"/>
      <c r="F13" s="1158">
        <v>100</v>
      </c>
    </row>
    <row r="14" spans="1:6" ht="18" customHeight="1">
      <c r="A14" s="346"/>
      <c r="B14" s="1125"/>
      <c r="C14" s="1129" t="s">
        <v>1245</v>
      </c>
      <c r="D14" s="1156"/>
      <c r="E14" s="1157"/>
      <c r="F14" s="1159">
        <v>100</v>
      </c>
    </row>
    <row r="15" spans="1:6" ht="18" customHeight="1">
      <c r="A15" s="346"/>
      <c r="B15" s="1125"/>
      <c r="C15" s="1129" t="s">
        <v>1246</v>
      </c>
      <c r="D15" s="1156"/>
      <c r="E15" s="1157"/>
      <c r="F15" s="1159">
        <v>800</v>
      </c>
    </row>
    <row r="16" spans="1:6" ht="18" customHeight="1">
      <c r="A16" s="346"/>
      <c r="B16" s="1125"/>
      <c r="C16" s="1129" t="s">
        <v>1247</v>
      </c>
      <c r="D16" s="1156"/>
      <c r="E16" s="1157"/>
      <c r="F16" s="1159">
        <v>300</v>
      </c>
    </row>
    <row r="17" spans="1:6" ht="18" customHeight="1">
      <c r="A17" s="346"/>
      <c r="B17" s="1125"/>
      <c r="C17" s="1129" t="s">
        <v>1248</v>
      </c>
      <c r="D17" s="1156"/>
      <c r="E17" s="1157"/>
      <c r="F17" s="1159">
        <v>500</v>
      </c>
    </row>
    <row r="18" spans="1:6" ht="18" customHeight="1">
      <c r="A18" s="346"/>
      <c r="B18" s="1125"/>
      <c r="C18" s="1129" t="s">
        <v>1249</v>
      </c>
      <c r="D18" s="1156"/>
      <c r="E18" s="1157"/>
      <c r="F18" s="1159">
        <v>800</v>
      </c>
    </row>
    <row r="19" spans="1:6" ht="18" customHeight="1">
      <c r="A19" s="346"/>
      <c r="B19" s="1125"/>
      <c r="C19" s="1129" t="s">
        <v>1250</v>
      </c>
      <c r="D19" s="1156"/>
      <c r="E19" s="1157"/>
      <c r="F19" s="1159">
        <v>700</v>
      </c>
    </row>
    <row r="20" spans="1:6" ht="18" customHeight="1">
      <c r="A20" s="346"/>
      <c r="B20" s="1125"/>
      <c r="C20" s="1129" t="s">
        <v>1251</v>
      </c>
      <c r="D20" s="1156"/>
      <c r="E20" s="1157"/>
      <c r="F20" s="1159">
        <v>3200</v>
      </c>
    </row>
    <row r="21" spans="1:6" ht="18" customHeight="1">
      <c r="A21" s="346"/>
      <c r="B21" s="1125"/>
      <c r="C21" s="1129" t="s">
        <v>1252</v>
      </c>
      <c r="D21" s="1156"/>
      <c r="E21" s="1157"/>
      <c r="F21" s="1159">
        <v>200</v>
      </c>
    </row>
    <row r="22" spans="1:6" ht="18" customHeight="1">
      <c r="A22" s="346"/>
      <c r="B22" s="1125"/>
      <c r="C22" s="1129" t="s">
        <v>1263</v>
      </c>
      <c r="D22" s="1156"/>
      <c r="E22" s="1157"/>
      <c r="F22" s="1159">
        <v>200</v>
      </c>
    </row>
    <row r="23" spans="1:6" ht="18" customHeight="1">
      <c r="A23" s="346"/>
      <c r="B23" s="1125"/>
      <c r="C23" s="1129" t="s">
        <v>1253</v>
      </c>
      <c r="D23" s="1160"/>
      <c r="E23" s="1161"/>
      <c r="F23" s="1162">
        <v>100</v>
      </c>
    </row>
    <row r="24" spans="1:6" ht="18" customHeight="1">
      <c r="A24" s="346"/>
      <c r="B24" s="1125"/>
      <c r="C24" s="1129" t="s">
        <v>1262</v>
      </c>
      <c r="D24" s="1160"/>
      <c r="E24" s="1161"/>
      <c r="F24" s="1162">
        <v>350</v>
      </c>
    </row>
    <row r="25" spans="1:6" ht="18" customHeight="1">
      <c r="A25" s="346"/>
      <c r="B25" s="1125"/>
      <c r="C25" s="1129" t="s">
        <v>1264</v>
      </c>
      <c r="D25" s="1160"/>
      <c r="E25" s="1161"/>
      <c r="F25" s="1162">
        <v>-400</v>
      </c>
    </row>
    <row r="26" spans="1:6" ht="18" customHeight="1">
      <c r="A26" s="346"/>
      <c r="B26" s="1125"/>
      <c r="C26" s="1126"/>
      <c r="D26" s="1160"/>
      <c r="E26" s="1161"/>
      <c r="F26" s="1162"/>
    </row>
    <row r="27" spans="1:6" ht="18" customHeight="1">
      <c r="A27" s="346"/>
      <c r="B27" s="1125"/>
      <c r="C27" s="1130" t="s">
        <v>1267</v>
      </c>
      <c r="D27" s="1160"/>
      <c r="E27" s="1161">
        <v>200</v>
      </c>
      <c r="F27" s="1162">
        <v>200</v>
      </c>
    </row>
    <row r="28" spans="1:6" ht="18" customHeight="1">
      <c r="A28" s="346"/>
      <c r="B28" s="1125"/>
      <c r="C28" s="1130" t="s">
        <v>1266</v>
      </c>
      <c r="D28" s="1160"/>
      <c r="E28" s="1161">
        <v>300</v>
      </c>
      <c r="F28" s="1162">
        <v>300</v>
      </c>
    </row>
    <row r="29" spans="1:6" ht="14.25" customHeight="1">
      <c r="A29" s="346"/>
      <c r="B29" s="1125"/>
      <c r="C29" s="1126"/>
      <c r="D29" s="1163"/>
      <c r="E29" s="1164"/>
      <c r="F29" s="1165"/>
    </row>
    <row r="30" spans="1:6" ht="18" customHeight="1">
      <c r="A30" s="346"/>
      <c r="B30" s="1125"/>
      <c r="C30" s="1130" t="s">
        <v>1269</v>
      </c>
      <c r="D30" s="1163"/>
      <c r="E30" s="1164">
        <v>305</v>
      </c>
      <c r="F30" s="1165">
        <v>305</v>
      </c>
    </row>
    <row r="31" spans="1:6" ht="12" customHeight="1">
      <c r="A31" s="346"/>
      <c r="B31" s="1125"/>
      <c r="C31" s="1126"/>
      <c r="D31" s="1163"/>
      <c r="E31" s="1164"/>
      <c r="F31" s="1165"/>
    </row>
    <row r="32" spans="1:6" ht="18" customHeight="1">
      <c r="A32" s="346"/>
      <c r="B32" s="1125"/>
      <c r="C32" s="1137" t="s">
        <v>661</v>
      </c>
      <c r="D32" s="1166">
        <v>750</v>
      </c>
      <c r="E32" s="1164">
        <v>750</v>
      </c>
      <c r="F32" s="1162"/>
    </row>
    <row r="33" spans="1:6" ht="14.25" customHeight="1">
      <c r="A33" s="346"/>
      <c r="B33" s="1125"/>
      <c r="C33" s="1135"/>
      <c r="D33" s="1145"/>
      <c r="E33" s="1146"/>
      <c r="F33" s="1162"/>
    </row>
    <row r="34" spans="1:6" ht="18" customHeight="1">
      <c r="A34" s="346"/>
      <c r="B34" s="1125"/>
      <c r="C34" s="1136" t="s">
        <v>1268</v>
      </c>
      <c r="D34" s="1147">
        <v>234071</v>
      </c>
      <c r="E34" s="1146">
        <v>243684</v>
      </c>
      <c r="F34" s="1162">
        <v>242422</v>
      </c>
    </row>
    <row r="35" spans="1:6" ht="18" customHeight="1">
      <c r="A35" s="346"/>
      <c r="B35" s="1125"/>
      <c r="C35" s="1134"/>
      <c r="D35" s="1148"/>
      <c r="E35" s="1149"/>
      <c r="F35" s="1162"/>
    </row>
    <row r="36" spans="1:6" ht="18" customHeight="1">
      <c r="A36" s="346"/>
      <c r="B36" s="1125"/>
      <c r="C36" s="1134" t="s">
        <v>1270</v>
      </c>
      <c r="D36" s="1148">
        <v>117600</v>
      </c>
      <c r="E36" s="1149">
        <v>119776</v>
      </c>
      <c r="F36" s="1162">
        <v>119842</v>
      </c>
    </row>
    <row r="37" spans="1:6" ht="18" customHeight="1">
      <c r="A37" s="346"/>
      <c r="B37" s="1125"/>
      <c r="C37" s="1131"/>
      <c r="D37" s="1148"/>
      <c r="E37" s="1149"/>
      <c r="F37" s="1165"/>
    </row>
    <row r="38" spans="1:6" ht="18" customHeight="1" thickBot="1">
      <c r="A38" s="346"/>
      <c r="B38" s="1125"/>
      <c r="C38" s="1132"/>
      <c r="D38" s="1167"/>
      <c r="E38" s="1168"/>
      <c r="F38" s="1162">
        <f>SUM(D38:E38)</f>
        <v>0</v>
      </c>
    </row>
    <row r="39" spans="1:6" ht="18" customHeight="1" thickBot="1">
      <c r="A39" s="346"/>
      <c r="B39" s="1404" t="s">
        <v>484</v>
      </c>
      <c r="C39" s="1405"/>
      <c r="D39" s="1150">
        <f>+D36+D34+D32+D30+D28+D27+D12+D4</f>
        <v>361021</v>
      </c>
      <c r="E39" s="1150">
        <f t="shared" ref="E39:F39" si="0">+E36+E34+E32+E30+E28+E27+E12+E4</f>
        <v>379915</v>
      </c>
      <c r="F39" s="1150">
        <f t="shared" si="0"/>
        <v>377829</v>
      </c>
    </row>
    <row r="40" spans="1:6" ht="18" customHeight="1">
      <c r="A40" s="346"/>
    </row>
    <row r="41" spans="1:6" ht="18" customHeight="1">
      <c r="A41" s="346"/>
    </row>
    <row r="42" spans="1:6" ht="18" customHeight="1">
      <c r="A42" s="346"/>
    </row>
    <row r="43" spans="1:6" ht="18" customHeight="1">
      <c r="A43" s="346"/>
    </row>
    <row r="44" spans="1:6" ht="18" customHeight="1">
      <c r="A44" s="346"/>
    </row>
    <row r="45" spans="1:6" ht="18" customHeight="1">
      <c r="A45" s="346"/>
    </row>
    <row r="46" spans="1:6" ht="18" customHeight="1">
      <c r="A46" s="346"/>
    </row>
    <row r="47" spans="1:6" ht="18" customHeight="1">
      <c r="A47" s="346"/>
    </row>
    <row r="48" spans="1:6" ht="18" customHeight="1">
      <c r="A48" s="346"/>
    </row>
    <row r="49" spans="1:1" ht="18" customHeight="1">
      <c r="A49" s="346"/>
    </row>
    <row r="50" spans="1:1" ht="18" customHeight="1">
      <c r="A50" s="346"/>
    </row>
    <row r="51" spans="1:1" ht="8.25" customHeight="1">
      <c r="A51" s="346"/>
    </row>
  </sheetData>
  <mergeCells count="1">
    <mergeCell ref="B39:C39"/>
  </mergeCells>
  <conditionalFormatting sqref="D39:F39">
    <cfRule type="cellIs" dxfId="0" priority="1" stopIfTrue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 
működési és felhalmozási támogatások részletezése&amp;R&amp;"Times New Roman,Normál"&amp;10
 11. melléklet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"/>
  <sheetViews>
    <sheetView workbookViewId="0">
      <selection activeCell="C10" sqref="C10"/>
    </sheetView>
  </sheetViews>
  <sheetFormatPr defaultColWidth="8.85546875" defaultRowHeight="12.95" customHeight="1"/>
  <cols>
    <col min="1" max="1" width="4.7109375" style="875" customWidth="1"/>
    <col min="2" max="2" width="36" style="875" customWidth="1"/>
    <col min="3" max="3" width="13.5703125" style="875" customWidth="1"/>
    <col min="4" max="4" width="13.140625" style="875" customWidth="1"/>
    <col min="5" max="7" width="12.42578125" style="875" customWidth="1"/>
    <col min="8" max="16384" width="8.85546875" style="875"/>
  </cols>
  <sheetData>
    <row r="1" spans="1:7" ht="12.95" customHeight="1" thickBot="1">
      <c r="G1" s="902" t="s">
        <v>404</v>
      </c>
    </row>
    <row r="2" spans="1:7" ht="45" customHeight="1">
      <c r="A2" s="901" t="s">
        <v>473</v>
      </c>
      <c r="B2" s="900" t="s">
        <v>285</v>
      </c>
      <c r="C2" s="899" t="s">
        <v>853</v>
      </c>
      <c r="D2" s="899" t="s">
        <v>852</v>
      </c>
      <c r="E2" s="899" t="s">
        <v>295</v>
      </c>
      <c r="F2" s="899" t="s">
        <v>851</v>
      </c>
      <c r="G2" s="898" t="s">
        <v>179</v>
      </c>
    </row>
    <row r="3" spans="1:7" s="887" customFormat="1" ht="27.75" customHeight="1">
      <c r="A3" s="897" t="s">
        <v>310</v>
      </c>
      <c r="B3" s="896" t="s">
        <v>1222</v>
      </c>
      <c r="C3" s="895">
        <f>SUM(C4:C5)</f>
        <v>476965</v>
      </c>
      <c r="D3" s="895">
        <f>SUM(D4:D5)</f>
        <v>15</v>
      </c>
      <c r="E3" s="895">
        <f>SUM(E4:E5)</f>
        <v>276</v>
      </c>
      <c r="F3" s="895">
        <f>SUM(F4:F5)</f>
        <v>205</v>
      </c>
      <c r="G3" s="894">
        <f>SUM(G4:G5)</f>
        <v>477461</v>
      </c>
    </row>
    <row r="4" spans="1:7" s="878" customFormat="1" ht="18" customHeight="1">
      <c r="A4" s="886" t="s">
        <v>414</v>
      </c>
      <c r="B4" s="885" t="s">
        <v>846</v>
      </c>
      <c r="C4" s="884">
        <v>476965</v>
      </c>
      <c r="D4" s="884">
        <v>15</v>
      </c>
      <c r="E4" s="884">
        <v>276</v>
      </c>
      <c r="F4" s="884">
        <v>205</v>
      </c>
      <c r="G4" s="883">
        <f t="shared" ref="G4:G9" si="0">SUM(C4:F4)</f>
        <v>477461</v>
      </c>
    </row>
    <row r="5" spans="1:7" s="878" customFormat="1" ht="18" customHeight="1">
      <c r="A5" s="886" t="s">
        <v>474</v>
      </c>
      <c r="B5" s="885" t="s">
        <v>845</v>
      </c>
      <c r="C5" s="884"/>
      <c r="D5" s="884"/>
      <c r="E5" s="884"/>
      <c r="F5" s="884"/>
      <c r="G5" s="883">
        <f t="shared" si="0"/>
        <v>0</v>
      </c>
    </row>
    <row r="6" spans="1:7" ht="18" customHeight="1">
      <c r="A6" s="891" t="s">
        <v>475</v>
      </c>
      <c r="B6" s="893" t="s">
        <v>850</v>
      </c>
      <c r="C6" s="892">
        <v>1565533</v>
      </c>
      <c r="D6" s="892">
        <v>154509</v>
      </c>
      <c r="E6" s="892">
        <v>147265</v>
      </c>
      <c r="F6" s="892">
        <v>78157</v>
      </c>
      <c r="G6" s="888">
        <f t="shared" si="0"/>
        <v>1945464</v>
      </c>
    </row>
    <row r="7" spans="1:7" ht="18" customHeight="1">
      <c r="A7" s="891" t="s">
        <v>476</v>
      </c>
      <c r="B7" s="893" t="s">
        <v>849</v>
      </c>
      <c r="C7" s="892">
        <v>-1173357</v>
      </c>
      <c r="D7" s="892">
        <v>-154018</v>
      </c>
      <c r="E7" s="892">
        <v>-147207</v>
      </c>
      <c r="F7" s="892">
        <v>-77821</v>
      </c>
      <c r="G7" s="888">
        <f t="shared" si="0"/>
        <v>-1552403</v>
      </c>
    </row>
    <row r="8" spans="1:7" ht="18" customHeight="1">
      <c r="A8" s="891" t="s">
        <v>477</v>
      </c>
      <c r="B8" s="893" t="s">
        <v>848</v>
      </c>
      <c r="C8" s="892">
        <v>-475840</v>
      </c>
      <c r="D8" s="892">
        <v>-175</v>
      </c>
      <c r="E8" s="892">
        <v>-35</v>
      </c>
      <c r="F8" s="892">
        <v>-205</v>
      </c>
      <c r="G8" s="888">
        <f t="shared" si="0"/>
        <v>-476255</v>
      </c>
    </row>
    <row r="9" spans="1:7" ht="27" customHeight="1">
      <c r="A9" s="891" t="s">
        <v>478</v>
      </c>
      <c r="B9" s="893" t="s">
        <v>847</v>
      </c>
      <c r="C9" s="892">
        <v>10068</v>
      </c>
      <c r="D9" s="892">
        <v>64</v>
      </c>
      <c r="E9" s="892">
        <v>-241</v>
      </c>
      <c r="F9" s="892">
        <v>2</v>
      </c>
      <c r="G9" s="888">
        <f t="shared" si="0"/>
        <v>9893</v>
      </c>
    </row>
    <row r="10" spans="1:7" s="887" customFormat="1" ht="27" customHeight="1">
      <c r="A10" s="891" t="s">
        <v>479</v>
      </c>
      <c r="B10" s="890" t="s">
        <v>1223</v>
      </c>
      <c r="C10" s="889">
        <f>+C3+SUM(C6:C9)</f>
        <v>403369</v>
      </c>
      <c r="D10" s="889">
        <f>+D3+SUM(D6:D9)</f>
        <v>395</v>
      </c>
      <c r="E10" s="889">
        <f>+E3+SUM(E6:E9)</f>
        <v>58</v>
      </c>
      <c r="F10" s="889">
        <f>+F3+SUM(F6:F9)</f>
        <v>338</v>
      </c>
      <c r="G10" s="888">
        <f>+G3+SUM(G6:G9)</f>
        <v>404160</v>
      </c>
    </row>
    <row r="11" spans="1:7" s="878" customFormat="1" ht="18" customHeight="1">
      <c r="A11" s="886" t="s">
        <v>480</v>
      </c>
      <c r="B11" s="885" t="s">
        <v>846</v>
      </c>
      <c r="C11" s="884">
        <v>403331</v>
      </c>
      <c r="D11" s="884">
        <v>395</v>
      </c>
      <c r="E11" s="884">
        <v>58</v>
      </c>
      <c r="F11" s="884">
        <v>338</v>
      </c>
      <c r="G11" s="883">
        <f>SUM(C11:F11)</f>
        <v>404122</v>
      </c>
    </row>
    <row r="12" spans="1:7" s="878" customFormat="1" ht="18" customHeight="1" thickBot="1">
      <c r="A12" s="882" t="s">
        <v>481</v>
      </c>
      <c r="B12" s="881" t="s">
        <v>845</v>
      </c>
      <c r="C12" s="880">
        <v>38</v>
      </c>
      <c r="D12" s="880"/>
      <c r="E12" s="880"/>
      <c r="F12" s="880"/>
      <c r="G12" s="879">
        <f>SUM(C12:F12)</f>
        <v>38</v>
      </c>
    </row>
    <row r="13" spans="1:7" ht="12.95" customHeight="1">
      <c r="B13" s="876"/>
    </row>
    <row r="14" spans="1:7" ht="12.95" customHeight="1">
      <c r="B14" s="876"/>
      <c r="C14" s="877"/>
      <c r="D14" s="877"/>
      <c r="E14" s="877"/>
      <c r="F14" s="877"/>
    </row>
    <row r="15" spans="1:7" ht="12.95" customHeight="1">
      <c r="B15" s="876"/>
      <c r="D15" s="877"/>
      <c r="E15" s="877"/>
      <c r="F15" s="877"/>
    </row>
    <row r="16" spans="1:7" ht="12.95" customHeight="1">
      <c r="C16" s="877"/>
    </row>
  </sheetData>
  <printOptions horizontalCentered="1"/>
  <pageMargins left="0.51181102362204722" right="0.51181102362204722" top="1.3385826771653544" bottom="0.74803149606299213" header="0.31496062992125984" footer="0.31496062992125984"/>
  <pageSetup paperSize="9" orientation="landscape" r:id="rId1"/>
  <headerFooter>
    <oddHeader>&amp;C&amp;"Times New Roman,Félkövér"&amp;12Martonvásár Város Önkormányzatának pénzeszköz változása&amp;R&amp;"Times New Roman,Normál"&amp;10 12. melléklet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"/>
  <sheetViews>
    <sheetView topLeftCell="B1" workbookViewId="0">
      <selection activeCell="G12" sqref="G12"/>
    </sheetView>
  </sheetViews>
  <sheetFormatPr defaultRowHeight="12.75"/>
  <cols>
    <col min="1" max="1" width="9.140625" style="903"/>
    <col min="2" max="2" width="26.42578125" style="903" customWidth="1"/>
    <col min="3" max="3" width="10" style="903" customWidth="1"/>
    <col min="4" max="4" width="8.140625" style="903" bestFit="1" customWidth="1"/>
    <col min="5" max="5" width="12.42578125" style="903" customWidth="1"/>
    <col min="6" max="6" width="12.140625" style="903" customWidth="1"/>
    <col min="7" max="7" width="13.5703125" style="903" customWidth="1"/>
    <col min="8" max="8" width="13.28515625" style="903" customWidth="1"/>
    <col min="9" max="9" width="12.42578125" style="903" customWidth="1"/>
    <col min="10" max="10" width="8.140625" style="903" bestFit="1" customWidth="1"/>
    <col min="11" max="11" width="9.85546875" style="903" customWidth="1"/>
    <col min="12" max="12" width="9.140625" style="903"/>
    <col min="13" max="13" width="9.7109375" style="903" customWidth="1"/>
    <col min="14" max="16384" width="9.140625" style="903"/>
  </cols>
  <sheetData>
    <row r="1" spans="1:13" ht="13.5" thickBot="1">
      <c r="K1" s="902" t="s">
        <v>404</v>
      </c>
    </row>
    <row r="2" spans="1:13" ht="13.5" thickBot="1">
      <c r="A2" s="904"/>
      <c r="B2" s="905" t="s">
        <v>306</v>
      </c>
      <c r="C2" s="906" t="s">
        <v>313</v>
      </c>
      <c r="D2" s="906" t="s">
        <v>307</v>
      </c>
      <c r="E2" s="906" t="s">
        <v>308</v>
      </c>
      <c r="F2" s="906" t="s">
        <v>309</v>
      </c>
      <c r="G2" s="906" t="s">
        <v>854</v>
      </c>
      <c r="H2" s="906" t="s">
        <v>855</v>
      </c>
      <c r="I2" s="906" t="s">
        <v>856</v>
      </c>
      <c r="J2" s="906" t="s">
        <v>857</v>
      </c>
      <c r="K2" s="907" t="s">
        <v>858</v>
      </c>
      <c r="L2" s="908"/>
      <c r="M2" s="909"/>
    </row>
    <row r="3" spans="1:13" ht="76.5" customHeight="1">
      <c r="A3" s="1407"/>
      <c r="B3" s="1409" t="s">
        <v>859</v>
      </c>
      <c r="C3" s="1411" t="s">
        <v>860</v>
      </c>
      <c r="D3" s="1411" t="s">
        <v>861</v>
      </c>
      <c r="E3" s="1411" t="s">
        <v>862</v>
      </c>
      <c r="F3" s="1411" t="s">
        <v>863</v>
      </c>
      <c r="G3" s="1411" t="s">
        <v>864</v>
      </c>
      <c r="H3" s="1413" t="s">
        <v>865</v>
      </c>
      <c r="I3" s="1411" t="s">
        <v>866</v>
      </c>
      <c r="J3" s="1411" t="s">
        <v>867</v>
      </c>
      <c r="K3" s="1415" t="s">
        <v>868</v>
      </c>
      <c r="L3" s="1406"/>
      <c r="M3" s="1406"/>
    </row>
    <row r="4" spans="1:13" ht="13.5" thickBot="1">
      <c r="A4" s="1408"/>
      <c r="B4" s="1410"/>
      <c r="C4" s="1412"/>
      <c r="D4" s="1412"/>
      <c r="E4" s="1412"/>
      <c r="F4" s="1412"/>
      <c r="G4" s="1412"/>
      <c r="H4" s="1414"/>
      <c r="I4" s="1412"/>
      <c r="J4" s="1412"/>
      <c r="K4" s="1416"/>
      <c r="L4" s="910"/>
      <c r="M4" s="910"/>
    </row>
    <row r="5" spans="1:13" ht="28.35" customHeight="1">
      <c r="A5" s="911">
        <v>1</v>
      </c>
      <c r="B5" s="912" t="s">
        <v>853</v>
      </c>
      <c r="C5" s="913">
        <v>411758</v>
      </c>
      <c r="D5" s="913"/>
      <c r="E5" s="913">
        <v>5347</v>
      </c>
      <c r="F5" s="914">
        <f>+C5-D5-E5</f>
        <v>406411</v>
      </c>
      <c r="G5" s="913">
        <v>888</v>
      </c>
      <c r="H5" s="914">
        <f>+F5+G5</f>
        <v>407299</v>
      </c>
      <c r="I5" s="913">
        <v>364092</v>
      </c>
      <c r="J5" s="914">
        <f>+H5-I5</f>
        <v>43207</v>
      </c>
      <c r="K5" s="915">
        <f>+J5</f>
        <v>43207</v>
      </c>
      <c r="L5" s="910"/>
      <c r="M5" s="910"/>
    </row>
    <row r="6" spans="1:13" ht="28.35" customHeight="1">
      <c r="A6" s="911">
        <v>2</v>
      </c>
      <c r="B6" s="916" t="s">
        <v>852</v>
      </c>
      <c r="C6" s="914">
        <v>492</v>
      </c>
      <c r="D6" s="914"/>
      <c r="E6" s="914"/>
      <c r="F6" s="914">
        <f t="shared" ref="F6:F8" si="0">+C6-D6-E6</f>
        <v>492</v>
      </c>
      <c r="G6" s="914">
        <v>-492</v>
      </c>
      <c r="H6" s="914">
        <f>+F6+G6</f>
        <v>0</v>
      </c>
      <c r="I6" s="914"/>
      <c r="J6" s="914">
        <f t="shared" ref="J6:J8" si="1">+H6-I6</f>
        <v>0</v>
      </c>
      <c r="K6" s="915">
        <f t="shared" ref="K6:K8" si="2">+J6</f>
        <v>0</v>
      </c>
      <c r="L6" s="908"/>
      <c r="M6" s="908"/>
    </row>
    <row r="7" spans="1:13" ht="28.35" customHeight="1">
      <c r="A7" s="911">
        <v>3</v>
      </c>
      <c r="B7" s="916" t="s">
        <v>295</v>
      </c>
      <c r="C7" s="914">
        <v>58</v>
      </c>
      <c r="D7" s="914"/>
      <c r="E7" s="914"/>
      <c r="F7" s="914">
        <f t="shared" si="0"/>
        <v>58</v>
      </c>
      <c r="G7" s="914">
        <v>-58</v>
      </c>
      <c r="H7" s="914">
        <f t="shared" ref="H7:H8" si="3">+F7+G7</f>
        <v>0</v>
      </c>
      <c r="I7" s="914"/>
      <c r="J7" s="914">
        <f t="shared" si="1"/>
        <v>0</v>
      </c>
      <c r="K7" s="915">
        <f t="shared" si="2"/>
        <v>0</v>
      </c>
      <c r="L7" s="908"/>
      <c r="M7" s="908"/>
    </row>
    <row r="8" spans="1:13" ht="28.35" customHeight="1" thickBot="1">
      <c r="A8" s="917">
        <v>4</v>
      </c>
      <c r="B8" s="916" t="s">
        <v>869</v>
      </c>
      <c r="C8" s="914">
        <v>338</v>
      </c>
      <c r="D8" s="914"/>
      <c r="E8" s="914"/>
      <c r="F8" s="914">
        <f t="shared" si="0"/>
        <v>338</v>
      </c>
      <c r="G8" s="914">
        <v>-338</v>
      </c>
      <c r="H8" s="914">
        <f t="shared" si="3"/>
        <v>0</v>
      </c>
      <c r="I8" s="914"/>
      <c r="J8" s="914">
        <f t="shared" si="1"/>
        <v>0</v>
      </c>
      <c r="K8" s="915">
        <f t="shared" si="2"/>
        <v>0</v>
      </c>
      <c r="L8" s="908"/>
      <c r="M8" s="908"/>
    </row>
    <row r="9" spans="1:13" ht="28.35" customHeight="1" thickBot="1">
      <c r="A9" s="918">
        <v>5</v>
      </c>
      <c r="B9" s="919" t="s">
        <v>378</v>
      </c>
      <c r="C9" s="920">
        <f t="shared" ref="C9:K9" si="4">SUM(C5:C8)</f>
        <v>412646</v>
      </c>
      <c r="D9" s="920">
        <f t="shared" si="4"/>
        <v>0</v>
      </c>
      <c r="E9" s="920">
        <f t="shared" si="4"/>
        <v>5347</v>
      </c>
      <c r="F9" s="920">
        <f t="shared" si="4"/>
        <v>407299</v>
      </c>
      <c r="G9" s="920">
        <f t="shared" si="4"/>
        <v>0</v>
      </c>
      <c r="H9" s="920">
        <f t="shared" si="4"/>
        <v>407299</v>
      </c>
      <c r="I9" s="920">
        <f t="shared" si="4"/>
        <v>364092</v>
      </c>
      <c r="J9" s="920">
        <f t="shared" si="4"/>
        <v>43207</v>
      </c>
      <c r="K9" s="921">
        <f t="shared" si="4"/>
        <v>43207</v>
      </c>
      <c r="L9" s="908"/>
      <c r="M9" s="908"/>
    </row>
    <row r="10" spans="1:13">
      <c r="F10" s="922"/>
    </row>
    <row r="11" spans="1:13">
      <c r="H11" s="908"/>
    </row>
    <row r="12" spans="1:13">
      <c r="H12" s="908"/>
    </row>
    <row r="14" spans="1:13">
      <c r="J14" s="922"/>
    </row>
  </sheetData>
  <mergeCells count="12">
    <mergeCell ref="L3:M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>
    <oddHeader>&amp;C&amp;"Times New Roman,Félkövér"&amp;12Martonvásár Vásor Önkormányzatának 2015. évi  pénzmaradvány levezetése&amp;R&amp;"Times New Roman CE,Normál"&amp;10 13. melléklet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"/>
  <sheetViews>
    <sheetView zoomScale="90" zoomScaleNormal="90" workbookViewId="0">
      <selection activeCell="B29" sqref="B29"/>
    </sheetView>
  </sheetViews>
  <sheetFormatPr defaultRowHeight="12.75"/>
  <cols>
    <col min="1" max="1" width="9.140625" style="903"/>
    <col min="2" max="2" width="38" style="903" bestFit="1" customWidth="1"/>
    <col min="3" max="3" width="9.7109375" style="903" customWidth="1"/>
    <col min="4" max="4" width="10.85546875" style="903" customWidth="1"/>
    <col min="5" max="5" width="11" style="903" bestFit="1" customWidth="1"/>
    <col min="6" max="6" width="10.85546875" style="903" customWidth="1"/>
    <col min="7" max="7" width="9.7109375" style="903" customWidth="1"/>
    <col min="8" max="8" width="10.7109375" style="903" customWidth="1"/>
    <col min="9" max="9" width="9.28515625" style="903" customWidth="1"/>
    <col min="10" max="10" width="10.7109375" style="903" customWidth="1"/>
    <col min="11" max="11" width="9.42578125" style="903" customWidth="1"/>
    <col min="12" max="12" width="10.28515625" style="903" customWidth="1"/>
    <col min="13" max="16384" width="9.140625" style="903"/>
  </cols>
  <sheetData>
    <row r="1" spans="1:12" ht="13.5" thickBot="1">
      <c r="L1" s="902" t="s">
        <v>404</v>
      </c>
    </row>
    <row r="2" spans="1:12">
      <c r="A2" s="923"/>
      <c r="B2" s="924" t="s">
        <v>306</v>
      </c>
      <c r="C2" s="924" t="s">
        <v>313</v>
      </c>
      <c r="D2" s="924" t="s">
        <v>307</v>
      </c>
      <c r="E2" s="924" t="s">
        <v>308</v>
      </c>
      <c r="F2" s="924" t="s">
        <v>309</v>
      </c>
      <c r="G2" s="924" t="s">
        <v>854</v>
      </c>
      <c r="H2" s="924" t="s">
        <v>855</v>
      </c>
      <c r="I2" s="924" t="s">
        <v>856</v>
      </c>
      <c r="J2" s="924" t="s">
        <v>857</v>
      </c>
      <c r="K2" s="924" t="s">
        <v>858</v>
      </c>
      <c r="L2" s="925" t="s">
        <v>870</v>
      </c>
    </row>
    <row r="3" spans="1:12">
      <c r="A3" s="1421"/>
      <c r="B3" s="1422" t="s">
        <v>285</v>
      </c>
      <c r="C3" s="1422" t="s">
        <v>871</v>
      </c>
      <c r="D3" s="1422"/>
      <c r="E3" s="1422"/>
      <c r="F3" s="1422"/>
      <c r="G3" s="1422"/>
      <c r="H3" s="1422"/>
      <c r="I3" s="1422"/>
      <c r="J3" s="1422"/>
      <c r="K3" s="1422"/>
      <c r="L3" s="1417"/>
    </row>
    <row r="4" spans="1:12" ht="38.25" customHeight="1">
      <c r="A4" s="1421"/>
      <c r="B4" s="1422"/>
      <c r="C4" s="1422" t="s">
        <v>872</v>
      </c>
      <c r="D4" s="1422" t="s">
        <v>873</v>
      </c>
      <c r="E4" s="1422" t="s">
        <v>874</v>
      </c>
      <c r="F4" s="1422" t="s">
        <v>875</v>
      </c>
      <c r="G4" s="1422"/>
      <c r="H4" s="1422" t="s">
        <v>876</v>
      </c>
      <c r="I4" s="1422"/>
      <c r="J4" s="1422" t="s">
        <v>877</v>
      </c>
      <c r="K4" s="1422" t="s">
        <v>878</v>
      </c>
      <c r="L4" s="1417" t="s">
        <v>435</v>
      </c>
    </row>
    <row r="5" spans="1:12" ht="25.5">
      <c r="A5" s="1421"/>
      <c r="B5" s="1422"/>
      <c r="C5" s="1422"/>
      <c r="D5" s="1422"/>
      <c r="E5" s="1422"/>
      <c r="F5" s="926" t="s">
        <v>879</v>
      </c>
      <c r="G5" s="926" t="s">
        <v>880</v>
      </c>
      <c r="H5" s="926" t="s">
        <v>879</v>
      </c>
      <c r="I5" s="926" t="s">
        <v>880</v>
      </c>
      <c r="J5" s="1422"/>
      <c r="K5" s="1422"/>
      <c r="L5" s="1417"/>
    </row>
    <row r="6" spans="1:12">
      <c r="A6" s="927">
        <v>1</v>
      </c>
      <c r="B6" s="928" t="s">
        <v>1306</v>
      </c>
      <c r="C6" s="929">
        <v>19</v>
      </c>
      <c r="D6" s="929"/>
      <c r="E6" s="929"/>
      <c r="F6" s="929"/>
      <c r="G6" s="929"/>
      <c r="H6" s="929">
        <v>2000</v>
      </c>
      <c r="I6" s="929"/>
      <c r="J6" s="929"/>
      <c r="K6" s="929"/>
      <c r="L6" s="930"/>
    </row>
    <row r="7" spans="1:12">
      <c r="A7" s="927">
        <v>2</v>
      </c>
      <c r="B7" s="931" t="s">
        <v>881</v>
      </c>
      <c r="C7" s="932"/>
      <c r="D7" s="932"/>
      <c r="E7" s="932"/>
      <c r="F7" s="932"/>
      <c r="G7" s="932"/>
      <c r="H7" s="932"/>
      <c r="I7" s="932"/>
      <c r="J7" s="932"/>
      <c r="K7" s="932"/>
      <c r="L7" s="933">
        <v>10205</v>
      </c>
    </row>
    <row r="8" spans="1:12">
      <c r="A8" s="927">
        <v>3</v>
      </c>
      <c r="B8" s="931" t="s">
        <v>882</v>
      </c>
      <c r="C8" s="932"/>
      <c r="D8" s="932"/>
      <c r="E8" s="932"/>
      <c r="F8" s="932"/>
      <c r="G8" s="932"/>
      <c r="H8" s="932"/>
      <c r="I8" s="932"/>
      <c r="J8" s="932"/>
      <c r="K8" s="932"/>
      <c r="L8" s="933">
        <v>196</v>
      </c>
    </row>
    <row r="9" spans="1:12">
      <c r="A9" s="927">
        <v>4</v>
      </c>
      <c r="B9" s="931" t="s">
        <v>883</v>
      </c>
      <c r="C9" s="932"/>
      <c r="D9" s="932"/>
      <c r="E9" s="932"/>
      <c r="F9" s="932"/>
      <c r="G9" s="932"/>
      <c r="H9" s="932"/>
      <c r="I9" s="932"/>
      <c r="J9" s="932"/>
      <c r="K9" s="932"/>
      <c r="L9" s="933">
        <v>151</v>
      </c>
    </row>
    <row r="10" spans="1:12">
      <c r="A10" s="934">
        <v>5</v>
      </c>
      <c r="B10" s="931" t="s">
        <v>1282</v>
      </c>
      <c r="C10" s="932"/>
      <c r="D10" s="932"/>
      <c r="E10" s="932"/>
      <c r="F10" s="932"/>
      <c r="G10" s="932"/>
      <c r="H10" s="932"/>
      <c r="I10" s="932"/>
      <c r="J10" s="932"/>
      <c r="K10" s="932"/>
      <c r="L10" s="933">
        <v>127</v>
      </c>
    </row>
    <row r="11" spans="1:12">
      <c r="A11" s="934">
        <v>6</v>
      </c>
      <c r="B11" s="931" t="s">
        <v>884</v>
      </c>
      <c r="C11" s="932"/>
      <c r="D11" s="932"/>
      <c r="E11" s="932"/>
      <c r="F11" s="932"/>
      <c r="G11" s="932"/>
      <c r="H11" s="932"/>
      <c r="I11" s="932"/>
      <c r="J11" s="932"/>
      <c r="K11" s="932"/>
      <c r="L11" s="933">
        <v>19584</v>
      </c>
    </row>
    <row r="12" spans="1:12">
      <c r="A12" s="934">
        <v>7</v>
      </c>
      <c r="B12" s="931" t="s">
        <v>1305</v>
      </c>
      <c r="C12" s="932"/>
      <c r="D12" s="932"/>
      <c r="E12" s="932"/>
      <c r="F12" s="932"/>
      <c r="G12" s="932"/>
      <c r="H12" s="932"/>
      <c r="I12" s="932"/>
      <c r="J12" s="932"/>
      <c r="K12" s="932"/>
      <c r="L12" s="933">
        <v>10925</v>
      </c>
    </row>
    <row r="13" spans="1:12" ht="13.5" thickBot="1">
      <c r="A13" s="935">
        <v>8</v>
      </c>
      <c r="B13" s="936" t="s">
        <v>885</v>
      </c>
      <c r="C13" s="937">
        <f t="shared" ref="C13:K13" si="0">SUM(C6:C6)</f>
        <v>19</v>
      </c>
      <c r="D13" s="937">
        <f t="shared" si="0"/>
        <v>0</v>
      </c>
      <c r="E13" s="937">
        <f t="shared" si="0"/>
        <v>0</v>
      </c>
      <c r="F13" s="937">
        <f t="shared" si="0"/>
        <v>0</v>
      </c>
      <c r="G13" s="937">
        <f t="shared" si="0"/>
        <v>0</v>
      </c>
      <c r="H13" s="937">
        <f t="shared" si="0"/>
        <v>2000</v>
      </c>
      <c r="I13" s="937">
        <f t="shared" si="0"/>
        <v>0</v>
      </c>
      <c r="J13" s="937">
        <f t="shared" si="0"/>
        <v>0</v>
      </c>
      <c r="K13" s="937">
        <f t="shared" si="0"/>
        <v>0</v>
      </c>
      <c r="L13" s="938">
        <f>SUM(L6:L12)</f>
        <v>41188</v>
      </c>
    </row>
    <row r="14" spans="1:12" ht="13.5" thickBot="1">
      <c r="A14" s="935">
        <v>9</v>
      </c>
      <c r="B14" s="939" t="s">
        <v>283</v>
      </c>
      <c r="C14" s="1418"/>
      <c r="D14" s="1419"/>
      <c r="E14" s="1419"/>
      <c r="F14" s="1419"/>
      <c r="G14" s="1419"/>
      <c r="H14" s="1419"/>
      <c r="I14" s="1419"/>
      <c r="J14" s="1419"/>
      <c r="K14" s="1420"/>
      <c r="L14" s="940">
        <f>C13+D13+E13+F13+G13+H13+I13+J13+K13+L13</f>
        <v>43207</v>
      </c>
    </row>
  </sheetData>
  <mergeCells count="12">
    <mergeCell ref="L4:L5"/>
    <mergeCell ref="C14:K14"/>
    <mergeCell ref="A3:A5"/>
    <mergeCell ref="B3:B5"/>
    <mergeCell ref="C3:L3"/>
    <mergeCell ref="C4:C5"/>
    <mergeCell ref="D4:D5"/>
    <mergeCell ref="E4:E5"/>
    <mergeCell ref="F4:G4"/>
    <mergeCell ref="H4:I4"/>
    <mergeCell ref="J4:J5"/>
    <mergeCell ref="K4:K5"/>
  </mergeCells>
  <printOptions horizontalCentered="1"/>
  <pageMargins left="0.74803149606299213" right="0.74803149606299213" top="0.62992125984251968" bottom="0.47244094488188981" header="0.31496062992125984" footer="0.51181102362204722"/>
  <pageSetup paperSize="9" scale="86" orientation="landscape" r:id="rId1"/>
  <headerFooter>
    <oddHeader>&amp;C&amp;"Times New Roman,Félkövér"&amp;12Martonvásár Város Önkormányzat 2015. évi pénzmaradványának felosztása&amp;R&amp;"Times New Roman,Normál"&amp;10 14. melléklet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activeCell="D17" sqref="D17"/>
    </sheetView>
  </sheetViews>
  <sheetFormatPr defaultRowHeight="12.75"/>
  <cols>
    <col min="1" max="1" width="5" style="941" customWidth="1"/>
    <col min="2" max="2" width="47" style="942" customWidth="1"/>
    <col min="3" max="4" width="15.140625" style="942" customWidth="1"/>
    <col min="5" max="16384" width="9.140625" style="942"/>
  </cols>
  <sheetData>
    <row r="1" spans="1:4" ht="14.25">
      <c r="D1" s="943"/>
    </row>
    <row r="2" spans="1:4" s="945" customFormat="1" ht="15.75" thickBot="1">
      <c r="A2" s="944"/>
      <c r="D2" s="902" t="s">
        <v>886</v>
      </c>
    </row>
    <row r="3" spans="1:4" s="949" customFormat="1" ht="48" customHeight="1" thickBot="1">
      <c r="A3" s="946" t="s">
        <v>473</v>
      </c>
      <c r="B3" s="947" t="s">
        <v>887</v>
      </c>
      <c r="C3" s="947" t="s">
        <v>888</v>
      </c>
      <c r="D3" s="948" t="s">
        <v>889</v>
      </c>
    </row>
    <row r="4" spans="1:4" s="949" customFormat="1" ht="14.1" customHeight="1" thickBot="1">
      <c r="A4" s="950">
        <v>1</v>
      </c>
      <c r="B4" s="951">
        <v>2</v>
      </c>
      <c r="C4" s="951">
        <v>3</v>
      </c>
      <c r="D4" s="952">
        <v>4</v>
      </c>
    </row>
    <row r="5" spans="1:4" ht="18" customHeight="1">
      <c r="A5" s="953" t="s">
        <v>310</v>
      </c>
      <c r="B5" s="954" t="s">
        <v>890</v>
      </c>
      <c r="C5" s="955"/>
      <c r="D5" s="956"/>
    </row>
    <row r="6" spans="1:4" ht="18" customHeight="1">
      <c r="A6" s="957" t="s">
        <v>414</v>
      </c>
      <c r="B6" s="958" t="s">
        <v>891</v>
      </c>
      <c r="C6" s="959"/>
      <c r="D6" s="960"/>
    </row>
    <row r="7" spans="1:4" ht="18" customHeight="1">
      <c r="A7" s="957" t="s">
        <v>474</v>
      </c>
      <c r="B7" s="958" t="s">
        <v>892</v>
      </c>
      <c r="C7" s="959"/>
      <c r="D7" s="960"/>
    </row>
    <row r="8" spans="1:4" ht="18" customHeight="1">
      <c r="A8" s="957" t="s">
        <v>475</v>
      </c>
      <c r="B8" s="958" t="s">
        <v>893</v>
      </c>
      <c r="C8" s="959"/>
      <c r="D8" s="960"/>
    </row>
    <row r="9" spans="1:4" ht="18" customHeight="1">
      <c r="A9" s="957" t="s">
        <v>476</v>
      </c>
      <c r="B9" s="958" t="s">
        <v>894</v>
      </c>
      <c r="C9" s="959"/>
      <c r="D9" s="961">
        <v>6739967</v>
      </c>
    </row>
    <row r="10" spans="1:4" ht="18" customHeight="1">
      <c r="A10" s="957" t="s">
        <v>477</v>
      </c>
      <c r="B10" s="958" t="s">
        <v>895</v>
      </c>
      <c r="C10" s="959"/>
      <c r="D10" s="961">
        <v>825100</v>
      </c>
    </row>
    <row r="11" spans="1:4" ht="18" customHeight="1">
      <c r="A11" s="957" t="s">
        <v>478</v>
      </c>
      <c r="B11" s="962" t="s">
        <v>896</v>
      </c>
      <c r="C11" s="959"/>
      <c r="D11" s="961">
        <v>4826339</v>
      </c>
    </row>
    <row r="12" spans="1:4" ht="18" customHeight="1">
      <c r="A12" s="957" t="s">
        <v>479</v>
      </c>
      <c r="B12" s="962" t="s">
        <v>897</v>
      </c>
      <c r="C12" s="959"/>
      <c r="D12" s="961"/>
    </row>
    <row r="13" spans="1:4" ht="18" customHeight="1">
      <c r="A13" s="957" t="s">
        <v>480</v>
      </c>
      <c r="B13" s="962" t="s">
        <v>898</v>
      </c>
      <c r="C13" s="959"/>
      <c r="D13" s="961">
        <v>1088528</v>
      </c>
    </row>
    <row r="14" spans="1:4" ht="18" customHeight="1">
      <c r="A14" s="957" t="s">
        <v>481</v>
      </c>
      <c r="B14" s="962" t="s">
        <v>899</v>
      </c>
      <c r="C14" s="959"/>
      <c r="D14" s="961"/>
    </row>
    <row r="15" spans="1:4" ht="18" customHeight="1">
      <c r="A15" s="957" t="s">
        <v>482</v>
      </c>
      <c r="B15" s="962" t="s">
        <v>900</v>
      </c>
      <c r="C15" s="959"/>
      <c r="D15" s="961"/>
    </row>
    <row r="16" spans="1:4" ht="22.5" customHeight="1">
      <c r="A16" s="957" t="s">
        <v>483</v>
      </c>
      <c r="B16" s="962" t="s">
        <v>901</v>
      </c>
      <c r="C16" s="959"/>
      <c r="D16" s="961"/>
    </row>
    <row r="17" spans="1:4" ht="18" customHeight="1">
      <c r="A17" s="957" t="s">
        <v>902</v>
      </c>
      <c r="B17" s="958" t="s">
        <v>903</v>
      </c>
      <c r="C17" s="959"/>
      <c r="D17" s="961"/>
    </row>
    <row r="18" spans="1:4" ht="18" customHeight="1">
      <c r="A18" s="957" t="s">
        <v>904</v>
      </c>
      <c r="B18" s="958" t="s">
        <v>905</v>
      </c>
      <c r="C18" s="959"/>
      <c r="D18" s="960"/>
    </row>
    <row r="19" spans="1:4" ht="18" customHeight="1">
      <c r="A19" s="957" t="s">
        <v>906</v>
      </c>
      <c r="B19" s="958" t="s">
        <v>907</v>
      </c>
      <c r="C19" s="959"/>
      <c r="D19" s="960"/>
    </row>
    <row r="20" spans="1:4" ht="18" customHeight="1">
      <c r="A20" s="957" t="s">
        <v>908</v>
      </c>
      <c r="B20" s="958" t="s">
        <v>909</v>
      </c>
      <c r="C20" s="959"/>
      <c r="D20" s="960"/>
    </row>
    <row r="21" spans="1:4" ht="18" customHeight="1">
      <c r="A21" s="957" t="s">
        <v>910</v>
      </c>
      <c r="B21" s="958" t="s">
        <v>911</v>
      </c>
      <c r="C21" s="959"/>
      <c r="D21" s="960"/>
    </row>
    <row r="22" spans="1:4" ht="18" customHeight="1">
      <c r="A22" s="957" t="s">
        <v>912</v>
      </c>
      <c r="B22" s="963"/>
      <c r="C22" s="964"/>
      <c r="D22" s="960"/>
    </row>
    <row r="23" spans="1:4" ht="18" customHeight="1">
      <c r="A23" s="957" t="s">
        <v>913</v>
      </c>
      <c r="B23" s="965"/>
      <c r="C23" s="964"/>
      <c r="D23" s="960"/>
    </row>
    <row r="24" spans="1:4" ht="18" customHeight="1">
      <c r="A24" s="957" t="s">
        <v>914</v>
      </c>
      <c r="B24" s="965"/>
      <c r="C24" s="964"/>
      <c r="D24" s="960"/>
    </row>
    <row r="25" spans="1:4" ht="18" customHeight="1">
      <c r="A25" s="957" t="s">
        <v>915</v>
      </c>
      <c r="B25" s="965"/>
      <c r="C25" s="964"/>
      <c r="D25" s="960"/>
    </row>
    <row r="26" spans="1:4" ht="18" customHeight="1">
      <c r="A26" s="957" t="s">
        <v>916</v>
      </c>
      <c r="B26" s="965"/>
      <c r="C26" s="964"/>
      <c r="D26" s="960"/>
    </row>
    <row r="27" spans="1:4" ht="18" customHeight="1">
      <c r="A27" s="957" t="s">
        <v>917</v>
      </c>
      <c r="B27" s="965"/>
      <c r="C27" s="964"/>
      <c r="D27" s="960"/>
    </row>
    <row r="28" spans="1:4" ht="18" customHeight="1">
      <c r="A28" s="957" t="s">
        <v>918</v>
      </c>
      <c r="B28" s="965"/>
      <c r="C28" s="964"/>
      <c r="D28" s="960"/>
    </row>
    <row r="29" spans="1:4" ht="18" customHeight="1">
      <c r="A29" s="957" t="s">
        <v>919</v>
      </c>
      <c r="B29" s="965"/>
      <c r="C29" s="964"/>
      <c r="D29" s="960"/>
    </row>
    <row r="30" spans="1:4" ht="18" customHeight="1" thickBot="1">
      <c r="A30" s="966" t="s">
        <v>920</v>
      </c>
      <c r="B30" s="967"/>
      <c r="C30" s="968"/>
      <c r="D30" s="969"/>
    </row>
    <row r="31" spans="1:4" ht="18" customHeight="1" thickBot="1">
      <c r="A31" s="970" t="s">
        <v>921</v>
      </c>
      <c r="B31" s="971" t="s">
        <v>484</v>
      </c>
      <c r="C31" s="972"/>
      <c r="D31" s="973">
        <f>D9+D17</f>
        <v>6739967</v>
      </c>
    </row>
    <row r="32" spans="1:4" ht="8.25" customHeight="1">
      <c r="A32" s="974"/>
      <c r="B32" s="1423"/>
      <c r="C32" s="1423"/>
      <c r="D32" s="1423"/>
    </row>
  </sheetData>
  <mergeCells count="1">
    <mergeCell ref="B32:D32"/>
  </mergeCells>
  <printOptions horizontalCentered="1"/>
  <pageMargins left="0.78740157480314965" right="0.78740157480314965" top="0.51181102362204722" bottom="0.98425196850393704" header="0.15748031496062992" footer="0.78740157480314965"/>
  <pageSetup paperSize="9" scale="95" orientation="portrait" r:id="rId1"/>
  <headerFooter alignWithMargins="0">
    <oddHeader>&amp;C&amp;"Times New Roman,Félkövér"&amp;12Martonvásár Város Önkormányzata által adott 
2015. évi közvetett támogatások
&amp;"Times New Roman,Dőlt"(kedvezmények)&amp;R&amp;"Times New Roman CE,Normál"&amp;8 15 .melléklet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37"/>
  <sheetViews>
    <sheetView topLeftCell="B4" zoomScale="90" zoomScaleNormal="90" workbookViewId="0">
      <selection activeCell="I20" sqref="I20"/>
    </sheetView>
  </sheetViews>
  <sheetFormatPr defaultColWidth="8.7109375" defaultRowHeight="12.75" customHeight="1"/>
  <cols>
    <col min="1" max="1" width="18.85546875" style="235" customWidth="1"/>
    <col min="2" max="2" width="35.140625" style="279" customWidth="1"/>
    <col min="3" max="3" width="12.42578125" style="279" customWidth="1"/>
    <col min="4" max="5" width="11.7109375" style="279" customWidth="1"/>
    <col min="6" max="6" width="33.7109375" style="279" customWidth="1"/>
    <col min="7" max="7" width="12.85546875" style="279" customWidth="1"/>
    <col min="8" max="9" width="12.42578125" style="279" customWidth="1"/>
    <col min="10" max="11" width="8.7109375" style="279"/>
    <col min="12" max="16384" width="8.7109375" style="235"/>
  </cols>
  <sheetData>
    <row r="1" spans="2:11" ht="16.5" customHeight="1" thickBot="1">
      <c r="B1" s="280"/>
      <c r="C1" s="280"/>
      <c r="D1" s="280"/>
      <c r="E1" s="280"/>
      <c r="F1" s="280"/>
      <c r="G1" s="280"/>
      <c r="H1" s="280"/>
      <c r="I1" s="281" t="s">
        <v>400</v>
      </c>
      <c r="J1" s="234"/>
      <c r="K1" s="234"/>
    </row>
    <row r="2" spans="2:11" ht="26.25" customHeight="1" thickBot="1">
      <c r="B2" s="282" t="s">
        <v>339</v>
      </c>
      <c r="C2" s="221" t="s">
        <v>178</v>
      </c>
      <c r="D2" s="72" t="s">
        <v>672</v>
      </c>
      <c r="E2" s="72" t="s">
        <v>745</v>
      </c>
      <c r="F2" s="282" t="s">
        <v>340</v>
      </c>
      <c r="G2" s="221" t="s">
        <v>178</v>
      </c>
      <c r="H2" s="72" t="s">
        <v>672</v>
      </c>
      <c r="I2" s="72" t="s">
        <v>745</v>
      </c>
      <c r="J2" s="283"/>
      <c r="K2" s="234"/>
    </row>
    <row r="3" spans="2:11" ht="13.5" customHeight="1" thickBot="1">
      <c r="B3" s="284" t="s">
        <v>341</v>
      </c>
      <c r="C3" s="285">
        <f>SUM(C4:C8)</f>
        <v>911894</v>
      </c>
      <c r="D3" s="285">
        <f t="shared" ref="D3:E3" si="0">SUM(D4:D8)</f>
        <v>1007081</v>
      </c>
      <c r="E3" s="285">
        <f t="shared" si="0"/>
        <v>1047727</v>
      </c>
      <c r="F3" s="286" t="s">
        <v>456</v>
      </c>
      <c r="G3" s="416">
        <f>+G4+G5+G6+G8+G9+G10</f>
        <v>1369941</v>
      </c>
      <c r="H3" s="416">
        <f t="shared" ref="H3" si="1">+H4+H5+H6+H8+H9+H10</f>
        <v>1266438</v>
      </c>
      <c r="I3" s="416">
        <f>+I4+I5+I6+I8+I9+I10</f>
        <v>917596</v>
      </c>
      <c r="J3" s="283"/>
      <c r="K3" s="234"/>
    </row>
    <row r="4" spans="2:11" ht="15" customHeight="1">
      <c r="B4" s="287" t="s">
        <v>431</v>
      </c>
      <c r="C4" s="288">
        <f>+'3.mell. Bevétel'!C22+'6. mell. Int.összesen'!D15</f>
        <v>614481</v>
      </c>
      <c r="D4" s="331">
        <f>+'3.mell. Bevétel'!D22+'6. mell. Int.összesen'!E15</f>
        <v>628620</v>
      </c>
      <c r="E4" s="331">
        <f>+'3.mell. Bevétel'!E22+'6. mell. Int.összesen'!F15</f>
        <v>627488</v>
      </c>
      <c r="F4" s="290" t="s">
        <v>342</v>
      </c>
      <c r="G4" s="417">
        <f>+'5. mell. Önk.össz kiadás'!D7+'6. mell. Int.összesen'!D56</f>
        <v>256234</v>
      </c>
      <c r="H4" s="417">
        <f>+'5. mell. Önk.össz kiadás'!E7+'6. mell. Int.összesen'!E56</f>
        <v>254724</v>
      </c>
      <c r="I4" s="417">
        <f>+'5. mell. Önk.össz kiadás'!F7+'6. mell. Int.összesen'!F56</f>
        <v>246938</v>
      </c>
      <c r="J4" s="283"/>
      <c r="K4" s="234"/>
    </row>
    <row r="5" spans="2:11" ht="15" customHeight="1">
      <c r="B5" s="287" t="s">
        <v>457</v>
      </c>
      <c r="C5" s="438">
        <f>+'3.mell. Bevétel'!C53</f>
        <v>228100</v>
      </c>
      <c r="D5" s="438">
        <f>+'3.mell. Bevétel'!D53+'6. mell. Int.összesen'!E28</f>
        <v>264130</v>
      </c>
      <c r="E5" s="438">
        <f>+'3.mell. Bevétel'!E53+'6. mell. Int.összesen'!I28</f>
        <v>326322</v>
      </c>
      <c r="F5" s="328" t="s">
        <v>343</v>
      </c>
      <c r="G5" s="418">
        <f>+'5. mell. Önk.össz kiadás'!D9+'6. mell. Int.összesen'!D57</f>
        <v>68236</v>
      </c>
      <c r="H5" s="418">
        <f>+'5. mell. Önk.össz kiadás'!E9+'6. mell. Int.összesen'!E57</f>
        <v>68924</v>
      </c>
      <c r="I5" s="418">
        <f>+'5. mell. Önk.össz kiadás'!F9+'6. mell. Int.összesen'!F57</f>
        <v>66861</v>
      </c>
      <c r="J5" s="283"/>
      <c r="K5" s="234"/>
    </row>
    <row r="6" spans="2:11" ht="15" customHeight="1">
      <c r="B6" s="287" t="s">
        <v>341</v>
      </c>
      <c r="C6" s="438">
        <f>+'3.mell. Bevétel'!C64+'6. mell. Int.összesen'!D37</f>
        <v>46271</v>
      </c>
      <c r="D6" s="438">
        <f>+'3.mell. Bevétel'!D64+'6. mell. Int.összesen'!E37</f>
        <v>70189</v>
      </c>
      <c r="E6" s="438">
        <f>+'3.mell. Bevétel'!E64+'6. mell. Int.összesen'!F37</f>
        <v>64767</v>
      </c>
      <c r="F6" s="328" t="s">
        <v>344</v>
      </c>
      <c r="G6" s="332">
        <f>+'5. mell. Önk.össz kiadás'!D16+'6. mell. Int.összesen'!D64</f>
        <v>160015</v>
      </c>
      <c r="H6" s="332">
        <f>+'5. mell. Önk.össz kiadás'!E16+'6. mell. Int.összesen'!E64</f>
        <v>162066</v>
      </c>
      <c r="I6" s="332">
        <f>+'5. mell. Önk.össz kiadás'!F16+'6. mell. Int.összesen'!F64</f>
        <v>140512</v>
      </c>
      <c r="J6" s="283"/>
      <c r="K6" s="234"/>
    </row>
    <row r="7" spans="2:11" ht="15" customHeight="1">
      <c r="B7" s="328" t="s">
        <v>432</v>
      </c>
      <c r="C7" s="438">
        <f>+'3.mell. Bevétel'!C68</f>
        <v>23042</v>
      </c>
      <c r="D7" s="438">
        <f>+'3.mell. Bevétel'!D68</f>
        <v>44142</v>
      </c>
      <c r="E7" s="438">
        <f>+'3.mell. Bevétel'!E68</f>
        <v>29150</v>
      </c>
      <c r="F7" s="329" t="s">
        <v>649</v>
      </c>
      <c r="G7" s="332">
        <f>+'5.b. mell. VF saját forrásból'!D30</f>
        <v>42520</v>
      </c>
      <c r="H7" s="332">
        <f>+'5.b. mell. VF saját forrásból'!E30</f>
        <v>1559</v>
      </c>
      <c r="I7" s="332">
        <f>+'5.b. mell. VF saját forrásból'!F30</f>
        <v>1559</v>
      </c>
      <c r="J7" s="283"/>
      <c r="K7" s="234"/>
    </row>
    <row r="8" spans="2:11" ht="15" customHeight="1">
      <c r="B8" s="287"/>
      <c r="C8" s="438"/>
      <c r="D8" s="288"/>
      <c r="E8" s="414"/>
      <c r="F8" s="328" t="s">
        <v>345</v>
      </c>
      <c r="G8" s="332">
        <f>+'5. mell. Önk.össz kiadás'!D18</f>
        <v>21921</v>
      </c>
      <c r="H8" s="332">
        <f>+'5. mell. Önk.össz kiadás'!E18</f>
        <v>23512</v>
      </c>
      <c r="I8" s="332">
        <f>+'5. mell. Önk.össz kiadás'!F18</f>
        <v>22933</v>
      </c>
      <c r="J8" s="283"/>
      <c r="K8" s="234"/>
    </row>
    <row r="9" spans="2:11" ht="15" customHeight="1">
      <c r="B9" s="287"/>
      <c r="C9" s="288"/>
      <c r="D9" s="288"/>
      <c r="E9" s="414"/>
      <c r="F9" s="328" t="s">
        <v>388</v>
      </c>
      <c r="G9" s="332">
        <f>+'5. mell. Önk.össz kiadás'!D20+'6. mell. Int.összesen'!D66-G10</f>
        <v>395323</v>
      </c>
      <c r="H9" s="332">
        <f>+'5. mell. Önk.össz kiadás'!E20+'6. mell. Int.összesen'!E66-H10</f>
        <v>442402</v>
      </c>
      <c r="I9" s="792">
        <f>+'5. mell. Önk.össz kiadás'!F20+'6. mell. Int.összesen'!F66-I10</f>
        <v>440352</v>
      </c>
      <c r="J9" s="791"/>
      <c r="K9" s="234"/>
    </row>
    <row r="10" spans="2:11" ht="15" customHeight="1">
      <c r="B10" s="291" t="s">
        <v>289</v>
      </c>
      <c r="C10" s="292">
        <f>+C11+C16+C17</f>
        <v>15000</v>
      </c>
      <c r="D10" s="292">
        <f>+D11+D16+D17</f>
        <v>60433</v>
      </c>
      <c r="E10" s="292">
        <f>+E11</f>
        <v>60433</v>
      </c>
      <c r="F10" s="328" t="s">
        <v>637</v>
      </c>
      <c r="G10" s="702">
        <f>+'5. mell. Önk.össz kiadás'!D21</f>
        <v>468212</v>
      </c>
      <c r="H10" s="790">
        <f>+'5. mell. Önk.össz kiadás'!E21</f>
        <v>314810</v>
      </c>
      <c r="I10" s="794"/>
      <c r="J10" s="791"/>
      <c r="K10" s="234"/>
    </row>
    <row r="11" spans="2:11" ht="15" customHeight="1">
      <c r="B11" s="287" t="s">
        <v>395</v>
      </c>
      <c r="C11" s="288">
        <f>+'3.mell. Bevétel'!C76+'6. mell. Int.összesen'!D45</f>
        <v>15000</v>
      </c>
      <c r="D11" s="331">
        <f>+'3.mell. Bevétel'!D76+'6. mell. Int.összesen'!E45</f>
        <v>60433</v>
      </c>
      <c r="E11" s="331">
        <f>+'3.mell. Bevétel'!E76+'6. mell. Int.összesen'!F45</f>
        <v>60433</v>
      </c>
      <c r="F11" s="508" t="s">
        <v>647</v>
      </c>
      <c r="G11" s="702">
        <v>15000</v>
      </c>
      <c r="H11" s="702">
        <v>19814</v>
      </c>
      <c r="I11" s="793"/>
      <c r="J11" s="791"/>
      <c r="K11" s="234"/>
    </row>
    <row r="12" spans="2:11" ht="15" customHeight="1">
      <c r="B12" s="329" t="s">
        <v>470</v>
      </c>
      <c r="C12" s="330">
        <v>15000</v>
      </c>
      <c r="D12" s="330">
        <v>15000</v>
      </c>
      <c r="E12" s="330">
        <v>15000</v>
      </c>
      <c r="F12" s="328"/>
      <c r="H12" s="288"/>
      <c r="I12" s="289"/>
      <c r="J12" s="283"/>
      <c r="K12" s="234"/>
    </row>
    <row r="13" spans="2:11" ht="15" customHeight="1">
      <c r="B13" s="329"/>
      <c r="C13" s="330"/>
      <c r="D13" s="330"/>
      <c r="E13" s="330"/>
      <c r="F13" s="293" t="s">
        <v>279</v>
      </c>
      <c r="G13" s="334">
        <f>+G14</f>
        <v>6160</v>
      </c>
      <c r="H13" s="334">
        <f t="shared" ref="H13:I13" si="2">+H14</f>
        <v>6673</v>
      </c>
      <c r="I13" s="334">
        <f t="shared" si="2"/>
        <v>6673</v>
      </c>
      <c r="J13" s="283"/>
      <c r="K13" s="234"/>
    </row>
    <row r="14" spans="2:11" ht="15" customHeight="1">
      <c r="B14" s="328"/>
      <c r="C14" s="331"/>
      <c r="D14" s="331"/>
      <c r="E14" s="331"/>
      <c r="F14" s="575" t="s">
        <v>722</v>
      </c>
      <c r="G14" s="576">
        <v>6160</v>
      </c>
      <c r="H14" s="576">
        <v>6673</v>
      </c>
      <c r="I14" s="577">
        <v>6673</v>
      </c>
      <c r="J14" s="283"/>
      <c r="K14" s="234"/>
    </row>
    <row r="15" spans="2:11" s="297" customFormat="1" ht="15" customHeight="1">
      <c r="B15" s="293" t="s">
        <v>1294</v>
      </c>
      <c r="C15" s="1182"/>
      <c r="D15" s="1182"/>
      <c r="E15" s="311">
        <f>+E16+E17</f>
        <v>479834</v>
      </c>
      <c r="F15" s="328"/>
      <c r="G15" s="331"/>
      <c r="H15" s="331"/>
      <c r="I15" s="289"/>
      <c r="J15" s="283"/>
      <c r="K15" s="234"/>
    </row>
    <row r="16" spans="2:11" s="297" customFormat="1" ht="15" customHeight="1">
      <c r="B16" s="328" t="s">
        <v>1289</v>
      </c>
      <c r="C16" s="288"/>
      <c r="D16" s="288"/>
      <c r="E16" s="331">
        <f>+'3.mell. Bevétel'!E80</f>
        <v>460250</v>
      </c>
      <c r="F16" s="293" t="s">
        <v>1294</v>
      </c>
      <c r="G16" s="334">
        <f>+G17+G18</f>
        <v>0</v>
      </c>
      <c r="H16" s="334">
        <f t="shared" ref="H16:I16" si="3">+H17+H18</f>
        <v>16953</v>
      </c>
      <c r="I16" s="334">
        <f t="shared" si="3"/>
        <v>477203</v>
      </c>
      <c r="J16" s="283"/>
      <c r="K16" s="234"/>
    </row>
    <row r="17" spans="2:11" s="297" customFormat="1" ht="15" customHeight="1">
      <c r="B17" s="328" t="s">
        <v>1288</v>
      </c>
      <c r="C17" s="288"/>
      <c r="D17" s="288"/>
      <c r="E17" s="331">
        <f>+'3.mell. Bevétel'!E79</f>
        <v>19584</v>
      </c>
      <c r="F17" s="575" t="s">
        <v>717</v>
      </c>
      <c r="G17" s="576"/>
      <c r="H17" s="576">
        <v>16953</v>
      </c>
      <c r="I17" s="577">
        <v>16953</v>
      </c>
      <c r="J17" s="283"/>
      <c r="K17" s="234"/>
    </row>
    <row r="18" spans="2:11" s="300" customFormat="1" ht="15.75" thickBot="1">
      <c r="B18" s="294"/>
      <c r="C18" s="295"/>
      <c r="D18" s="295"/>
      <c r="E18" s="415"/>
      <c r="F18" s="294" t="s">
        <v>1289</v>
      </c>
      <c r="G18" s="419"/>
      <c r="H18" s="296"/>
      <c r="I18" s="578">
        <v>460250</v>
      </c>
      <c r="J18" s="283"/>
      <c r="K18" s="234"/>
    </row>
    <row r="19" spans="2:11" ht="15.75" thickBot="1">
      <c r="B19" s="298" t="s">
        <v>346</v>
      </c>
      <c r="C19" s="299">
        <f>+C10+C3</f>
        <v>926894</v>
      </c>
      <c r="D19" s="299">
        <f t="shared" ref="D19" si="4">+D10+D3</f>
        <v>1067514</v>
      </c>
      <c r="E19" s="299">
        <f>+E15+E10+E3</f>
        <v>1587994</v>
      </c>
      <c r="F19" s="298" t="s">
        <v>346</v>
      </c>
      <c r="G19" s="299">
        <f>+G13+G3</f>
        <v>1376101</v>
      </c>
      <c r="H19" s="299">
        <f>+H13+H3</f>
        <v>1273111</v>
      </c>
      <c r="I19" s="299">
        <f>+I13+I3+I16</f>
        <v>1401472</v>
      </c>
      <c r="J19" s="234"/>
      <c r="K19" s="234"/>
    </row>
    <row r="20" spans="2:11" ht="13.5" customHeight="1">
      <c r="B20" s="301"/>
      <c r="C20" s="301"/>
      <c r="D20" s="301"/>
      <c r="E20" s="302"/>
      <c r="F20" s="303"/>
      <c r="G20" s="303"/>
      <c r="H20" s="303"/>
      <c r="I20" s="302"/>
      <c r="J20" s="234"/>
      <c r="K20" s="234"/>
    </row>
    <row r="21" spans="2:11" s="279" customFormat="1" ht="25.5" customHeight="1" thickBot="1">
      <c r="B21" s="304"/>
      <c r="C21" s="305"/>
      <c r="D21" s="305"/>
      <c r="E21" s="306"/>
      <c r="F21" s="304"/>
      <c r="G21" s="304"/>
      <c r="H21" s="304"/>
      <c r="I21" s="306"/>
      <c r="J21" s="791"/>
      <c r="K21" s="234"/>
    </row>
    <row r="22" spans="2:11" s="279" customFormat="1" ht="15">
      <c r="B22" s="307" t="s">
        <v>339</v>
      </c>
      <c r="C22" s="221" t="s">
        <v>178</v>
      </c>
      <c r="D22" s="72" t="s">
        <v>672</v>
      </c>
      <c r="E22" s="72" t="s">
        <v>745</v>
      </c>
      <c r="F22" s="307" t="s">
        <v>340</v>
      </c>
      <c r="G22" s="221" t="s">
        <v>178</v>
      </c>
      <c r="H22" s="72" t="s">
        <v>672</v>
      </c>
      <c r="I22" s="72" t="s">
        <v>745</v>
      </c>
      <c r="J22" s="283"/>
      <c r="K22" s="234"/>
    </row>
    <row r="23" spans="2:11" s="279" customFormat="1" ht="15">
      <c r="B23" s="333" t="s">
        <v>471</v>
      </c>
      <c r="C23" s="292">
        <f>+C25+C26</f>
        <v>43088</v>
      </c>
      <c r="D23" s="292">
        <f>+D25+D26+D24</f>
        <v>78468</v>
      </c>
      <c r="E23" s="292">
        <f>+E25+E26+E24</f>
        <v>77855</v>
      </c>
      <c r="F23" s="333" t="s">
        <v>426</v>
      </c>
      <c r="G23" s="308">
        <f>(+G24+G25)+G26</f>
        <v>159703</v>
      </c>
      <c r="H23" s="308">
        <f>(+H24+H25)+H26</f>
        <v>271740</v>
      </c>
      <c r="I23" s="308">
        <f>(+I24+I25)+I26</f>
        <v>267553</v>
      </c>
      <c r="J23" s="283"/>
      <c r="K23" s="310"/>
    </row>
    <row r="24" spans="2:11" s="279" customFormat="1" ht="15">
      <c r="B24" s="716" t="s">
        <v>471</v>
      </c>
      <c r="C24" s="292"/>
      <c r="D24" s="717">
        <f>'1.mell. Mérleg'!D17</f>
        <v>205</v>
      </c>
      <c r="E24" s="717">
        <f>'1.mell. Mérleg'!E17</f>
        <v>234</v>
      </c>
      <c r="F24" s="287" t="s">
        <v>162</v>
      </c>
      <c r="G24" s="309">
        <f>+'5. mell. Önk.össz kiadás'!D23+'6. mell. Int.összesen'!D68</f>
        <v>159703</v>
      </c>
      <c r="H24" s="309">
        <f>+'5. mell. Önk.össz kiadás'!E23+'6. mell. Int.összesen'!E68</f>
        <v>234876</v>
      </c>
      <c r="I24" s="309">
        <f>+'5. mell. Önk.össz kiadás'!F23+'6. mell. Int.összesen'!F68</f>
        <v>231550</v>
      </c>
      <c r="J24" s="283"/>
      <c r="K24" s="310"/>
    </row>
    <row r="25" spans="2:11" s="279" customFormat="1" ht="15">
      <c r="B25" s="287" t="s">
        <v>433</v>
      </c>
      <c r="C25" s="438">
        <f>+'3.mell. Bevétel'!C36+'6. mell. Int.összesen'!D27</f>
        <v>28777</v>
      </c>
      <c r="D25" s="438">
        <f>+'3.mell. Bevétel'!D36+'6. mell. Int.összesen'!E27</f>
        <v>31677</v>
      </c>
      <c r="E25" s="438">
        <f>'1.mell. Mérleg'!E16</f>
        <v>31035</v>
      </c>
      <c r="F25" s="287" t="s">
        <v>316</v>
      </c>
      <c r="G25" s="309">
        <f>+'5. mell. Önk.össz kiadás'!D25</f>
        <v>0</v>
      </c>
      <c r="H25" s="309">
        <f>+'5. mell. Önk.össz kiadás'!E25</f>
        <v>8732</v>
      </c>
      <c r="I25" s="309">
        <f>+'5. mell. Önk.össz kiadás'!F25</f>
        <v>8732</v>
      </c>
      <c r="J25" s="283"/>
      <c r="K25" s="234"/>
    </row>
    <row r="26" spans="2:11" s="279" customFormat="1" ht="15">
      <c r="B26" s="328" t="s">
        <v>1292</v>
      </c>
      <c r="C26" s="438">
        <f>+'3.mell. Bevétel'!C71</f>
        <v>14311</v>
      </c>
      <c r="D26" s="438">
        <f>+'3.mell. Bevétel'!D71</f>
        <v>46586</v>
      </c>
      <c r="E26" s="438">
        <f>'1.mell. Mérleg'!E18</f>
        <v>46586</v>
      </c>
      <c r="F26" s="287" t="s">
        <v>434</v>
      </c>
      <c r="G26" s="309">
        <f>+'5. mell. Önk.össz kiadás'!D27</f>
        <v>0</v>
      </c>
      <c r="H26" s="309">
        <f>+'5. mell. Önk.össz kiadás'!E27</f>
        <v>28132</v>
      </c>
      <c r="I26" s="309">
        <f>+'5. mell. Önk.össz kiadás'!F27</f>
        <v>27271</v>
      </c>
      <c r="J26" s="283"/>
      <c r="K26" s="234"/>
    </row>
    <row r="27" spans="2:11" s="279" customFormat="1" ht="15">
      <c r="B27" s="287"/>
      <c r="C27" s="287"/>
      <c r="D27" s="288"/>
      <c r="E27" s="289"/>
      <c r="J27" s="283"/>
      <c r="K27" s="234"/>
    </row>
    <row r="28" spans="2:11" s="279" customFormat="1" ht="15">
      <c r="B28" s="291" t="s">
        <v>289</v>
      </c>
      <c r="C28" s="311">
        <f>+C29+C30</f>
        <v>565822</v>
      </c>
      <c r="D28" s="311">
        <f>+D29+D30</f>
        <v>415822</v>
      </c>
      <c r="E28" s="311">
        <f>+E29+E30</f>
        <v>415822</v>
      </c>
      <c r="F28" s="287"/>
      <c r="G28" s="287"/>
      <c r="H28" s="312"/>
      <c r="I28" s="309">
        <f t="shared" ref="I28" si="5">+G28+H28</f>
        <v>0</v>
      </c>
      <c r="J28" s="283"/>
      <c r="K28" s="234"/>
    </row>
    <row r="29" spans="2:11" s="279" customFormat="1" ht="15">
      <c r="B29" s="287" t="s">
        <v>396</v>
      </c>
      <c r="C29" s="288">
        <f>+'3.mell. Bevétel'!C77</f>
        <v>415822</v>
      </c>
      <c r="D29" s="331">
        <f>+'3.mell. Bevétel'!D77</f>
        <v>415822</v>
      </c>
      <c r="E29" s="331">
        <f>+'3.mell. Bevétel'!E77</f>
        <v>415822</v>
      </c>
      <c r="F29" s="293" t="s">
        <v>279</v>
      </c>
      <c r="G29" s="313">
        <f>+G30</f>
        <v>0</v>
      </c>
      <c r="H29" s="313">
        <f t="shared" ref="H29:I29" si="6">+H30</f>
        <v>0</v>
      </c>
      <c r="I29" s="313">
        <f t="shared" si="6"/>
        <v>0</v>
      </c>
      <c r="J29" s="283"/>
      <c r="K29" s="234"/>
    </row>
    <row r="30" spans="2:11" s="300" customFormat="1" ht="18.75" customHeight="1">
      <c r="B30" s="328" t="s">
        <v>646</v>
      </c>
      <c r="C30" s="331">
        <f>+'3.mell. Bevétel'!C74</f>
        <v>150000</v>
      </c>
      <c r="D30" s="331">
        <f>+'3.mell. Bevétel'!D74</f>
        <v>0</v>
      </c>
      <c r="E30" s="331">
        <f>+'3.mell. Bevétel'!E74</f>
        <v>0</v>
      </c>
      <c r="F30" s="287"/>
      <c r="G30" s="312"/>
      <c r="H30" s="309"/>
      <c r="I30" s="289"/>
      <c r="J30" s="283"/>
      <c r="K30" s="234"/>
    </row>
    <row r="31" spans="2:11" s="300" customFormat="1" ht="29.25" customHeight="1">
      <c r="B31" s="314" t="s">
        <v>347</v>
      </c>
      <c r="C31" s="315">
        <f>+C23+C28</f>
        <v>608910</v>
      </c>
      <c r="D31" s="315">
        <f t="shared" ref="D31" si="7">+D23+D28</f>
        <v>494290</v>
      </c>
      <c r="E31" s="315">
        <f>+E23+E28</f>
        <v>493677</v>
      </c>
      <c r="F31" s="314" t="s">
        <v>347</v>
      </c>
      <c r="G31" s="316">
        <f>+G29+G23</f>
        <v>159703</v>
      </c>
      <c r="H31" s="316">
        <f t="shared" ref="H31:I31" si="8">+H29+H23</f>
        <v>271740</v>
      </c>
      <c r="I31" s="316">
        <f t="shared" si="8"/>
        <v>267553</v>
      </c>
      <c r="J31" s="283"/>
      <c r="K31" s="234"/>
    </row>
    <row r="32" spans="2:11" ht="15.75" thickBot="1">
      <c r="B32" s="317" t="s">
        <v>283</v>
      </c>
      <c r="C32" s="318">
        <f>C19+C31</f>
        <v>1535804</v>
      </c>
      <c r="D32" s="318">
        <f>D19+D31</f>
        <v>1561804</v>
      </c>
      <c r="E32" s="318">
        <f>E19+E31</f>
        <v>2081671</v>
      </c>
      <c r="F32" s="317" t="s">
        <v>283</v>
      </c>
      <c r="G32" s="319">
        <f>G19+G31</f>
        <v>1535804</v>
      </c>
      <c r="H32" s="319">
        <f>H19+H31</f>
        <v>1544851</v>
      </c>
      <c r="I32" s="319">
        <f>I19+I31</f>
        <v>1669025</v>
      </c>
      <c r="J32" s="234"/>
      <c r="K32" s="234"/>
    </row>
    <row r="33" spans="2:11" ht="15">
      <c r="B33" s="320"/>
      <c r="C33" s="321"/>
      <c r="D33" s="321"/>
      <c r="E33" s="321"/>
      <c r="F33" s="320"/>
      <c r="G33" s="320"/>
      <c r="H33" s="320"/>
      <c r="I33" s="320"/>
      <c r="J33" s="234"/>
      <c r="K33" s="234"/>
    </row>
    <row r="34" spans="2:11" ht="15">
      <c r="B34" s="327"/>
      <c r="C34" s="322"/>
      <c r="D34" s="322"/>
      <c r="E34" s="322"/>
      <c r="F34" s="322"/>
      <c r="G34" s="322"/>
      <c r="H34" s="322"/>
      <c r="I34" s="322"/>
      <c r="J34" s="234"/>
      <c r="K34" s="234"/>
    </row>
    <row r="35" spans="2:11" ht="15">
      <c r="B35" s="234"/>
      <c r="C35" s="322"/>
      <c r="D35" s="322"/>
      <c r="E35" s="322"/>
      <c r="F35" s="322"/>
      <c r="G35" s="322"/>
      <c r="H35" s="322"/>
      <c r="I35" s="234"/>
      <c r="J35" s="234"/>
      <c r="K35" s="234"/>
    </row>
    <row r="36" spans="2:11" ht="15">
      <c r="B36" s="234"/>
      <c r="C36" s="234"/>
      <c r="D36" s="234"/>
      <c r="E36" s="234"/>
      <c r="F36" s="234"/>
      <c r="G36" s="234"/>
      <c r="H36" s="234"/>
      <c r="I36" s="234"/>
      <c r="J36" s="234"/>
      <c r="K36" s="234"/>
    </row>
    <row r="37" spans="2:11" ht="12.75" customHeight="1">
      <c r="B37" s="234"/>
      <c r="C37" s="322"/>
      <c r="D37" s="322"/>
      <c r="E37" s="322"/>
      <c r="F37" s="234"/>
      <c r="G37" s="234"/>
      <c r="H37" s="234"/>
      <c r="I37" s="32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&amp;C&amp;"Times New Roman,Félkövér"&amp;12Martonvásár Város ÖnkormányzatánakKÖLTSÉGVETÉSI PÉNZÜGYI MÉRLEGE II.&amp;R&amp;"Times New Roman,Normál"&amp;10 2.melléklet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M54"/>
  <sheetViews>
    <sheetView topLeftCell="A37" workbookViewId="0">
      <selection activeCell="C50" sqref="C50"/>
    </sheetView>
  </sheetViews>
  <sheetFormatPr defaultRowHeight="12.75"/>
  <cols>
    <col min="1" max="1" width="49.5703125" style="975" customWidth="1"/>
    <col min="2" max="2" width="13.28515625" style="976" customWidth="1"/>
    <col min="3" max="3" width="11.28515625" style="976" customWidth="1"/>
    <col min="4" max="4" width="8.5703125" style="976" customWidth="1"/>
    <col min="5" max="5" width="9.28515625" style="976" customWidth="1"/>
    <col min="6" max="6" width="8.85546875" style="976" customWidth="1"/>
    <col min="7" max="7" width="12.7109375" style="976" customWidth="1"/>
    <col min="8" max="8" width="11.28515625" style="976" customWidth="1"/>
    <col min="9" max="9" width="8.5703125" style="976" customWidth="1"/>
    <col min="10" max="10" width="9.28515625" style="976" customWidth="1"/>
    <col min="11" max="11" width="8.85546875" style="976" bestFit="1" customWidth="1"/>
    <col min="12" max="12" width="7.7109375" style="1004" customWidth="1"/>
    <col min="13" max="16384" width="9.140625" style="422"/>
  </cols>
  <sheetData>
    <row r="1" spans="1:13" ht="13.5" thickBot="1">
      <c r="K1" s="1431" t="s">
        <v>404</v>
      </c>
      <c r="L1" s="1431"/>
    </row>
    <row r="2" spans="1:13" ht="15.75" customHeight="1" thickBot="1">
      <c r="A2" s="1424" t="s">
        <v>922</v>
      </c>
      <c r="B2" s="1426" t="s">
        <v>923</v>
      </c>
      <c r="C2" s="1427"/>
      <c r="D2" s="1427"/>
      <c r="E2" s="1427"/>
      <c r="F2" s="1428"/>
      <c r="G2" s="1426" t="s">
        <v>1224</v>
      </c>
      <c r="H2" s="1427"/>
      <c r="I2" s="1427"/>
      <c r="J2" s="1427"/>
      <c r="K2" s="1427"/>
      <c r="L2" s="1429" t="s">
        <v>924</v>
      </c>
    </row>
    <row r="3" spans="1:13" s="981" customFormat="1" ht="65.25" customHeight="1" thickBot="1">
      <c r="A3" s="1425"/>
      <c r="B3" s="977" t="s">
        <v>853</v>
      </c>
      <c r="C3" s="978" t="s">
        <v>852</v>
      </c>
      <c r="D3" s="978" t="s">
        <v>295</v>
      </c>
      <c r="E3" s="978" t="s">
        <v>851</v>
      </c>
      <c r="F3" s="979" t="s">
        <v>179</v>
      </c>
      <c r="G3" s="977" t="s">
        <v>853</v>
      </c>
      <c r="H3" s="978" t="s">
        <v>852</v>
      </c>
      <c r="I3" s="978" t="s">
        <v>295</v>
      </c>
      <c r="J3" s="978" t="s">
        <v>851</v>
      </c>
      <c r="K3" s="980" t="s">
        <v>179</v>
      </c>
      <c r="L3" s="1430"/>
    </row>
    <row r="4" spans="1:13">
      <c r="A4" s="982" t="s">
        <v>925</v>
      </c>
      <c r="B4" s="619">
        <v>214</v>
      </c>
      <c r="C4" s="617">
        <v>733</v>
      </c>
      <c r="D4" s="617">
        <v>0</v>
      </c>
      <c r="E4" s="617">
        <v>1451</v>
      </c>
      <c r="F4" s="983">
        <v>2398</v>
      </c>
      <c r="G4" s="619">
        <v>160</v>
      </c>
      <c r="H4" s="617">
        <v>582</v>
      </c>
      <c r="I4" s="617"/>
      <c r="J4" s="617">
        <v>1098</v>
      </c>
      <c r="K4" s="984">
        <f>SUM(G4:J4)</f>
        <v>1840</v>
      </c>
      <c r="L4" s="985">
        <f>+K4/F4</f>
        <v>0.76730608840700587</v>
      </c>
    </row>
    <row r="5" spans="1:13">
      <c r="A5" s="986" t="s">
        <v>926</v>
      </c>
      <c r="B5" s="609">
        <v>26042</v>
      </c>
      <c r="C5" s="458">
        <v>0</v>
      </c>
      <c r="D5" s="458">
        <v>97</v>
      </c>
      <c r="E5" s="458">
        <v>0</v>
      </c>
      <c r="F5" s="591">
        <v>26139</v>
      </c>
      <c r="G5" s="609">
        <v>15405</v>
      </c>
      <c r="H5" s="458"/>
      <c r="I5" s="458">
        <v>48</v>
      </c>
      <c r="J5" s="458"/>
      <c r="K5" s="987">
        <f t="shared" ref="K5:K29" si="0">SUM(G5:J5)</f>
        <v>15453</v>
      </c>
      <c r="L5" s="988">
        <f t="shared" ref="L5:L54" si="1">+K5/F5</f>
        <v>0.59118558475840699</v>
      </c>
    </row>
    <row r="6" spans="1:13">
      <c r="A6" s="986" t="s">
        <v>927</v>
      </c>
      <c r="B6" s="609">
        <v>0</v>
      </c>
      <c r="C6" s="458">
        <v>0</v>
      </c>
      <c r="D6" s="458">
        <v>0</v>
      </c>
      <c r="E6" s="458">
        <v>0</v>
      </c>
      <c r="F6" s="591">
        <v>0</v>
      </c>
      <c r="G6" s="609"/>
      <c r="H6" s="458"/>
      <c r="I6" s="458"/>
      <c r="J6" s="458"/>
      <c r="K6" s="987">
        <f t="shared" si="0"/>
        <v>0</v>
      </c>
      <c r="L6" s="988"/>
    </row>
    <row r="7" spans="1:13" s="992" customFormat="1">
      <c r="A7" s="989" t="s">
        <v>928</v>
      </c>
      <c r="B7" s="612">
        <v>26256</v>
      </c>
      <c r="C7" s="460">
        <v>733</v>
      </c>
      <c r="D7" s="460">
        <v>97</v>
      </c>
      <c r="E7" s="460">
        <v>1451</v>
      </c>
      <c r="F7" s="990">
        <v>28537</v>
      </c>
      <c r="G7" s="612">
        <v>15565</v>
      </c>
      <c r="H7" s="460">
        <v>582</v>
      </c>
      <c r="I7" s="460">
        <v>48</v>
      </c>
      <c r="J7" s="460">
        <v>1098</v>
      </c>
      <c r="K7" s="991">
        <f t="shared" si="0"/>
        <v>17293</v>
      </c>
      <c r="L7" s="988">
        <f t="shared" si="1"/>
        <v>0.60598521218067769</v>
      </c>
    </row>
    <row r="8" spans="1:13">
      <c r="A8" s="986" t="s">
        <v>929</v>
      </c>
      <c r="B8" s="609">
        <v>3882142</v>
      </c>
      <c r="C8" s="458">
        <v>0</v>
      </c>
      <c r="D8" s="458">
        <v>0</v>
      </c>
      <c r="E8" s="458">
        <v>0</v>
      </c>
      <c r="F8" s="591">
        <v>3882142</v>
      </c>
      <c r="G8" s="609">
        <v>3887412</v>
      </c>
      <c r="H8" s="458">
        <v>0</v>
      </c>
      <c r="I8" s="458">
        <v>0</v>
      </c>
      <c r="J8" s="458">
        <v>0</v>
      </c>
      <c r="K8" s="987">
        <f t="shared" si="0"/>
        <v>3887412</v>
      </c>
      <c r="L8" s="988">
        <f t="shared" si="1"/>
        <v>1.0013574979998157</v>
      </c>
    </row>
    <row r="9" spans="1:13">
      <c r="A9" s="986" t="s">
        <v>930</v>
      </c>
      <c r="B9" s="609">
        <v>20739</v>
      </c>
      <c r="C9" s="458">
        <v>5753</v>
      </c>
      <c r="D9" s="458">
        <v>805</v>
      </c>
      <c r="E9" s="458">
        <v>10026</v>
      </c>
      <c r="F9" s="591">
        <v>37323</v>
      </c>
      <c r="G9" s="609">
        <v>28492</v>
      </c>
      <c r="H9" s="458">
        <v>4301</v>
      </c>
      <c r="I9" s="458">
        <v>871</v>
      </c>
      <c r="J9" s="458">
        <v>8569</v>
      </c>
      <c r="K9" s="987">
        <f t="shared" si="0"/>
        <v>42233</v>
      </c>
      <c r="L9" s="988">
        <f t="shared" si="1"/>
        <v>1.131554269485304</v>
      </c>
    </row>
    <row r="10" spans="1:13">
      <c r="A10" s="986" t="s">
        <v>931</v>
      </c>
      <c r="B10" s="609">
        <v>0</v>
      </c>
      <c r="C10" s="458">
        <v>0</v>
      </c>
      <c r="D10" s="458">
        <v>0</v>
      </c>
      <c r="E10" s="458">
        <v>0</v>
      </c>
      <c r="F10" s="591">
        <v>0</v>
      </c>
      <c r="G10" s="609">
        <v>0</v>
      </c>
      <c r="H10" s="458">
        <v>0</v>
      </c>
      <c r="I10" s="458">
        <v>0</v>
      </c>
      <c r="J10" s="458">
        <v>0</v>
      </c>
      <c r="K10" s="987">
        <f t="shared" si="0"/>
        <v>0</v>
      </c>
      <c r="L10" s="988"/>
    </row>
    <row r="11" spans="1:13">
      <c r="A11" s="986" t="s">
        <v>932</v>
      </c>
      <c r="B11" s="609">
        <v>118768</v>
      </c>
      <c r="C11" s="458">
        <v>0</v>
      </c>
      <c r="D11" s="458">
        <v>0</v>
      </c>
      <c r="E11" s="458">
        <v>0</v>
      </c>
      <c r="F11" s="591">
        <v>118768</v>
      </c>
      <c r="G11" s="609">
        <v>17091</v>
      </c>
      <c r="H11" s="458">
        <v>0</v>
      </c>
      <c r="I11" s="458">
        <v>0</v>
      </c>
      <c r="J11" s="458">
        <v>0</v>
      </c>
      <c r="K11" s="987">
        <f t="shared" si="0"/>
        <v>17091</v>
      </c>
      <c r="L11" s="988">
        <f t="shared" si="1"/>
        <v>0.14390239795231038</v>
      </c>
    </row>
    <row r="12" spans="1:13">
      <c r="A12" s="986" t="s">
        <v>933</v>
      </c>
      <c r="B12" s="609">
        <v>730570</v>
      </c>
      <c r="C12" s="458">
        <v>0</v>
      </c>
      <c r="D12" s="458">
        <v>0</v>
      </c>
      <c r="E12" s="458">
        <v>0</v>
      </c>
      <c r="F12" s="591">
        <v>730570</v>
      </c>
      <c r="G12" s="609">
        <v>730569</v>
      </c>
      <c r="H12" s="458">
        <v>0</v>
      </c>
      <c r="I12" s="458">
        <v>0</v>
      </c>
      <c r="J12" s="458">
        <v>0</v>
      </c>
      <c r="K12" s="987">
        <f t="shared" si="0"/>
        <v>730569</v>
      </c>
      <c r="L12" s="988">
        <f t="shared" si="1"/>
        <v>0.99999863120577082</v>
      </c>
    </row>
    <row r="13" spans="1:13" s="992" customFormat="1">
      <c r="A13" s="989" t="s">
        <v>934</v>
      </c>
      <c r="B13" s="612">
        <v>4752219</v>
      </c>
      <c r="C13" s="460">
        <v>5753</v>
      </c>
      <c r="D13" s="460">
        <v>805</v>
      </c>
      <c r="E13" s="460">
        <v>10026</v>
      </c>
      <c r="F13" s="990">
        <v>4768803</v>
      </c>
      <c r="G13" s="612">
        <f>SUM(G8:G12)</f>
        <v>4663564</v>
      </c>
      <c r="H13" s="612">
        <f t="shared" ref="H13:K13" si="2">SUM(H8:H12)</f>
        <v>4301</v>
      </c>
      <c r="I13" s="612">
        <f t="shared" si="2"/>
        <v>871</v>
      </c>
      <c r="J13" s="612">
        <f t="shared" si="2"/>
        <v>8569</v>
      </c>
      <c r="K13" s="612">
        <f t="shared" si="2"/>
        <v>4677305</v>
      </c>
      <c r="L13" s="988">
        <f t="shared" si="1"/>
        <v>0.98081321455300208</v>
      </c>
      <c r="M13" s="993"/>
    </row>
    <row r="14" spans="1:13">
      <c r="A14" s="986" t="s">
        <v>935</v>
      </c>
      <c r="B14" s="609">
        <v>5748</v>
      </c>
      <c r="C14" s="458">
        <v>0</v>
      </c>
      <c r="D14" s="458">
        <v>0</v>
      </c>
      <c r="E14" s="458">
        <v>0</v>
      </c>
      <c r="F14" s="591">
        <v>5748</v>
      </c>
      <c r="G14" s="609">
        <v>204848</v>
      </c>
      <c r="H14" s="458">
        <v>0</v>
      </c>
      <c r="I14" s="458">
        <v>0</v>
      </c>
      <c r="J14" s="458">
        <v>0</v>
      </c>
      <c r="K14" s="987">
        <f t="shared" si="0"/>
        <v>204848</v>
      </c>
      <c r="L14" s="988">
        <f t="shared" si="1"/>
        <v>35.638135003479469</v>
      </c>
    </row>
    <row r="15" spans="1:13">
      <c r="A15" s="986" t="s">
        <v>936</v>
      </c>
      <c r="B15" s="609">
        <v>0</v>
      </c>
      <c r="C15" s="458">
        <v>0</v>
      </c>
      <c r="D15" s="458">
        <v>0</v>
      </c>
      <c r="E15" s="458">
        <v>0</v>
      </c>
      <c r="F15" s="591">
        <v>0</v>
      </c>
      <c r="G15" s="609">
        <v>0</v>
      </c>
      <c r="H15" s="458">
        <v>0</v>
      </c>
      <c r="I15" s="458">
        <v>0</v>
      </c>
      <c r="J15" s="458">
        <v>0</v>
      </c>
      <c r="K15" s="987">
        <f t="shared" si="0"/>
        <v>0</v>
      </c>
      <c r="L15" s="988"/>
    </row>
    <row r="16" spans="1:13">
      <c r="A16" s="986" t="s">
        <v>937</v>
      </c>
      <c r="B16" s="609">
        <v>0</v>
      </c>
      <c r="C16" s="458">
        <v>0</v>
      </c>
      <c r="D16" s="458">
        <v>0</v>
      </c>
      <c r="E16" s="458">
        <v>0</v>
      </c>
      <c r="F16" s="591">
        <v>0</v>
      </c>
      <c r="G16" s="609">
        <v>0</v>
      </c>
      <c r="H16" s="458">
        <v>0</v>
      </c>
      <c r="I16" s="458">
        <v>0</v>
      </c>
      <c r="J16" s="458">
        <v>0</v>
      </c>
      <c r="K16" s="987">
        <f t="shared" si="0"/>
        <v>0</v>
      </c>
      <c r="L16" s="988"/>
    </row>
    <row r="17" spans="1:13" s="992" customFormat="1">
      <c r="A17" s="989" t="s">
        <v>938</v>
      </c>
      <c r="B17" s="612">
        <v>5748</v>
      </c>
      <c r="C17" s="460">
        <v>0</v>
      </c>
      <c r="D17" s="460">
        <v>0</v>
      </c>
      <c r="E17" s="460">
        <v>0</v>
      </c>
      <c r="F17" s="990">
        <v>5748</v>
      </c>
      <c r="G17" s="612">
        <v>204848</v>
      </c>
      <c r="H17" s="460">
        <v>0</v>
      </c>
      <c r="I17" s="460">
        <v>0</v>
      </c>
      <c r="J17" s="460">
        <v>0</v>
      </c>
      <c r="K17" s="991">
        <f t="shared" si="0"/>
        <v>204848</v>
      </c>
      <c r="L17" s="988">
        <f t="shared" si="1"/>
        <v>35.638135003479469</v>
      </c>
    </row>
    <row r="18" spans="1:13" s="992" customFormat="1">
      <c r="A18" s="989" t="s">
        <v>939</v>
      </c>
      <c r="B18" s="612">
        <v>43059</v>
      </c>
      <c r="C18" s="460">
        <v>0</v>
      </c>
      <c r="D18" s="460">
        <v>0</v>
      </c>
      <c r="E18" s="460">
        <v>0</v>
      </c>
      <c r="F18" s="990">
        <v>43059</v>
      </c>
      <c r="G18" s="612">
        <v>40692</v>
      </c>
      <c r="H18" s="460">
        <v>0</v>
      </c>
      <c r="I18" s="460">
        <v>0</v>
      </c>
      <c r="J18" s="460">
        <v>0</v>
      </c>
      <c r="K18" s="991">
        <f t="shared" si="0"/>
        <v>40692</v>
      </c>
      <c r="L18" s="988"/>
    </row>
    <row r="19" spans="1:13" s="992" customFormat="1" ht="25.5">
      <c r="A19" s="989" t="s">
        <v>940</v>
      </c>
      <c r="B19" s="612">
        <v>4827282</v>
      </c>
      <c r="C19" s="460">
        <v>6486</v>
      </c>
      <c r="D19" s="460">
        <v>902</v>
      </c>
      <c r="E19" s="460">
        <v>11477</v>
      </c>
      <c r="F19" s="990">
        <v>4846147</v>
      </c>
      <c r="G19" s="612">
        <f>+G18+G17+G13+G7</f>
        <v>4924669</v>
      </c>
      <c r="H19" s="612">
        <f t="shared" ref="H19:K19" si="3">+H18+H17+H13+H7</f>
        <v>4883</v>
      </c>
      <c r="I19" s="612">
        <f t="shared" si="3"/>
        <v>919</v>
      </c>
      <c r="J19" s="612">
        <f t="shared" si="3"/>
        <v>9667</v>
      </c>
      <c r="K19" s="612">
        <f t="shared" si="3"/>
        <v>4940138</v>
      </c>
      <c r="L19" s="988">
        <f t="shared" si="1"/>
        <v>1.0193949956532478</v>
      </c>
    </row>
    <row r="20" spans="1:13">
      <c r="A20" s="986" t="s">
        <v>941</v>
      </c>
      <c r="B20" s="609">
        <v>0</v>
      </c>
      <c r="C20" s="458">
        <v>0</v>
      </c>
      <c r="D20" s="458">
        <v>0</v>
      </c>
      <c r="E20" s="458">
        <v>0</v>
      </c>
      <c r="F20" s="591">
        <v>0</v>
      </c>
      <c r="G20" s="609">
        <v>0</v>
      </c>
      <c r="H20" s="458">
        <v>0</v>
      </c>
      <c r="I20" s="458">
        <v>0</v>
      </c>
      <c r="J20" s="458">
        <v>0</v>
      </c>
      <c r="K20" s="987">
        <f t="shared" si="0"/>
        <v>0</v>
      </c>
      <c r="L20" s="988"/>
    </row>
    <row r="21" spans="1:13">
      <c r="A21" s="986" t="s">
        <v>942</v>
      </c>
      <c r="B21" s="609">
        <v>0</v>
      </c>
      <c r="C21" s="458">
        <v>0</v>
      </c>
      <c r="D21" s="458">
        <v>0</v>
      </c>
      <c r="E21" s="458">
        <v>0</v>
      </c>
      <c r="F21" s="591">
        <v>0</v>
      </c>
      <c r="G21" s="609">
        <v>0</v>
      </c>
      <c r="H21" s="458">
        <v>0</v>
      </c>
      <c r="I21" s="458">
        <v>0</v>
      </c>
      <c r="J21" s="458">
        <v>0</v>
      </c>
      <c r="K21" s="987">
        <f t="shared" si="0"/>
        <v>0</v>
      </c>
      <c r="L21" s="988"/>
    </row>
    <row r="22" spans="1:13" s="992" customFormat="1" ht="25.5">
      <c r="A22" s="989" t="s">
        <v>943</v>
      </c>
      <c r="B22" s="612">
        <v>0</v>
      </c>
      <c r="C22" s="460">
        <v>0</v>
      </c>
      <c r="D22" s="460">
        <v>0</v>
      </c>
      <c r="E22" s="460">
        <v>0</v>
      </c>
      <c r="F22" s="990">
        <v>0</v>
      </c>
      <c r="G22" s="612">
        <v>0</v>
      </c>
      <c r="H22" s="460">
        <v>0</v>
      </c>
      <c r="I22" s="460">
        <v>0</v>
      </c>
      <c r="J22" s="460">
        <v>0</v>
      </c>
      <c r="K22" s="991">
        <f t="shared" si="0"/>
        <v>0</v>
      </c>
      <c r="L22" s="988"/>
    </row>
    <row r="23" spans="1:13">
      <c r="A23" s="986" t="s">
        <v>944</v>
      </c>
      <c r="B23" s="609">
        <v>0</v>
      </c>
      <c r="C23" s="458">
        <v>0</v>
      </c>
      <c r="D23" s="458">
        <v>0</v>
      </c>
      <c r="E23" s="458">
        <v>0</v>
      </c>
      <c r="F23" s="591">
        <v>0</v>
      </c>
      <c r="G23" s="609">
        <v>0</v>
      </c>
      <c r="H23" s="458">
        <v>0</v>
      </c>
      <c r="I23" s="458">
        <v>0</v>
      </c>
      <c r="J23" s="458">
        <v>0</v>
      </c>
      <c r="K23" s="987">
        <f t="shared" si="0"/>
        <v>0</v>
      </c>
      <c r="L23" s="988"/>
    </row>
    <row r="24" spans="1:13" ht="15" customHeight="1">
      <c r="A24" s="986" t="s">
        <v>945</v>
      </c>
      <c r="B24" s="609">
        <v>0</v>
      </c>
      <c r="C24" s="458">
        <v>0</v>
      </c>
      <c r="D24" s="458">
        <v>0</v>
      </c>
      <c r="E24" s="458">
        <v>0</v>
      </c>
      <c r="F24" s="591">
        <v>0</v>
      </c>
      <c r="G24" s="609">
        <v>38</v>
      </c>
      <c r="H24" s="458">
        <v>0</v>
      </c>
      <c r="I24" s="458">
        <v>0</v>
      </c>
      <c r="J24" s="458">
        <v>0</v>
      </c>
      <c r="K24" s="987">
        <f t="shared" si="0"/>
        <v>38</v>
      </c>
      <c r="L24" s="988"/>
    </row>
    <row r="25" spans="1:13">
      <c r="A25" s="986" t="s">
        <v>946</v>
      </c>
      <c r="B25" s="609">
        <v>476411</v>
      </c>
      <c r="C25" s="458">
        <v>15</v>
      </c>
      <c r="D25" s="458">
        <v>35</v>
      </c>
      <c r="E25" s="458">
        <v>205</v>
      </c>
      <c r="F25" s="591">
        <v>476666</v>
      </c>
      <c r="G25" s="609">
        <v>403331</v>
      </c>
      <c r="H25" s="458">
        <v>395</v>
      </c>
      <c r="I25" s="458">
        <v>58</v>
      </c>
      <c r="J25" s="458">
        <v>338</v>
      </c>
      <c r="K25" s="987">
        <f t="shared" si="0"/>
        <v>404122</v>
      </c>
      <c r="L25" s="988">
        <f t="shared" si="1"/>
        <v>0.84780957735605222</v>
      </c>
    </row>
    <row r="26" spans="1:13">
      <c r="A26" s="986" t="s">
        <v>947</v>
      </c>
      <c r="B26" s="609">
        <v>0</v>
      </c>
      <c r="C26" s="458">
        <v>0</v>
      </c>
      <c r="D26" s="458">
        <v>0</v>
      </c>
      <c r="E26" s="458">
        <v>0</v>
      </c>
      <c r="F26" s="591">
        <v>0</v>
      </c>
      <c r="G26" s="609">
        <v>0</v>
      </c>
      <c r="H26" s="458">
        <v>0</v>
      </c>
      <c r="I26" s="458">
        <v>0</v>
      </c>
      <c r="J26" s="458">
        <v>0</v>
      </c>
      <c r="K26" s="987">
        <f t="shared" si="0"/>
        <v>0</v>
      </c>
      <c r="L26" s="988"/>
    </row>
    <row r="27" spans="1:13">
      <c r="A27" s="986" t="s">
        <v>948</v>
      </c>
      <c r="B27" s="609">
        <v>554</v>
      </c>
      <c r="C27" s="458">
        <v>0</v>
      </c>
      <c r="D27" s="458">
        <v>0</v>
      </c>
      <c r="E27" s="458">
        <v>0</v>
      </c>
      <c r="F27" s="591">
        <v>554</v>
      </c>
      <c r="G27" s="609">
        <v>0</v>
      </c>
      <c r="H27" s="458">
        <v>0</v>
      </c>
      <c r="I27" s="458">
        <v>0</v>
      </c>
      <c r="J27" s="458">
        <v>0</v>
      </c>
      <c r="K27" s="987">
        <f t="shared" si="0"/>
        <v>0</v>
      </c>
      <c r="L27" s="988">
        <f t="shared" si="1"/>
        <v>0</v>
      </c>
    </row>
    <row r="28" spans="1:13" s="992" customFormat="1">
      <c r="A28" s="989" t="s">
        <v>949</v>
      </c>
      <c r="B28" s="612">
        <v>476965</v>
      </c>
      <c r="C28" s="460">
        <v>15</v>
      </c>
      <c r="D28" s="460">
        <v>35</v>
      </c>
      <c r="E28" s="460">
        <v>205</v>
      </c>
      <c r="F28" s="990">
        <v>477220</v>
      </c>
      <c r="G28" s="612">
        <f>SUM(G23:G27)</f>
        <v>403369</v>
      </c>
      <c r="H28" s="612">
        <f t="shared" ref="H28:J28" si="4">SUM(H23:H27)</f>
        <v>395</v>
      </c>
      <c r="I28" s="612">
        <f t="shared" si="4"/>
        <v>58</v>
      </c>
      <c r="J28" s="612">
        <f t="shared" si="4"/>
        <v>338</v>
      </c>
      <c r="K28" s="991">
        <f t="shared" si="0"/>
        <v>404160</v>
      </c>
      <c r="L28" s="988">
        <f t="shared" si="1"/>
        <v>0.84690499140857467</v>
      </c>
    </row>
    <row r="29" spans="1:13">
      <c r="A29" s="986" t="s">
        <v>950</v>
      </c>
      <c r="B29" s="609">
        <v>187635</v>
      </c>
      <c r="C29" s="458">
        <v>0</v>
      </c>
      <c r="D29" s="458">
        <v>0</v>
      </c>
      <c r="E29" s="458">
        <v>239</v>
      </c>
      <c r="F29" s="591">
        <v>187874</v>
      </c>
      <c r="G29" s="609">
        <v>226415</v>
      </c>
      <c r="H29" s="458">
        <v>21</v>
      </c>
      <c r="I29" s="458">
        <v>0</v>
      </c>
      <c r="J29" s="458">
        <v>1282</v>
      </c>
      <c r="K29" s="987">
        <f t="shared" si="0"/>
        <v>227718</v>
      </c>
      <c r="L29" s="988">
        <f t="shared" si="1"/>
        <v>1.2120783078020376</v>
      </c>
    </row>
    <row r="30" spans="1:13">
      <c r="A30" s="986" t="s">
        <v>951</v>
      </c>
      <c r="B30" s="609">
        <v>186</v>
      </c>
      <c r="C30" s="458">
        <v>0</v>
      </c>
      <c r="D30" s="458">
        <v>0</v>
      </c>
      <c r="E30" s="458">
        <v>0</v>
      </c>
      <c r="F30" s="591">
        <v>186</v>
      </c>
      <c r="G30" s="609">
        <v>0</v>
      </c>
      <c r="H30" s="458">
        <v>0</v>
      </c>
      <c r="I30" s="458">
        <v>0</v>
      </c>
      <c r="J30" s="458">
        <v>0</v>
      </c>
      <c r="K30" s="987">
        <f t="shared" ref="K30:K47" si="5">SUM(G30:J30)</f>
        <v>0</v>
      </c>
      <c r="L30" s="988">
        <f t="shared" si="1"/>
        <v>0</v>
      </c>
    </row>
    <row r="31" spans="1:13">
      <c r="A31" s="986" t="s">
        <v>952</v>
      </c>
      <c r="B31" s="609">
        <v>29</v>
      </c>
      <c r="C31" s="458">
        <v>55</v>
      </c>
      <c r="D31" s="458">
        <v>0</v>
      </c>
      <c r="E31" s="458">
        <v>0</v>
      </c>
      <c r="F31" s="591">
        <v>84</v>
      </c>
      <c r="G31" s="609">
        <v>17057</v>
      </c>
      <c r="H31" s="458">
        <v>25</v>
      </c>
      <c r="I31" s="458">
        <v>0</v>
      </c>
      <c r="J31" s="458">
        <v>0</v>
      </c>
      <c r="K31" s="987">
        <f t="shared" si="5"/>
        <v>17082</v>
      </c>
      <c r="L31" s="988">
        <f t="shared" si="1"/>
        <v>203.35714285714286</v>
      </c>
    </row>
    <row r="32" spans="1:13" s="992" customFormat="1">
      <c r="A32" s="989" t="s">
        <v>953</v>
      </c>
      <c r="B32" s="612">
        <v>187850</v>
      </c>
      <c r="C32" s="460">
        <v>55</v>
      </c>
      <c r="D32" s="460">
        <v>0</v>
      </c>
      <c r="E32" s="460">
        <v>239</v>
      </c>
      <c r="F32" s="990">
        <v>188144</v>
      </c>
      <c r="G32" s="612">
        <f>SUM(G29:G31)</f>
        <v>243472</v>
      </c>
      <c r="H32" s="612">
        <f t="shared" ref="H32:J32" si="6">SUM(H29:H31)</f>
        <v>46</v>
      </c>
      <c r="I32" s="612">
        <f t="shared" si="6"/>
        <v>0</v>
      </c>
      <c r="J32" s="612">
        <f t="shared" si="6"/>
        <v>1282</v>
      </c>
      <c r="K32" s="991">
        <f t="shared" si="5"/>
        <v>244800</v>
      </c>
      <c r="L32" s="988">
        <f t="shared" si="1"/>
        <v>1.301131048558551</v>
      </c>
      <c r="M32" s="993"/>
    </row>
    <row r="33" spans="1:13" s="992" customFormat="1" ht="25.5">
      <c r="A33" s="989" t="s">
        <v>954</v>
      </c>
      <c r="B33" s="612">
        <v>58</v>
      </c>
      <c r="C33" s="460">
        <v>104</v>
      </c>
      <c r="D33" s="460">
        <v>0</v>
      </c>
      <c r="E33" s="460">
        <v>0</v>
      </c>
      <c r="F33" s="990">
        <v>162</v>
      </c>
      <c r="G33" s="612">
        <v>2110</v>
      </c>
      <c r="H33" s="460">
        <v>4699</v>
      </c>
      <c r="I33" s="460">
        <v>5088</v>
      </c>
      <c r="J33" s="460">
        <v>824</v>
      </c>
      <c r="K33" s="991">
        <f t="shared" si="5"/>
        <v>12721</v>
      </c>
      <c r="L33" s="988">
        <f t="shared" si="1"/>
        <v>78.524691358024697</v>
      </c>
    </row>
    <row r="34" spans="1:13" s="992" customFormat="1">
      <c r="A34" s="989" t="s">
        <v>955</v>
      </c>
      <c r="B34" s="612">
        <v>0</v>
      </c>
      <c r="C34" s="460">
        <v>0</v>
      </c>
      <c r="D34" s="460">
        <v>0</v>
      </c>
      <c r="E34" s="460">
        <v>0</v>
      </c>
      <c r="F34" s="990">
        <v>0</v>
      </c>
      <c r="G34" s="612">
        <v>0</v>
      </c>
      <c r="H34" s="460">
        <v>0</v>
      </c>
      <c r="I34" s="460">
        <v>0</v>
      </c>
      <c r="J34" s="460">
        <v>0</v>
      </c>
      <c r="K34" s="991">
        <f t="shared" si="5"/>
        <v>0</v>
      </c>
      <c r="L34" s="988"/>
    </row>
    <row r="35" spans="1:13" s="992" customFormat="1" ht="13.5" thickBot="1">
      <c r="A35" s="994" t="s">
        <v>956</v>
      </c>
      <c r="B35" s="613">
        <v>5492155</v>
      </c>
      <c r="C35" s="592">
        <v>6660</v>
      </c>
      <c r="D35" s="592">
        <v>937</v>
      </c>
      <c r="E35" s="592">
        <v>11921</v>
      </c>
      <c r="F35" s="614">
        <v>5511673</v>
      </c>
      <c r="G35" s="613">
        <f>+G34+G33+G32+G28+G19+G22</f>
        <v>5573620</v>
      </c>
      <c r="H35" s="613">
        <f t="shared" ref="H35:K35" si="7">+H34+H33+H32+H28+H19+H22</f>
        <v>10023</v>
      </c>
      <c r="I35" s="613">
        <f t="shared" si="7"/>
        <v>6065</v>
      </c>
      <c r="J35" s="613">
        <f t="shared" si="7"/>
        <v>12111</v>
      </c>
      <c r="K35" s="613">
        <f t="shared" si="7"/>
        <v>5601819</v>
      </c>
      <c r="L35" s="995">
        <f t="shared" si="1"/>
        <v>1.0163554695643229</v>
      </c>
    </row>
    <row r="36" spans="1:13" s="992" customFormat="1">
      <c r="A36" s="996"/>
      <c r="B36" s="997"/>
      <c r="C36" s="997"/>
      <c r="D36" s="997"/>
      <c r="E36" s="997"/>
      <c r="F36" s="997"/>
      <c r="G36" s="997"/>
      <c r="H36" s="997"/>
      <c r="I36" s="997"/>
      <c r="J36" s="997"/>
      <c r="K36" s="998"/>
      <c r="L36" s="999"/>
    </row>
    <row r="37" spans="1:13" s="992" customFormat="1" ht="13.5" thickBot="1">
      <c r="A37" s="1000"/>
      <c r="B37" s="1001"/>
      <c r="C37" s="1001"/>
      <c r="D37" s="1001"/>
      <c r="E37" s="1001"/>
      <c r="F37" s="1001"/>
      <c r="G37" s="1001"/>
      <c r="H37" s="1001"/>
      <c r="I37" s="1001"/>
      <c r="J37" s="1001"/>
      <c r="K37" s="1002"/>
      <c r="L37" s="1003"/>
    </row>
    <row r="38" spans="1:13" s="992" customFormat="1" ht="13.5" thickBot="1">
      <c r="A38" s="1424" t="s">
        <v>957</v>
      </c>
      <c r="B38" s="1426" t="s">
        <v>923</v>
      </c>
      <c r="C38" s="1427"/>
      <c r="D38" s="1427"/>
      <c r="E38" s="1427"/>
      <c r="F38" s="1428"/>
      <c r="G38" s="1426" t="s">
        <v>1224</v>
      </c>
      <c r="H38" s="1427"/>
      <c r="I38" s="1427"/>
      <c r="J38" s="1427"/>
      <c r="K38" s="1427"/>
      <c r="L38" s="1429" t="s">
        <v>924</v>
      </c>
    </row>
    <row r="39" spans="1:13" s="992" customFormat="1" ht="51.75" thickBot="1">
      <c r="A39" s="1425"/>
      <c r="B39" s="977" t="s">
        <v>853</v>
      </c>
      <c r="C39" s="978" t="s">
        <v>852</v>
      </c>
      <c r="D39" s="978" t="s">
        <v>295</v>
      </c>
      <c r="E39" s="978" t="s">
        <v>851</v>
      </c>
      <c r="F39" s="979" t="s">
        <v>179</v>
      </c>
      <c r="G39" s="977" t="s">
        <v>853</v>
      </c>
      <c r="H39" s="978" t="s">
        <v>852</v>
      </c>
      <c r="I39" s="978" t="s">
        <v>295</v>
      </c>
      <c r="J39" s="978" t="s">
        <v>851</v>
      </c>
      <c r="K39" s="980" t="s">
        <v>179</v>
      </c>
      <c r="L39" s="1430"/>
    </row>
    <row r="40" spans="1:13">
      <c r="A40" s="982" t="s">
        <v>958</v>
      </c>
      <c r="B40" s="619">
        <v>5951666</v>
      </c>
      <c r="C40" s="617">
        <v>10574</v>
      </c>
      <c r="D40" s="617">
        <v>610</v>
      </c>
      <c r="E40" s="617">
        <v>14545</v>
      </c>
      <c r="F40" s="984">
        <f t="shared" ref="F40:F47" si="8">SUM(B40:E40)</f>
        <v>5977395</v>
      </c>
      <c r="G40" s="619">
        <v>5951666</v>
      </c>
      <c r="H40" s="617">
        <v>10574</v>
      </c>
      <c r="I40" s="617">
        <v>610</v>
      </c>
      <c r="J40" s="617">
        <v>14545</v>
      </c>
      <c r="K40" s="984">
        <f t="shared" si="5"/>
        <v>5977395</v>
      </c>
      <c r="L40" s="985">
        <f t="shared" si="1"/>
        <v>1</v>
      </c>
    </row>
    <row r="41" spans="1:13">
      <c r="A41" s="986" t="s">
        <v>959</v>
      </c>
      <c r="B41" s="609">
        <v>0</v>
      </c>
      <c r="C41" s="458">
        <v>0</v>
      </c>
      <c r="D41" s="458">
        <v>0</v>
      </c>
      <c r="E41" s="458">
        <v>0</v>
      </c>
      <c r="F41" s="987">
        <f t="shared" si="8"/>
        <v>0</v>
      </c>
      <c r="G41" s="609">
        <v>0</v>
      </c>
      <c r="H41" s="458">
        <v>0</v>
      </c>
      <c r="I41" s="458">
        <v>0</v>
      </c>
      <c r="J41" s="458">
        <v>0</v>
      </c>
      <c r="K41" s="987">
        <f t="shared" si="5"/>
        <v>0</v>
      </c>
      <c r="L41" s="988"/>
    </row>
    <row r="42" spans="1:13">
      <c r="A42" s="986" t="s">
        <v>960</v>
      </c>
      <c r="B42" s="609">
        <v>570377</v>
      </c>
      <c r="C42" s="458">
        <v>553</v>
      </c>
      <c r="D42" s="458">
        <v>241</v>
      </c>
      <c r="E42" s="458">
        <v>10846</v>
      </c>
      <c r="F42" s="987">
        <f t="shared" si="8"/>
        <v>582017</v>
      </c>
      <c r="G42" s="609">
        <v>570377</v>
      </c>
      <c r="H42" s="458">
        <v>553</v>
      </c>
      <c r="I42" s="458">
        <v>241</v>
      </c>
      <c r="J42" s="458">
        <v>10846</v>
      </c>
      <c r="K42" s="987">
        <f t="shared" si="5"/>
        <v>582017</v>
      </c>
      <c r="L42" s="988">
        <f t="shared" si="1"/>
        <v>1</v>
      </c>
    </row>
    <row r="43" spans="1:13">
      <c r="A43" s="986" t="s">
        <v>961</v>
      </c>
      <c r="B43" s="609">
        <v>-2424456</v>
      </c>
      <c r="C43" s="458">
        <v>-394</v>
      </c>
      <c r="D43" s="458">
        <v>230</v>
      </c>
      <c r="E43" s="458">
        <v>-4724</v>
      </c>
      <c r="F43" s="987">
        <f t="shared" si="8"/>
        <v>-2429344</v>
      </c>
      <c r="G43" s="609">
        <v>-2121002</v>
      </c>
      <c r="H43" s="458">
        <v>-4657</v>
      </c>
      <c r="I43" s="458">
        <v>-628</v>
      </c>
      <c r="J43" s="458">
        <v>-13552</v>
      </c>
      <c r="K43" s="987">
        <f t="shared" si="5"/>
        <v>-2139839</v>
      </c>
      <c r="L43" s="988">
        <f t="shared" si="1"/>
        <v>0.88082996891341858</v>
      </c>
    </row>
    <row r="44" spans="1:13" ht="15.75" customHeight="1">
      <c r="A44" s="986" t="s">
        <v>962</v>
      </c>
      <c r="B44" s="609">
        <f>1290697-560127</f>
        <v>730570</v>
      </c>
      <c r="C44" s="458">
        <v>0</v>
      </c>
      <c r="D44" s="458">
        <v>0</v>
      </c>
      <c r="E44" s="458">
        <v>0</v>
      </c>
      <c r="F44" s="987">
        <f t="shared" si="8"/>
        <v>730570</v>
      </c>
      <c r="G44" s="609">
        <v>730569</v>
      </c>
      <c r="H44" s="458">
        <v>0</v>
      </c>
      <c r="I44" s="458">
        <v>0</v>
      </c>
      <c r="J44" s="458">
        <v>0</v>
      </c>
      <c r="K44" s="987">
        <f t="shared" si="5"/>
        <v>730569</v>
      </c>
      <c r="L44" s="988">
        <f t="shared" si="1"/>
        <v>0.99999863120577082</v>
      </c>
    </row>
    <row r="45" spans="1:13">
      <c r="A45" s="986" t="s">
        <v>963</v>
      </c>
      <c r="B45" s="609">
        <v>303454</v>
      </c>
      <c r="C45" s="458">
        <v>-4263</v>
      </c>
      <c r="D45" s="458">
        <v>-858</v>
      </c>
      <c r="E45" s="458">
        <v>-8828</v>
      </c>
      <c r="F45" s="987">
        <f t="shared" si="8"/>
        <v>289505</v>
      </c>
      <c r="G45" s="609">
        <v>377546</v>
      </c>
      <c r="H45" s="458">
        <v>-1089</v>
      </c>
      <c r="I45" s="458">
        <v>754</v>
      </c>
      <c r="J45" s="458">
        <v>-1049</v>
      </c>
      <c r="K45" s="987">
        <f t="shared" si="5"/>
        <v>376162</v>
      </c>
      <c r="L45" s="988"/>
    </row>
    <row r="46" spans="1:13" s="992" customFormat="1">
      <c r="A46" s="989" t="s">
        <v>964</v>
      </c>
      <c r="B46" s="612">
        <f>SUM(B40:B45)</f>
        <v>5131611</v>
      </c>
      <c r="C46" s="612">
        <f t="shared" ref="C46:F46" si="9">SUM(C40:C45)</f>
        <v>6470</v>
      </c>
      <c r="D46" s="612">
        <f t="shared" si="9"/>
        <v>223</v>
      </c>
      <c r="E46" s="612">
        <f t="shared" si="9"/>
        <v>11839</v>
      </c>
      <c r="F46" s="612">
        <f t="shared" si="9"/>
        <v>5150143</v>
      </c>
      <c r="G46" s="612">
        <f>SUM(G40:G45)</f>
        <v>5509156</v>
      </c>
      <c r="H46" s="612">
        <f t="shared" ref="H46:K46" si="10">SUM(H40:H45)</f>
        <v>5381</v>
      </c>
      <c r="I46" s="612">
        <f t="shared" si="10"/>
        <v>977</v>
      </c>
      <c r="J46" s="612">
        <f t="shared" si="10"/>
        <v>10790</v>
      </c>
      <c r="K46" s="612">
        <f t="shared" si="10"/>
        <v>5526304</v>
      </c>
      <c r="L46" s="988">
        <f t="shared" si="1"/>
        <v>1.0730389428021707</v>
      </c>
      <c r="M46" s="993"/>
    </row>
    <row r="47" spans="1:13">
      <c r="A47" s="986" t="s">
        <v>965</v>
      </c>
      <c r="B47" s="609">
        <v>10599</v>
      </c>
      <c r="C47" s="458">
        <v>170</v>
      </c>
      <c r="D47" s="458">
        <v>0</v>
      </c>
      <c r="E47" s="458">
        <v>82</v>
      </c>
      <c r="F47" s="987">
        <f t="shared" si="8"/>
        <v>10851</v>
      </c>
      <c r="G47" s="609">
        <v>4470</v>
      </c>
      <c r="H47" s="458">
        <v>14</v>
      </c>
      <c r="I47" s="458">
        <v>0</v>
      </c>
      <c r="J47" s="458">
        <v>497</v>
      </c>
      <c r="K47" s="987">
        <f t="shared" si="5"/>
        <v>4981</v>
      </c>
      <c r="L47" s="988">
        <f t="shared" si="1"/>
        <v>0.45903603354529537</v>
      </c>
    </row>
    <row r="48" spans="1:13" ht="25.5">
      <c r="A48" s="986" t="s">
        <v>966</v>
      </c>
      <c r="B48" s="609">
        <v>29786</v>
      </c>
      <c r="C48" s="458">
        <v>0</v>
      </c>
      <c r="D48" s="458">
        <v>0</v>
      </c>
      <c r="E48" s="458">
        <v>0</v>
      </c>
      <c r="F48" s="987">
        <f t="shared" ref="F48:F53" si="11">SUM(B48:E48)</f>
        <v>29786</v>
      </c>
      <c r="G48" s="609">
        <v>29754</v>
      </c>
      <c r="H48" s="458">
        <v>0</v>
      </c>
      <c r="I48" s="458">
        <v>0</v>
      </c>
      <c r="J48" s="458">
        <v>0</v>
      </c>
      <c r="K48" s="987">
        <f t="shared" ref="K48:K53" si="12">SUM(G48:J48)</f>
        <v>29754</v>
      </c>
      <c r="L48" s="988">
        <f t="shared" si="1"/>
        <v>0.99892566977774788</v>
      </c>
    </row>
    <row r="49" spans="1:12">
      <c r="A49" s="986" t="s">
        <v>967</v>
      </c>
      <c r="B49" s="609">
        <v>19605</v>
      </c>
      <c r="C49" s="458">
        <v>0</v>
      </c>
      <c r="D49" s="458">
        <v>0</v>
      </c>
      <c r="E49" s="458">
        <v>0</v>
      </c>
      <c r="F49" s="987">
        <f t="shared" si="11"/>
        <v>19605</v>
      </c>
      <c r="G49" s="609">
        <v>30240</v>
      </c>
      <c r="H49" s="458">
        <v>4628</v>
      </c>
      <c r="I49" s="458">
        <v>5088</v>
      </c>
      <c r="J49" s="458">
        <v>824</v>
      </c>
      <c r="K49" s="987">
        <f t="shared" si="12"/>
        <v>40780</v>
      </c>
      <c r="L49" s="988">
        <f t="shared" si="1"/>
        <v>2.080081611833716</v>
      </c>
    </row>
    <row r="50" spans="1:12" s="992" customFormat="1">
      <c r="A50" s="989" t="s">
        <v>968</v>
      </c>
      <c r="B50" s="612">
        <v>59990</v>
      </c>
      <c r="C50" s="460">
        <v>170</v>
      </c>
      <c r="D50" s="460">
        <v>0</v>
      </c>
      <c r="E50" s="460">
        <v>82</v>
      </c>
      <c r="F50" s="991">
        <f t="shared" si="11"/>
        <v>60242</v>
      </c>
      <c r="G50" s="612">
        <f>SUM(G47:G49)</f>
        <v>64464</v>
      </c>
      <c r="H50" s="612">
        <f t="shared" ref="H50:K50" si="13">SUM(H47:H49)</f>
        <v>4642</v>
      </c>
      <c r="I50" s="612">
        <f t="shared" si="13"/>
        <v>5088</v>
      </c>
      <c r="J50" s="612">
        <f t="shared" si="13"/>
        <v>1321</v>
      </c>
      <c r="K50" s="612">
        <f t="shared" si="13"/>
        <v>75515</v>
      </c>
      <c r="L50" s="988">
        <f t="shared" si="1"/>
        <v>1.2535274393280436</v>
      </c>
    </row>
    <row r="51" spans="1:12" s="992" customFormat="1" ht="25.5">
      <c r="A51" s="989" t="s">
        <v>969</v>
      </c>
      <c r="B51" s="612">
        <v>554</v>
      </c>
      <c r="C51" s="460">
        <v>0</v>
      </c>
      <c r="D51" s="460">
        <v>0</v>
      </c>
      <c r="E51" s="460">
        <v>0</v>
      </c>
      <c r="F51" s="991">
        <f t="shared" si="11"/>
        <v>554</v>
      </c>
      <c r="G51" s="612">
        <v>0</v>
      </c>
      <c r="H51" s="460">
        <v>0</v>
      </c>
      <c r="I51" s="460">
        <v>0</v>
      </c>
      <c r="J51" s="460">
        <v>0</v>
      </c>
      <c r="K51" s="991">
        <f t="shared" si="12"/>
        <v>0</v>
      </c>
      <c r="L51" s="988">
        <f t="shared" si="1"/>
        <v>0</v>
      </c>
    </row>
    <row r="52" spans="1:12" s="992" customFormat="1" ht="29.25" customHeight="1">
      <c r="A52" s="989" t="s">
        <v>970</v>
      </c>
      <c r="B52" s="612">
        <v>0</v>
      </c>
      <c r="C52" s="460">
        <v>0</v>
      </c>
      <c r="D52" s="460">
        <v>0</v>
      </c>
      <c r="E52" s="460">
        <v>0</v>
      </c>
      <c r="F52" s="991">
        <f t="shared" si="11"/>
        <v>0</v>
      </c>
      <c r="G52" s="612">
        <v>0</v>
      </c>
      <c r="H52" s="460">
        <v>0</v>
      </c>
      <c r="I52" s="460">
        <v>0</v>
      </c>
      <c r="J52" s="460">
        <v>0</v>
      </c>
      <c r="K52" s="991">
        <f t="shared" si="12"/>
        <v>0</v>
      </c>
      <c r="L52" s="988"/>
    </row>
    <row r="53" spans="1:12" s="992" customFormat="1" ht="26.25" customHeight="1">
      <c r="A53" s="989" t="s">
        <v>971</v>
      </c>
      <c r="B53" s="612">
        <v>300000</v>
      </c>
      <c r="C53" s="460">
        <v>20</v>
      </c>
      <c r="D53" s="460">
        <v>714</v>
      </c>
      <c r="E53" s="460">
        <v>0</v>
      </c>
      <c r="F53" s="991">
        <f t="shared" si="11"/>
        <v>300734</v>
      </c>
      <c r="G53" s="612">
        <v>0</v>
      </c>
      <c r="H53" s="460">
        <v>0</v>
      </c>
      <c r="I53" s="460">
        <v>0</v>
      </c>
      <c r="J53" s="460">
        <v>0</v>
      </c>
      <c r="K53" s="991">
        <f t="shared" si="12"/>
        <v>0</v>
      </c>
      <c r="L53" s="988"/>
    </row>
    <row r="54" spans="1:12" s="992" customFormat="1" ht="13.5" thickBot="1">
      <c r="A54" s="994" t="s">
        <v>972</v>
      </c>
      <c r="B54" s="613">
        <f>+B46+B50+B51+B52+B53</f>
        <v>5492155</v>
      </c>
      <c r="C54" s="613">
        <f t="shared" ref="C54:F54" si="14">+C46+C50+C51+C52+C53</f>
        <v>6660</v>
      </c>
      <c r="D54" s="613">
        <f t="shared" si="14"/>
        <v>937</v>
      </c>
      <c r="E54" s="613">
        <f t="shared" si="14"/>
        <v>11921</v>
      </c>
      <c r="F54" s="613">
        <f t="shared" si="14"/>
        <v>5511673</v>
      </c>
      <c r="G54" s="613">
        <f>+G53+G52+G51+G50+G46</f>
        <v>5573620</v>
      </c>
      <c r="H54" s="613">
        <f t="shared" ref="H54:K54" si="15">+H53+H52+H51+H50+H46</f>
        <v>10023</v>
      </c>
      <c r="I54" s="613">
        <f t="shared" si="15"/>
        <v>6065</v>
      </c>
      <c r="J54" s="613">
        <f t="shared" si="15"/>
        <v>12111</v>
      </c>
      <c r="K54" s="613">
        <f t="shared" si="15"/>
        <v>5601819</v>
      </c>
      <c r="L54" s="995">
        <f t="shared" si="1"/>
        <v>1.0163554695643229</v>
      </c>
    </row>
  </sheetData>
  <mergeCells count="9">
    <mergeCell ref="A38:A39"/>
    <mergeCell ref="B38:F38"/>
    <mergeCell ref="G38:K38"/>
    <mergeCell ref="L38:L39"/>
    <mergeCell ref="K1:L1"/>
    <mergeCell ref="A2:A3"/>
    <mergeCell ref="B2:F2"/>
    <mergeCell ref="G2:K2"/>
    <mergeCell ref="L2:L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2" orientation="landscape" r:id="rId1"/>
  <headerFooter>
    <oddHeader>&amp;C&amp;"Times New Roman,Félkövér"&amp;12Martonvásár Város Önkormányzatának mérlege&amp;R&amp;"Times New Roman,Normál"&amp;10 16. melléklet</oddHeader>
  </headerFooter>
  <rowBreaks count="1" manualBreakCount="1">
    <brk id="36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5"/>
  <sheetViews>
    <sheetView topLeftCell="A7" zoomScale="80" zoomScaleNormal="80" workbookViewId="0">
      <selection activeCell="A24" sqref="A24"/>
    </sheetView>
  </sheetViews>
  <sheetFormatPr defaultRowHeight="12.75"/>
  <cols>
    <col min="1" max="1" width="65.42578125" style="1005" bestFit="1" customWidth="1"/>
    <col min="2" max="2" width="14.28515625" style="976" customWidth="1"/>
    <col min="3" max="3" width="13" style="426" customWidth="1"/>
    <col min="4" max="4" width="13.140625" style="426" customWidth="1"/>
    <col min="5" max="5" width="9.140625" style="426" customWidth="1"/>
    <col min="6" max="6" width="10.28515625" style="426" customWidth="1"/>
    <col min="7" max="7" width="12.140625" style="426" customWidth="1"/>
    <col min="8" max="8" width="8" style="426" customWidth="1"/>
    <col min="9" max="16384" width="9.140625" style="422"/>
  </cols>
  <sheetData>
    <row r="1" spans="1:8" ht="13.5" thickBot="1">
      <c r="G1" s="1431" t="s">
        <v>404</v>
      </c>
      <c r="H1" s="1431"/>
    </row>
    <row r="2" spans="1:8" ht="42.75" customHeight="1" thickBot="1">
      <c r="A2" s="1006" t="s">
        <v>973</v>
      </c>
      <c r="B2" s="1009" t="s">
        <v>1225</v>
      </c>
      <c r="C2" s="1007" t="s">
        <v>853</v>
      </c>
      <c r="D2" s="1007" t="s">
        <v>852</v>
      </c>
      <c r="E2" s="1007" t="s">
        <v>295</v>
      </c>
      <c r="F2" s="1008" t="s">
        <v>851</v>
      </c>
      <c r="G2" s="1009" t="s">
        <v>1226</v>
      </c>
      <c r="H2" s="1009" t="s">
        <v>1227</v>
      </c>
    </row>
    <row r="3" spans="1:8">
      <c r="A3" s="1010" t="s">
        <v>974</v>
      </c>
      <c r="B3" s="1109">
        <v>240022</v>
      </c>
      <c r="C3" s="1011">
        <v>375226</v>
      </c>
      <c r="D3" s="1011">
        <v>30</v>
      </c>
      <c r="E3" s="1011">
        <v>0</v>
      </c>
      <c r="F3" s="1012">
        <v>0</v>
      </c>
      <c r="G3" s="1013">
        <f>SUM(C3:F3)</f>
        <v>375256</v>
      </c>
      <c r="H3" s="1114">
        <f>+G3/B3</f>
        <v>1.5634233528593213</v>
      </c>
    </row>
    <row r="4" spans="1:8">
      <c r="A4" s="1014" t="s">
        <v>975</v>
      </c>
      <c r="B4" s="1110">
        <v>177021</v>
      </c>
      <c r="C4" s="1133">
        <v>265747</v>
      </c>
      <c r="D4" s="1015">
        <v>30</v>
      </c>
      <c r="E4" s="1015">
        <v>0</v>
      </c>
      <c r="F4" s="1016">
        <v>0</v>
      </c>
      <c r="G4" s="1017">
        <f t="shared" ref="G4:G45" si="0">SUM(C4:F4)</f>
        <v>265777</v>
      </c>
      <c r="H4" s="1114">
        <f t="shared" ref="H4:H45" si="1">+G4/B4</f>
        <v>1.501386841109247</v>
      </c>
    </row>
    <row r="5" spans="1:8">
      <c r="A5" s="1014" t="s">
        <v>976</v>
      </c>
      <c r="B5" s="1110">
        <v>63001</v>
      </c>
      <c r="C5" s="1133">
        <v>109479</v>
      </c>
      <c r="D5" s="1015">
        <v>0</v>
      </c>
      <c r="E5" s="1015">
        <v>0</v>
      </c>
      <c r="F5" s="1016">
        <v>0</v>
      </c>
      <c r="G5" s="1017">
        <f t="shared" si="0"/>
        <v>109479</v>
      </c>
      <c r="H5" s="1114">
        <f t="shared" si="1"/>
        <v>1.7377343216774337</v>
      </c>
    </row>
    <row r="6" spans="1:8">
      <c r="A6" s="1018" t="s">
        <v>977</v>
      </c>
      <c r="B6" s="1111">
        <v>26865</v>
      </c>
      <c r="C6" s="1019">
        <v>6228</v>
      </c>
      <c r="D6" s="1019">
        <v>753</v>
      </c>
      <c r="E6" s="1019">
        <v>20</v>
      </c>
      <c r="F6" s="1020">
        <v>18321</v>
      </c>
      <c r="G6" s="1013">
        <f t="shared" si="0"/>
        <v>25322</v>
      </c>
      <c r="H6" s="1114">
        <f t="shared" si="1"/>
        <v>0.94256467522799181</v>
      </c>
    </row>
    <row r="7" spans="1:8">
      <c r="A7" s="1018" t="s">
        <v>978</v>
      </c>
      <c r="B7" s="1111">
        <v>16873</v>
      </c>
      <c r="C7" s="1019">
        <v>16419</v>
      </c>
      <c r="D7" s="1019">
        <v>0</v>
      </c>
      <c r="E7" s="1019">
        <v>0</v>
      </c>
      <c r="F7" s="1020">
        <v>509</v>
      </c>
      <c r="G7" s="1013">
        <f t="shared" si="0"/>
        <v>16928</v>
      </c>
      <c r="H7" s="1114">
        <f t="shared" si="1"/>
        <v>1.0032596455876253</v>
      </c>
    </row>
    <row r="8" spans="1:8" s="992" customFormat="1">
      <c r="A8" s="1021" t="s">
        <v>979</v>
      </c>
      <c r="B8" s="1112">
        <v>283760</v>
      </c>
      <c r="C8" s="1022">
        <f>+C3+C6+C7</f>
        <v>397873</v>
      </c>
      <c r="D8" s="1022">
        <f t="shared" ref="D8:F8" si="2">+D3+D6+D7</f>
        <v>783</v>
      </c>
      <c r="E8" s="1022">
        <f t="shared" si="2"/>
        <v>20</v>
      </c>
      <c r="F8" s="1022">
        <f t="shared" si="2"/>
        <v>18830</v>
      </c>
      <c r="G8" s="1024">
        <f t="shared" si="0"/>
        <v>417506</v>
      </c>
      <c r="H8" s="1114">
        <f t="shared" si="1"/>
        <v>1.4713349309275443</v>
      </c>
    </row>
    <row r="9" spans="1:8">
      <c r="A9" s="1018" t="s">
        <v>980</v>
      </c>
      <c r="B9" s="1111">
        <v>0</v>
      </c>
      <c r="C9" s="1019">
        <v>0</v>
      </c>
      <c r="D9" s="1019">
        <v>0</v>
      </c>
      <c r="E9" s="1019">
        <v>0</v>
      </c>
      <c r="F9" s="1020">
        <v>0</v>
      </c>
      <c r="G9" s="1013">
        <f t="shared" si="0"/>
        <v>0</v>
      </c>
      <c r="H9" s="1114"/>
    </row>
    <row r="10" spans="1:8">
      <c r="A10" s="1018" t="s">
        <v>981</v>
      </c>
      <c r="B10" s="1111">
        <v>0</v>
      </c>
      <c r="C10" s="1019">
        <v>0</v>
      </c>
      <c r="D10" s="1019">
        <v>0</v>
      </c>
      <c r="E10" s="1019">
        <v>0</v>
      </c>
      <c r="F10" s="1020">
        <v>0</v>
      </c>
      <c r="G10" s="1013">
        <f t="shared" si="0"/>
        <v>0</v>
      </c>
      <c r="H10" s="1114"/>
    </row>
    <row r="11" spans="1:8" s="992" customFormat="1">
      <c r="A11" s="1021" t="s">
        <v>982</v>
      </c>
      <c r="B11" s="1112">
        <v>0</v>
      </c>
      <c r="C11" s="1022">
        <v>0</v>
      </c>
      <c r="D11" s="1022">
        <v>0</v>
      </c>
      <c r="E11" s="1022">
        <v>0</v>
      </c>
      <c r="F11" s="1023">
        <v>0</v>
      </c>
      <c r="G11" s="1024">
        <f t="shared" si="0"/>
        <v>0</v>
      </c>
      <c r="H11" s="1114"/>
    </row>
    <row r="12" spans="1:8">
      <c r="A12" s="1018" t="s">
        <v>983</v>
      </c>
      <c r="B12" s="1111">
        <v>917657</v>
      </c>
      <c r="C12" s="1019">
        <v>568046</v>
      </c>
      <c r="D12" s="1019">
        <v>153281</v>
      </c>
      <c r="E12" s="1019">
        <v>144641</v>
      </c>
      <c r="F12" s="1020">
        <v>45703</v>
      </c>
      <c r="G12" s="1013">
        <f t="shared" si="0"/>
        <v>911671</v>
      </c>
      <c r="H12" s="1114">
        <f t="shared" si="1"/>
        <v>0.99347686553908487</v>
      </c>
    </row>
    <row r="13" spans="1:8" ht="12" customHeight="1">
      <c r="A13" s="1018" t="s">
        <v>984</v>
      </c>
      <c r="B13" s="1111">
        <v>151999</v>
      </c>
      <c r="C13" s="1019">
        <v>57909</v>
      </c>
      <c r="D13" s="1019">
        <v>48</v>
      </c>
      <c r="E13" s="1019">
        <v>0</v>
      </c>
      <c r="F13" s="1020">
        <v>7250</v>
      </c>
      <c r="G13" s="1013">
        <f t="shared" si="0"/>
        <v>65207</v>
      </c>
      <c r="H13" s="1114">
        <f t="shared" si="1"/>
        <v>0.42899624339633813</v>
      </c>
    </row>
    <row r="14" spans="1:8">
      <c r="A14" s="1018" t="s">
        <v>985</v>
      </c>
      <c r="B14" s="1111">
        <v>52219</v>
      </c>
      <c r="C14" s="1019">
        <v>20801</v>
      </c>
      <c r="D14" s="1019">
        <v>242</v>
      </c>
      <c r="E14" s="1019">
        <v>0</v>
      </c>
      <c r="F14" s="1020">
        <v>0</v>
      </c>
      <c r="G14" s="1013">
        <f t="shared" si="0"/>
        <v>21043</v>
      </c>
      <c r="H14" s="1114">
        <f t="shared" si="1"/>
        <v>0.40297592830195905</v>
      </c>
    </row>
    <row r="15" spans="1:8" s="992" customFormat="1">
      <c r="A15" s="1021" t="s">
        <v>986</v>
      </c>
      <c r="B15" s="1112">
        <v>1121875</v>
      </c>
      <c r="C15" s="1022">
        <f>+C12+C13+C14</f>
        <v>646756</v>
      </c>
      <c r="D15" s="1022">
        <f t="shared" ref="D15:F15" si="3">+D12+D13+D14</f>
        <v>153571</v>
      </c>
      <c r="E15" s="1022">
        <f t="shared" si="3"/>
        <v>144641</v>
      </c>
      <c r="F15" s="1022">
        <f t="shared" si="3"/>
        <v>52953</v>
      </c>
      <c r="G15" s="1024">
        <f t="shared" si="0"/>
        <v>997921</v>
      </c>
      <c r="H15" s="1114">
        <f t="shared" si="1"/>
        <v>0.88951175487465184</v>
      </c>
    </row>
    <row r="16" spans="1:8">
      <c r="A16" s="1018" t="s">
        <v>987</v>
      </c>
      <c r="B16" s="1111">
        <v>15009</v>
      </c>
      <c r="C16" s="1019">
        <v>911</v>
      </c>
      <c r="D16" s="1019">
        <v>2036</v>
      </c>
      <c r="E16" s="1019">
        <v>1893</v>
      </c>
      <c r="F16" s="1020">
        <v>2461</v>
      </c>
      <c r="G16" s="1013">
        <f t="shared" si="0"/>
        <v>7301</v>
      </c>
      <c r="H16" s="1114">
        <f t="shared" si="1"/>
        <v>0.48644146845226199</v>
      </c>
    </row>
    <row r="17" spans="1:8">
      <c r="A17" s="1018" t="s">
        <v>988</v>
      </c>
      <c r="B17" s="1111">
        <v>134166</v>
      </c>
      <c r="C17" s="1019">
        <v>47358</v>
      </c>
      <c r="D17" s="1019">
        <v>11176</v>
      </c>
      <c r="E17" s="1019">
        <v>10435</v>
      </c>
      <c r="F17" s="1020">
        <v>17788</v>
      </c>
      <c r="G17" s="1013">
        <f t="shared" si="0"/>
        <v>86757</v>
      </c>
      <c r="H17" s="1114">
        <f t="shared" si="1"/>
        <v>0.6466392379589464</v>
      </c>
    </row>
    <row r="18" spans="1:8">
      <c r="A18" s="1018" t="s">
        <v>989</v>
      </c>
      <c r="B18" s="1111">
        <v>0</v>
      </c>
      <c r="C18" s="1019">
        <v>0</v>
      </c>
      <c r="D18" s="1019">
        <v>0</v>
      </c>
      <c r="E18" s="1019">
        <v>0</v>
      </c>
      <c r="F18" s="1020">
        <v>0</v>
      </c>
      <c r="G18" s="1013">
        <f t="shared" si="0"/>
        <v>0</v>
      </c>
      <c r="H18" s="1114"/>
    </row>
    <row r="19" spans="1:8">
      <c r="A19" s="1018" t="s">
        <v>990</v>
      </c>
      <c r="B19" s="1111">
        <v>0</v>
      </c>
      <c r="C19" s="1019">
        <v>4063</v>
      </c>
      <c r="D19" s="1019">
        <v>105</v>
      </c>
      <c r="E19" s="1019">
        <v>9</v>
      </c>
      <c r="F19" s="1020">
        <v>5842</v>
      </c>
      <c r="G19" s="1013">
        <f t="shared" si="0"/>
        <v>10019</v>
      </c>
      <c r="H19" s="1114"/>
    </row>
    <row r="20" spans="1:8" s="992" customFormat="1">
      <c r="A20" s="1021" t="s">
        <v>991</v>
      </c>
      <c r="B20" s="1112">
        <v>149175</v>
      </c>
      <c r="C20" s="1022">
        <f>SUM(C16:C19)</f>
        <v>52332</v>
      </c>
      <c r="D20" s="1022">
        <f t="shared" ref="D20:F20" si="4">SUM(D16:D19)</f>
        <v>13317</v>
      </c>
      <c r="E20" s="1022">
        <f t="shared" si="4"/>
        <v>12337</v>
      </c>
      <c r="F20" s="1022">
        <f t="shared" si="4"/>
        <v>26091</v>
      </c>
      <c r="G20" s="1024">
        <f t="shared" si="0"/>
        <v>104077</v>
      </c>
      <c r="H20" s="1114">
        <f t="shared" si="1"/>
        <v>0.69768392827216352</v>
      </c>
    </row>
    <row r="21" spans="1:8">
      <c r="A21" s="1018" t="s">
        <v>992</v>
      </c>
      <c r="B21" s="1111">
        <v>210017</v>
      </c>
      <c r="C21" s="1019">
        <v>18821</v>
      </c>
      <c r="D21" s="1019">
        <v>85619</v>
      </c>
      <c r="E21" s="1019">
        <v>84396</v>
      </c>
      <c r="F21" s="1020">
        <v>12301</v>
      </c>
      <c r="G21" s="1013">
        <f t="shared" si="0"/>
        <v>201137</v>
      </c>
      <c r="H21" s="1114">
        <f t="shared" si="1"/>
        <v>0.95771770856644933</v>
      </c>
    </row>
    <row r="22" spans="1:8">
      <c r="A22" s="1018" t="s">
        <v>993</v>
      </c>
      <c r="B22" s="1111">
        <v>47717</v>
      </c>
      <c r="C22" s="1019">
        <v>20102</v>
      </c>
      <c r="D22" s="1019">
        <v>13430</v>
      </c>
      <c r="E22" s="1019">
        <v>8253</v>
      </c>
      <c r="F22" s="1020">
        <v>4016</v>
      </c>
      <c r="G22" s="1013">
        <f t="shared" si="0"/>
        <v>45801</v>
      </c>
      <c r="H22" s="1114">
        <f t="shared" si="1"/>
        <v>0.9598465955529476</v>
      </c>
    </row>
    <row r="23" spans="1:8">
      <c r="A23" s="1018" t="s">
        <v>994</v>
      </c>
      <c r="B23" s="1111">
        <v>67841</v>
      </c>
      <c r="C23" s="1019">
        <v>9159</v>
      </c>
      <c r="D23" s="1019">
        <v>26890</v>
      </c>
      <c r="E23" s="1019">
        <v>26537</v>
      </c>
      <c r="F23" s="1020">
        <v>4275</v>
      </c>
      <c r="G23" s="1013">
        <f t="shared" si="0"/>
        <v>66861</v>
      </c>
      <c r="H23" s="1114">
        <f t="shared" si="1"/>
        <v>0.98555445821848142</v>
      </c>
    </row>
    <row r="24" spans="1:8" s="992" customFormat="1">
      <c r="A24" s="1021" t="s">
        <v>995</v>
      </c>
      <c r="B24" s="1112">
        <v>325575</v>
      </c>
      <c r="C24" s="1022">
        <f>SUM(C21:C23)</f>
        <v>48082</v>
      </c>
      <c r="D24" s="1022">
        <f t="shared" ref="D24:F24" si="5">SUM(D21:D23)</f>
        <v>125939</v>
      </c>
      <c r="E24" s="1022">
        <f t="shared" si="5"/>
        <v>119186</v>
      </c>
      <c r="F24" s="1022">
        <f t="shared" si="5"/>
        <v>20592</v>
      </c>
      <c r="G24" s="1024">
        <f t="shared" si="0"/>
        <v>313799</v>
      </c>
      <c r="H24" s="1114">
        <f t="shared" si="1"/>
        <v>0.96383014666359523</v>
      </c>
    </row>
    <row r="25" spans="1:8" s="992" customFormat="1">
      <c r="A25" s="1021" t="s">
        <v>996</v>
      </c>
      <c r="B25" s="1112">
        <v>142424</v>
      </c>
      <c r="C25" s="1022">
        <v>130090</v>
      </c>
      <c r="D25" s="1022">
        <v>2794</v>
      </c>
      <c r="E25" s="1022">
        <v>415</v>
      </c>
      <c r="F25" s="1023">
        <v>4541</v>
      </c>
      <c r="G25" s="1024">
        <f t="shared" si="0"/>
        <v>137840</v>
      </c>
      <c r="H25" s="1114">
        <f t="shared" si="1"/>
        <v>0.96781441330112905</v>
      </c>
    </row>
    <row r="26" spans="1:8" s="992" customFormat="1">
      <c r="A26" s="1021" t="s">
        <v>997</v>
      </c>
      <c r="B26" s="1112">
        <v>1059696</v>
      </c>
      <c r="C26" s="1022">
        <v>787374</v>
      </c>
      <c r="D26" s="1022">
        <v>13384</v>
      </c>
      <c r="E26" s="1022">
        <v>14538</v>
      </c>
      <c r="F26" s="1023">
        <v>21610</v>
      </c>
      <c r="G26" s="1024">
        <f t="shared" si="0"/>
        <v>836906</v>
      </c>
      <c r="H26" s="1114">
        <f t="shared" si="1"/>
        <v>0.78976045960350894</v>
      </c>
    </row>
    <row r="27" spans="1:8" s="992" customFormat="1">
      <c r="A27" s="1021" t="s">
        <v>998</v>
      </c>
      <c r="B27" s="1112">
        <v>-271235</v>
      </c>
      <c r="C27" s="1022">
        <v>26751</v>
      </c>
      <c r="D27" s="1022">
        <v>-1080</v>
      </c>
      <c r="E27" s="1022">
        <v>-1815</v>
      </c>
      <c r="F27" s="1023">
        <v>-1051</v>
      </c>
      <c r="G27" s="1024">
        <f t="shared" si="0"/>
        <v>22805</v>
      </c>
      <c r="H27" s="1114">
        <f t="shared" si="1"/>
        <v>-8.407838221468468E-2</v>
      </c>
    </row>
    <row r="28" spans="1:8">
      <c r="A28" s="1018" t="s">
        <v>999</v>
      </c>
      <c r="B28" s="1111">
        <v>0</v>
      </c>
      <c r="C28" s="1019">
        <v>0</v>
      </c>
      <c r="D28" s="1019">
        <v>0</v>
      </c>
      <c r="E28" s="1019">
        <v>0</v>
      </c>
      <c r="F28" s="1020">
        <v>0</v>
      </c>
      <c r="G28" s="1013">
        <f t="shared" si="0"/>
        <v>0</v>
      </c>
      <c r="H28" s="1114"/>
    </row>
    <row r="29" spans="1:8">
      <c r="A29" s="1018" t="s">
        <v>1000</v>
      </c>
      <c r="B29" s="1111">
        <v>3027</v>
      </c>
      <c r="C29" s="1019">
        <v>3774</v>
      </c>
      <c r="D29" s="1019">
        <v>1</v>
      </c>
      <c r="E29" s="1019">
        <v>2</v>
      </c>
      <c r="F29" s="1020">
        <v>2</v>
      </c>
      <c r="G29" s="1013">
        <f t="shared" si="0"/>
        <v>3779</v>
      </c>
      <c r="H29" s="1114">
        <f t="shared" si="1"/>
        <v>1.248430789560621</v>
      </c>
    </row>
    <row r="30" spans="1:8">
      <c r="A30" s="1018" t="s">
        <v>1001</v>
      </c>
      <c r="B30" s="1111">
        <v>0</v>
      </c>
      <c r="C30" s="1019">
        <v>0</v>
      </c>
      <c r="D30" s="1019">
        <v>0</v>
      </c>
      <c r="E30" s="1019">
        <v>0</v>
      </c>
      <c r="F30" s="1020">
        <v>0</v>
      </c>
      <c r="G30" s="1013">
        <f t="shared" si="0"/>
        <v>0</v>
      </c>
      <c r="H30" s="1114"/>
    </row>
    <row r="31" spans="1:8">
      <c r="A31" s="1018" t="s">
        <v>1002</v>
      </c>
      <c r="B31" s="1111">
        <v>0</v>
      </c>
      <c r="C31" s="1019">
        <v>0</v>
      </c>
      <c r="D31" s="1019">
        <v>0</v>
      </c>
      <c r="E31" s="1019">
        <v>0</v>
      </c>
      <c r="F31" s="1020">
        <v>0</v>
      </c>
      <c r="G31" s="1013">
        <f t="shared" si="0"/>
        <v>0</v>
      </c>
      <c r="H31" s="1114"/>
    </row>
    <row r="32" spans="1:8" s="992" customFormat="1">
      <c r="A32" s="1021" t="s">
        <v>1003</v>
      </c>
      <c r="B32" s="1112">
        <v>3027</v>
      </c>
      <c r="C32" s="1022">
        <f>SUM(C28:C31)</f>
        <v>3774</v>
      </c>
      <c r="D32" s="1022">
        <f t="shared" ref="D32:F32" si="6">SUM(D28:D31)</f>
        <v>1</v>
      </c>
      <c r="E32" s="1022">
        <f t="shared" si="6"/>
        <v>2</v>
      </c>
      <c r="F32" s="1022">
        <f t="shared" si="6"/>
        <v>2</v>
      </c>
      <c r="G32" s="1024">
        <f t="shared" si="0"/>
        <v>3779</v>
      </c>
      <c r="H32" s="1114">
        <f t="shared" si="1"/>
        <v>1.248430789560621</v>
      </c>
    </row>
    <row r="33" spans="1:8">
      <c r="A33" s="1018" t="s">
        <v>1004</v>
      </c>
      <c r="B33" s="1111">
        <v>953</v>
      </c>
      <c r="C33" s="1019">
        <v>0</v>
      </c>
      <c r="D33" s="1019">
        <v>0</v>
      </c>
      <c r="E33" s="1019">
        <v>0</v>
      </c>
      <c r="F33" s="1020">
        <v>0</v>
      </c>
      <c r="G33" s="1013">
        <f t="shared" si="0"/>
        <v>0</v>
      </c>
      <c r="H33" s="1114">
        <f t="shared" si="1"/>
        <v>0</v>
      </c>
    </row>
    <row r="34" spans="1:8">
      <c r="A34" s="1018" t="s">
        <v>1005</v>
      </c>
      <c r="B34" s="1111">
        <v>0</v>
      </c>
      <c r="C34" s="1019">
        <v>1000</v>
      </c>
      <c r="D34" s="1019">
        <v>0</v>
      </c>
      <c r="E34" s="1019">
        <v>0</v>
      </c>
      <c r="F34" s="1020">
        <v>0</v>
      </c>
      <c r="G34" s="1013">
        <f t="shared" si="0"/>
        <v>1000</v>
      </c>
      <c r="H34" s="1114"/>
    </row>
    <row r="35" spans="1:8">
      <c r="A35" s="1018" t="s">
        <v>1006</v>
      </c>
      <c r="B35" s="1111">
        <v>12492</v>
      </c>
      <c r="C35" s="1019">
        <v>0</v>
      </c>
      <c r="D35" s="1019">
        <v>0</v>
      </c>
      <c r="E35" s="1019">
        <v>0</v>
      </c>
      <c r="F35" s="1020">
        <v>0</v>
      </c>
      <c r="G35" s="1013">
        <f t="shared" si="0"/>
        <v>0</v>
      </c>
      <c r="H35" s="1114">
        <f t="shared" si="1"/>
        <v>0</v>
      </c>
    </row>
    <row r="36" spans="1:8">
      <c r="A36" s="1018" t="s">
        <v>1007</v>
      </c>
      <c r="B36" s="1111">
        <v>12492</v>
      </c>
      <c r="C36" s="1019">
        <v>0</v>
      </c>
      <c r="D36" s="1019">
        <v>0</v>
      </c>
      <c r="E36" s="1019">
        <v>0</v>
      </c>
      <c r="F36" s="1020">
        <v>0</v>
      </c>
      <c r="G36" s="1013">
        <f t="shared" si="0"/>
        <v>0</v>
      </c>
      <c r="H36" s="1114">
        <f t="shared" si="1"/>
        <v>0</v>
      </c>
    </row>
    <row r="37" spans="1:8" s="992" customFormat="1">
      <c r="A37" s="1021" t="s">
        <v>1008</v>
      </c>
      <c r="B37" s="1112">
        <v>13445</v>
      </c>
      <c r="C37" s="1022">
        <f>+C33+C34+C35</f>
        <v>1000</v>
      </c>
      <c r="D37" s="1022">
        <f t="shared" ref="D37:F37" si="7">+D33+D34+D35</f>
        <v>0</v>
      </c>
      <c r="E37" s="1022">
        <f t="shared" si="7"/>
        <v>0</v>
      </c>
      <c r="F37" s="1022">
        <f t="shared" si="7"/>
        <v>0</v>
      </c>
      <c r="G37" s="1024">
        <f t="shared" si="0"/>
        <v>1000</v>
      </c>
      <c r="H37" s="1114">
        <f t="shared" si="1"/>
        <v>7.4377091855708441E-2</v>
      </c>
    </row>
    <row r="38" spans="1:8" s="992" customFormat="1">
      <c r="A38" s="1021" t="s">
        <v>1009</v>
      </c>
      <c r="B38" s="1112">
        <v>-10418</v>
      </c>
      <c r="C38" s="1022">
        <v>2774</v>
      </c>
      <c r="D38" s="1022">
        <v>1</v>
      </c>
      <c r="E38" s="1022">
        <v>2</v>
      </c>
      <c r="F38" s="1023">
        <v>2</v>
      </c>
      <c r="G38" s="1024">
        <f t="shared" si="0"/>
        <v>2779</v>
      </c>
      <c r="H38" s="1114">
        <f t="shared" si="1"/>
        <v>-0.26674985601842965</v>
      </c>
    </row>
    <row r="39" spans="1:8" s="992" customFormat="1">
      <c r="A39" s="1021" t="s">
        <v>1010</v>
      </c>
      <c r="B39" s="1112">
        <v>-281653</v>
      </c>
      <c r="C39" s="1022">
        <v>29525</v>
      </c>
      <c r="D39" s="1022">
        <v>-1079</v>
      </c>
      <c r="E39" s="1022">
        <v>-1813</v>
      </c>
      <c r="F39" s="1023">
        <v>-1049</v>
      </c>
      <c r="G39" s="1024">
        <f t="shared" si="0"/>
        <v>25584</v>
      </c>
      <c r="H39" s="1114">
        <f t="shared" si="1"/>
        <v>-9.0835176618037083E-2</v>
      </c>
    </row>
    <row r="40" spans="1:8" ht="16.5" customHeight="1">
      <c r="A40" s="1018" t="s">
        <v>1011</v>
      </c>
      <c r="B40" s="1111">
        <v>228985</v>
      </c>
      <c r="C40" s="1019">
        <v>51797</v>
      </c>
      <c r="D40" s="1019">
        <v>0</v>
      </c>
      <c r="E40" s="1019">
        <v>0</v>
      </c>
      <c r="F40" s="1020">
        <v>0</v>
      </c>
      <c r="G40" s="1013">
        <f t="shared" si="0"/>
        <v>51797</v>
      </c>
      <c r="H40" s="1114">
        <f t="shared" si="1"/>
        <v>0.22620258968928095</v>
      </c>
    </row>
    <row r="41" spans="1:8">
      <c r="A41" s="1018" t="s">
        <v>1012</v>
      </c>
      <c r="B41" s="1111">
        <v>350069</v>
      </c>
      <c r="C41" s="1019">
        <v>302700</v>
      </c>
      <c r="D41" s="1019">
        <v>0</v>
      </c>
      <c r="E41" s="1019">
        <v>0</v>
      </c>
      <c r="F41" s="1020">
        <v>0</v>
      </c>
      <c r="G41" s="1013">
        <f t="shared" si="0"/>
        <v>302700</v>
      </c>
      <c r="H41" s="1114">
        <f t="shared" si="1"/>
        <v>0.86468667605529193</v>
      </c>
    </row>
    <row r="42" spans="1:8" s="992" customFormat="1">
      <c r="A42" s="1021" t="s">
        <v>1013</v>
      </c>
      <c r="B42" s="1112">
        <v>579054</v>
      </c>
      <c r="C42" s="1022">
        <v>354497</v>
      </c>
      <c r="D42" s="1022">
        <v>0</v>
      </c>
      <c r="E42" s="1022">
        <v>2567</v>
      </c>
      <c r="F42" s="1023">
        <v>0</v>
      </c>
      <c r="G42" s="1024">
        <f t="shared" si="0"/>
        <v>357064</v>
      </c>
      <c r="H42" s="1114">
        <f t="shared" si="1"/>
        <v>0.6166333364418517</v>
      </c>
    </row>
    <row r="43" spans="1:8" s="992" customFormat="1">
      <c r="A43" s="1021" t="s">
        <v>1014</v>
      </c>
      <c r="B43" s="1112">
        <v>7896</v>
      </c>
      <c r="C43" s="1022">
        <v>6476</v>
      </c>
      <c r="D43" s="1022">
        <v>10</v>
      </c>
      <c r="E43" s="1022">
        <v>0</v>
      </c>
      <c r="F43" s="1023">
        <v>0</v>
      </c>
      <c r="G43" s="1024">
        <f t="shared" si="0"/>
        <v>6486</v>
      </c>
      <c r="H43" s="1114">
        <f t="shared" si="1"/>
        <v>0.8214285714285714</v>
      </c>
    </row>
    <row r="44" spans="1:8" s="992" customFormat="1">
      <c r="A44" s="1021" t="s">
        <v>1015</v>
      </c>
      <c r="B44" s="1112">
        <v>571158</v>
      </c>
      <c r="C44" s="1022">
        <v>348021</v>
      </c>
      <c r="D44" s="1022">
        <v>-10</v>
      </c>
      <c r="E44" s="1022">
        <v>2567</v>
      </c>
      <c r="F44" s="1023">
        <v>0</v>
      </c>
      <c r="G44" s="1024">
        <f t="shared" si="0"/>
        <v>350578</v>
      </c>
      <c r="H44" s="1114">
        <f t="shared" si="1"/>
        <v>0.61380213531106975</v>
      </c>
    </row>
    <row r="45" spans="1:8" s="992" customFormat="1" ht="13.5" thickBot="1">
      <c r="A45" s="1025" t="s">
        <v>1016</v>
      </c>
      <c r="B45" s="1113">
        <v>289505</v>
      </c>
      <c r="C45" s="1026">
        <v>377546</v>
      </c>
      <c r="D45" s="1026">
        <v>-1089</v>
      </c>
      <c r="E45" s="1026">
        <v>754</v>
      </c>
      <c r="F45" s="1027">
        <v>-1049</v>
      </c>
      <c r="G45" s="1028">
        <f t="shared" si="0"/>
        <v>376162</v>
      </c>
      <c r="H45" s="1114">
        <f t="shared" si="1"/>
        <v>1.2993281635895753</v>
      </c>
    </row>
  </sheetData>
  <mergeCells count="1">
    <mergeCell ref="G1:H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Header>&amp;C&amp;"Times New Roman,Félkövér"&amp;12Martonvásár Város Önkormányzatának 2015. évi eredménykimutatása&amp;R&amp;"Times New Roman,Normál"&amp;10 17. melléklet</oddHeader>
  </headerFooter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>
  <dimension ref="A1:D68"/>
  <sheetViews>
    <sheetView workbookViewId="0">
      <selection activeCell="C19" sqref="C19"/>
    </sheetView>
  </sheetViews>
  <sheetFormatPr defaultRowHeight="15"/>
  <cols>
    <col min="1" max="1" width="57" customWidth="1"/>
    <col min="2" max="2" width="3.85546875" bestFit="1" customWidth="1"/>
    <col min="3" max="3" width="10.5703125" bestFit="1" customWidth="1"/>
  </cols>
  <sheetData>
    <row r="1" spans="1:4" ht="26.25" customHeight="1" thickBot="1">
      <c r="A1" s="1029"/>
      <c r="B1" s="1030"/>
      <c r="C1" s="1031"/>
      <c r="D1" s="1032" t="s">
        <v>404</v>
      </c>
    </row>
    <row r="2" spans="1:4">
      <c r="A2" s="1432" t="s">
        <v>922</v>
      </c>
      <c r="B2" s="1435" t="s">
        <v>371</v>
      </c>
      <c r="C2" s="1438" t="s">
        <v>1017</v>
      </c>
      <c r="D2" s="1438" t="s">
        <v>1018</v>
      </c>
    </row>
    <row r="3" spans="1:4">
      <c r="A3" s="1433"/>
      <c r="B3" s="1436"/>
      <c r="C3" s="1439"/>
      <c r="D3" s="1439"/>
    </row>
    <row r="4" spans="1:4">
      <c r="A4" s="1434"/>
      <c r="B4" s="1437"/>
      <c r="C4" s="1440" t="s">
        <v>1019</v>
      </c>
      <c r="D4" s="1440"/>
    </row>
    <row r="5" spans="1:4" ht="15.75" thickBot="1">
      <c r="A5" s="1033" t="s">
        <v>1020</v>
      </c>
      <c r="B5" s="1034" t="s">
        <v>313</v>
      </c>
      <c r="C5" s="1034" t="s">
        <v>307</v>
      </c>
      <c r="D5" s="1034" t="s">
        <v>308</v>
      </c>
    </row>
    <row r="6" spans="1:4">
      <c r="A6" s="1035" t="s">
        <v>1021</v>
      </c>
      <c r="B6" s="1036" t="s">
        <v>1022</v>
      </c>
      <c r="C6" s="1037">
        <v>79502</v>
      </c>
      <c r="D6" s="1037">
        <v>17293</v>
      </c>
    </row>
    <row r="7" spans="1:4">
      <c r="A7" s="1038" t="s">
        <v>1023</v>
      </c>
      <c r="B7" s="1039" t="s">
        <v>1024</v>
      </c>
      <c r="C7" s="1040">
        <f>+C8+C13+C18+C23+C28</f>
        <v>5695851</v>
      </c>
      <c r="D7" s="1040">
        <v>4677305</v>
      </c>
    </row>
    <row r="8" spans="1:4">
      <c r="A8" s="1038" t="s">
        <v>1025</v>
      </c>
      <c r="B8" s="1039" t="s">
        <v>1026</v>
      </c>
      <c r="C8" s="1040">
        <f>+C9+C10+C11+C12</f>
        <v>4806032</v>
      </c>
      <c r="D8" s="1040">
        <v>3887412</v>
      </c>
    </row>
    <row r="9" spans="1:4">
      <c r="A9" s="1041" t="s">
        <v>1027</v>
      </c>
      <c r="B9" s="1039" t="s">
        <v>1028</v>
      </c>
      <c r="C9" s="1042">
        <v>1116517</v>
      </c>
      <c r="D9" s="1042">
        <v>889222</v>
      </c>
    </row>
    <row r="10" spans="1:4" ht="22.5">
      <c r="A10" s="1041" t="s">
        <v>1029</v>
      </c>
      <c r="B10" s="1039" t="s">
        <v>1030</v>
      </c>
      <c r="C10" s="1042"/>
      <c r="D10" s="1042"/>
    </row>
    <row r="11" spans="1:4" ht="15.75" customHeight="1">
      <c r="A11" s="1041" t="s">
        <v>1031</v>
      </c>
      <c r="B11" s="1039" t="s">
        <v>1032</v>
      </c>
      <c r="C11" s="1042">
        <v>3053748</v>
      </c>
      <c r="D11" s="1042">
        <v>2386751</v>
      </c>
    </row>
    <row r="12" spans="1:4">
      <c r="A12" s="1041" t="s">
        <v>1033</v>
      </c>
      <c r="B12" s="1039" t="s">
        <v>1034</v>
      </c>
      <c r="C12" s="1042">
        <v>635767</v>
      </c>
      <c r="D12" s="1042">
        <v>611439</v>
      </c>
    </row>
    <row r="13" spans="1:4">
      <c r="A13" s="1038" t="s">
        <v>1035</v>
      </c>
      <c r="B13" s="1039" t="s">
        <v>1036</v>
      </c>
      <c r="C13" s="1043">
        <f>+C14+C15+C16+C17</f>
        <v>142158</v>
      </c>
      <c r="D13" s="1043">
        <v>42233</v>
      </c>
    </row>
    <row r="14" spans="1:4">
      <c r="A14" s="1041" t="s">
        <v>1037</v>
      </c>
      <c r="B14" s="1039" t="s">
        <v>1038</v>
      </c>
      <c r="C14" s="1042"/>
      <c r="D14" s="1042"/>
    </row>
    <row r="15" spans="1:4" ht="22.5">
      <c r="A15" s="1041" t="s">
        <v>1039</v>
      </c>
      <c r="B15" s="1039" t="s">
        <v>481</v>
      </c>
      <c r="C15" s="1042"/>
      <c r="D15" s="1042"/>
    </row>
    <row r="16" spans="1:4">
      <c r="A16" s="1041" t="s">
        <v>1040</v>
      </c>
      <c r="B16" s="1039" t="s">
        <v>482</v>
      </c>
      <c r="C16" s="1042">
        <v>14089</v>
      </c>
      <c r="D16" s="1042">
        <v>14089</v>
      </c>
    </row>
    <row r="17" spans="1:4">
      <c r="A17" s="1041" t="s">
        <v>1041</v>
      </c>
      <c r="B17" s="1039" t="s">
        <v>483</v>
      </c>
      <c r="C17" s="1042">
        <v>128069</v>
      </c>
      <c r="D17" s="1042">
        <v>13755</v>
      </c>
    </row>
    <row r="18" spans="1:4">
      <c r="A18" s="1038" t="s">
        <v>1042</v>
      </c>
      <c r="B18" s="1039" t="s">
        <v>902</v>
      </c>
      <c r="C18" s="1044">
        <f>+C19+C20+C21+C22</f>
        <v>0</v>
      </c>
      <c r="D18" s="1044">
        <f>+D19+D20+D21+D22</f>
        <v>0</v>
      </c>
    </row>
    <row r="19" spans="1:4">
      <c r="A19" s="1041" t="s">
        <v>1043</v>
      </c>
      <c r="B19" s="1039" t="s">
        <v>904</v>
      </c>
      <c r="C19" s="1042"/>
      <c r="D19" s="1042"/>
    </row>
    <row r="20" spans="1:4">
      <c r="A20" s="1041" t="s">
        <v>1044</v>
      </c>
      <c r="B20" s="1039" t="s">
        <v>906</v>
      </c>
      <c r="C20" s="1042"/>
      <c r="D20" s="1042"/>
    </row>
    <row r="21" spans="1:4">
      <c r="A21" s="1041" t="s">
        <v>1045</v>
      </c>
      <c r="B21" s="1039" t="s">
        <v>908</v>
      </c>
      <c r="C21" s="1042"/>
      <c r="D21" s="1042"/>
    </row>
    <row r="22" spans="1:4">
      <c r="A22" s="1041" t="s">
        <v>1046</v>
      </c>
      <c r="B22" s="1039" t="s">
        <v>910</v>
      </c>
      <c r="C22" s="1042"/>
      <c r="D22" s="1042"/>
    </row>
    <row r="23" spans="1:4">
      <c r="A23" s="1038" t="s">
        <v>1047</v>
      </c>
      <c r="B23" s="1039" t="s">
        <v>912</v>
      </c>
      <c r="C23" s="1044">
        <f>+C24+C25+C26+C27</f>
        <v>17091</v>
      </c>
      <c r="D23" s="1044">
        <v>17091</v>
      </c>
    </row>
    <row r="24" spans="1:4">
      <c r="A24" s="1041" t="s">
        <v>1048</v>
      </c>
      <c r="B24" s="1039" t="s">
        <v>913</v>
      </c>
      <c r="C24" s="1042"/>
      <c r="D24" s="1042"/>
    </row>
    <row r="25" spans="1:4">
      <c r="A25" s="1041" t="s">
        <v>1049</v>
      </c>
      <c r="B25" s="1039" t="s">
        <v>914</v>
      </c>
      <c r="C25" s="1042"/>
      <c r="D25" s="1042"/>
    </row>
    <row r="26" spans="1:4">
      <c r="A26" s="1041" t="s">
        <v>1050</v>
      </c>
      <c r="B26" s="1039" t="s">
        <v>915</v>
      </c>
      <c r="C26" s="1042"/>
      <c r="D26" s="1042"/>
    </row>
    <row r="27" spans="1:4">
      <c r="A27" s="1041" t="s">
        <v>1051</v>
      </c>
      <c r="B27" s="1039" t="s">
        <v>916</v>
      </c>
      <c r="C27" s="1042">
        <v>17091</v>
      </c>
      <c r="D27" s="1042">
        <v>17091</v>
      </c>
    </row>
    <row r="28" spans="1:4">
      <c r="A28" s="1038" t="s">
        <v>1052</v>
      </c>
      <c r="B28" s="1039" t="s">
        <v>917</v>
      </c>
      <c r="C28" s="1044">
        <f>+C29+C30+C31+C32</f>
        <v>730570</v>
      </c>
      <c r="D28" s="1044">
        <v>730569</v>
      </c>
    </row>
    <row r="29" spans="1:4">
      <c r="A29" s="1041" t="s">
        <v>1053</v>
      </c>
      <c r="B29" s="1039" t="s">
        <v>918</v>
      </c>
      <c r="C29" s="1042"/>
      <c r="D29" s="1042"/>
    </row>
    <row r="30" spans="1:4" ht="22.5">
      <c r="A30" s="1041" t="s">
        <v>1054</v>
      </c>
      <c r="B30" s="1039" t="s">
        <v>919</v>
      </c>
      <c r="C30" s="1042"/>
      <c r="D30" s="1042"/>
    </row>
    <row r="31" spans="1:4">
      <c r="A31" s="1041" t="s">
        <v>1055</v>
      </c>
      <c r="B31" s="1039" t="s">
        <v>920</v>
      </c>
      <c r="C31" s="1042"/>
      <c r="D31" s="1042"/>
    </row>
    <row r="32" spans="1:4">
      <c r="A32" s="1041" t="s">
        <v>1056</v>
      </c>
      <c r="B32" s="1039" t="s">
        <v>921</v>
      </c>
      <c r="C32" s="1042">
        <f>1290697-560127</f>
        <v>730570</v>
      </c>
      <c r="D32" s="1042">
        <v>730569</v>
      </c>
    </row>
    <row r="33" spans="1:4">
      <c r="A33" s="1038" t="s">
        <v>1057</v>
      </c>
      <c r="B33" s="1039" t="s">
        <v>1058</v>
      </c>
      <c r="C33" s="1044">
        <v>204848</v>
      </c>
      <c r="D33" s="1044">
        <v>204848</v>
      </c>
    </row>
    <row r="34" spans="1:4">
      <c r="A34" s="1038" t="s">
        <v>1059</v>
      </c>
      <c r="B34" s="1039" t="s">
        <v>1060</v>
      </c>
      <c r="C34" s="1044">
        <v>204848</v>
      </c>
      <c r="D34" s="1044">
        <v>204848</v>
      </c>
    </row>
    <row r="35" spans="1:4">
      <c r="A35" s="1041" t="s">
        <v>1061</v>
      </c>
      <c r="B35" s="1039" t="s">
        <v>1062</v>
      </c>
      <c r="C35" s="1042"/>
      <c r="D35" s="1042"/>
    </row>
    <row r="36" spans="1:4">
      <c r="A36" s="1041" t="s">
        <v>1063</v>
      </c>
      <c r="B36" s="1039" t="s">
        <v>1064</v>
      </c>
      <c r="C36" s="1042"/>
      <c r="D36" s="1042"/>
    </row>
    <row r="37" spans="1:4">
      <c r="A37" s="1041" t="s">
        <v>1065</v>
      </c>
      <c r="B37" s="1039" t="s">
        <v>1066</v>
      </c>
      <c r="C37" s="1042"/>
      <c r="D37" s="1042"/>
    </row>
    <row r="38" spans="1:4">
      <c r="A38" s="1041" t="s">
        <v>1067</v>
      </c>
      <c r="B38" s="1039" t="s">
        <v>1068</v>
      </c>
      <c r="C38" s="1042">
        <v>204848</v>
      </c>
      <c r="D38" s="1042">
        <v>208484</v>
      </c>
    </row>
    <row r="39" spans="1:4">
      <c r="A39" s="1038" t="s">
        <v>1069</v>
      </c>
      <c r="B39" s="1039" t="s">
        <v>1070</v>
      </c>
      <c r="C39" s="1044">
        <f>+C40+C41+C42+C43</f>
        <v>0</v>
      </c>
      <c r="D39" s="1044">
        <f>+D40+D41+D42+D43</f>
        <v>0</v>
      </c>
    </row>
    <row r="40" spans="1:4">
      <c r="A40" s="1041" t="s">
        <v>1071</v>
      </c>
      <c r="B40" s="1039" t="s">
        <v>1072</v>
      </c>
      <c r="C40" s="1042"/>
      <c r="D40" s="1042"/>
    </row>
    <row r="41" spans="1:4" ht="22.5">
      <c r="A41" s="1041" t="s">
        <v>1073</v>
      </c>
      <c r="B41" s="1039" t="s">
        <v>1074</v>
      </c>
      <c r="C41" s="1042"/>
      <c r="D41" s="1042"/>
    </row>
    <row r="42" spans="1:4">
      <c r="A42" s="1041" t="s">
        <v>1075</v>
      </c>
      <c r="B42" s="1039" t="s">
        <v>1076</v>
      </c>
      <c r="C42" s="1042"/>
      <c r="D42" s="1042"/>
    </row>
    <row r="43" spans="1:4">
      <c r="A43" s="1041" t="s">
        <v>1077</v>
      </c>
      <c r="B43" s="1039" t="s">
        <v>1078</v>
      </c>
      <c r="C43" s="1042"/>
      <c r="D43" s="1042"/>
    </row>
    <row r="44" spans="1:4">
      <c r="A44" s="1038" t="s">
        <v>1079</v>
      </c>
      <c r="B44" s="1039" t="s">
        <v>1080</v>
      </c>
      <c r="C44" s="1044">
        <f>+C45+C46+C47+C48</f>
        <v>0</v>
      </c>
      <c r="D44" s="1044">
        <f>+D45+D46+D47+D48</f>
        <v>0</v>
      </c>
    </row>
    <row r="45" spans="1:4">
      <c r="A45" s="1041" t="s">
        <v>1081</v>
      </c>
      <c r="B45" s="1039" t="s">
        <v>1082</v>
      </c>
      <c r="C45" s="1042"/>
      <c r="D45" s="1042"/>
    </row>
    <row r="46" spans="1:4" ht="22.5">
      <c r="A46" s="1041" t="s">
        <v>1083</v>
      </c>
      <c r="B46" s="1039" t="s">
        <v>1084</v>
      </c>
      <c r="C46" s="1042"/>
      <c r="D46" s="1042"/>
    </row>
    <row r="47" spans="1:4">
      <c r="A47" s="1041" t="s">
        <v>1085</v>
      </c>
      <c r="B47" s="1039" t="s">
        <v>1086</v>
      </c>
      <c r="C47" s="1042"/>
      <c r="D47" s="1042"/>
    </row>
    <row r="48" spans="1:4">
      <c r="A48" s="1041" t="s">
        <v>1087</v>
      </c>
      <c r="B48" s="1039" t="s">
        <v>1088</v>
      </c>
      <c r="C48" s="1042"/>
      <c r="D48" s="1042"/>
    </row>
    <row r="49" spans="1:4">
      <c r="A49" s="1038" t="s">
        <v>1089</v>
      </c>
      <c r="B49" s="1039" t="s">
        <v>1090</v>
      </c>
      <c r="C49" s="1042"/>
      <c r="D49" s="1042">
        <v>40692</v>
      </c>
    </row>
    <row r="50" spans="1:4" ht="21.75" customHeight="1">
      <c r="A50" s="1038" t="s">
        <v>1228</v>
      </c>
      <c r="B50" s="1039" t="s">
        <v>1091</v>
      </c>
      <c r="C50" s="1044">
        <f>+C6+C7+C33+C49</f>
        <v>5980201</v>
      </c>
      <c r="D50" s="1044">
        <f>+D6+D7+D33+D49</f>
        <v>4940138</v>
      </c>
    </row>
    <row r="51" spans="1:4">
      <c r="A51" s="1038" t="s">
        <v>1092</v>
      </c>
      <c r="B51" s="1039" t="s">
        <v>1093</v>
      </c>
      <c r="C51" s="1042"/>
      <c r="D51" s="1042"/>
    </row>
    <row r="52" spans="1:4">
      <c r="A52" s="1038" t="s">
        <v>1094</v>
      </c>
      <c r="B52" s="1039" t="s">
        <v>1095</v>
      </c>
      <c r="C52" s="1042"/>
      <c r="D52" s="1042"/>
    </row>
    <row r="53" spans="1:4">
      <c r="A53" s="1038" t="s">
        <v>1096</v>
      </c>
      <c r="B53" s="1039" t="s">
        <v>1097</v>
      </c>
      <c r="C53" s="1044">
        <f>+C51+C52</f>
        <v>0</v>
      </c>
      <c r="D53" s="1044">
        <f>+D51+D52</f>
        <v>0</v>
      </c>
    </row>
    <row r="54" spans="1:4">
      <c r="A54" s="1038" t="s">
        <v>1098</v>
      </c>
      <c r="B54" s="1039" t="s">
        <v>1099</v>
      </c>
      <c r="C54" s="1042"/>
      <c r="D54" s="1042"/>
    </row>
    <row r="55" spans="1:4">
      <c r="A55" s="1038" t="s">
        <v>1100</v>
      </c>
      <c r="B55" s="1039" t="s">
        <v>1101</v>
      </c>
      <c r="C55" s="1042">
        <v>38</v>
      </c>
      <c r="D55" s="1042">
        <v>38</v>
      </c>
    </row>
    <row r="56" spans="1:4">
      <c r="A56" s="1038" t="s">
        <v>1102</v>
      </c>
      <c r="B56" s="1039" t="s">
        <v>1103</v>
      </c>
      <c r="C56" s="1042">
        <v>404122</v>
      </c>
      <c r="D56" s="1042">
        <v>404122</v>
      </c>
    </row>
    <row r="57" spans="1:4">
      <c r="A57" s="1038" t="s">
        <v>1104</v>
      </c>
      <c r="B57" s="1039" t="s">
        <v>1105</v>
      </c>
      <c r="C57" s="1042"/>
      <c r="D57" s="1042"/>
    </row>
    <row r="58" spans="1:4">
      <c r="A58" s="1038" t="s">
        <v>1106</v>
      </c>
      <c r="B58" s="1039" t="s">
        <v>1107</v>
      </c>
      <c r="C58" s="1042"/>
      <c r="D58" s="1042"/>
    </row>
    <row r="59" spans="1:4">
      <c r="A59" s="1038" t="s">
        <v>1108</v>
      </c>
      <c r="B59" s="1039" t="s">
        <v>1109</v>
      </c>
      <c r="C59" s="1044">
        <f>+C54+C55+C56+C57+C58</f>
        <v>404160</v>
      </c>
      <c r="D59" s="1044">
        <f>+D54+D55+D56+D57+D58</f>
        <v>404160</v>
      </c>
    </row>
    <row r="60" spans="1:4">
      <c r="A60" s="1038" t="s">
        <v>1110</v>
      </c>
      <c r="B60" s="1039" t="s">
        <v>1111</v>
      </c>
      <c r="C60" s="1042">
        <v>227718</v>
      </c>
      <c r="D60" s="1042">
        <v>227718</v>
      </c>
    </row>
    <row r="61" spans="1:4">
      <c r="A61" s="1038" t="s">
        <v>1112</v>
      </c>
      <c r="B61" s="1039" t="s">
        <v>1113</v>
      </c>
      <c r="C61" s="1042"/>
      <c r="D61" s="1042"/>
    </row>
    <row r="62" spans="1:4">
      <c r="A62" s="1038" t="s">
        <v>1114</v>
      </c>
      <c r="B62" s="1039" t="s">
        <v>1115</v>
      </c>
      <c r="C62" s="1042">
        <v>17082</v>
      </c>
      <c r="D62" s="1042">
        <v>17082</v>
      </c>
    </row>
    <row r="63" spans="1:4">
      <c r="A63" s="1038" t="s">
        <v>1116</v>
      </c>
      <c r="B63" s="1039" t="s">
        <v>1117</v>
      </c>
      <c r="C63" s="1044">
        <f>+C60+C61+C62</f>
        <v>244800</v>
      </c>
      <c r="D63" s="1044">
        <f>+D60+D61+D62</f>
        <v>244800</v>
      </c>
    </row>
    <row r="64" spans="1:4">
      <c r="A64" s="1038" t="s">
        <v>1118</v>
      </c>
      <c r="B64" s="1039" t="s">
        <v>1119</v>
      </c>
      <c r="C64" s="1042">
        <v>12721</v>
      </c>
      <c r="D64" s="1042">
        <v>12721</v>
      </c>
    </row>
    <row r="65" spans="1:4" ht="21">
      <c r="A65" s="1038" t="s">
        <v>1120</v>
      </c>
      <c r="B65" s="1039" t="s">
        <v>1121</v>
      </c>
      <c r="C65" s="1042"/>
      <c r="D65" s="1042"/>
    </row>
    <row r="66" spans="1:4">
      <c r="A66" s="1038" t="s">
        <v>1122</v>
      </c>
      <c r="B66" s="1039" t="s">
        <v>1123</v>
      </c>
      <c r="C66" s="1044">
        <v>12721</v>
      </c>
      <c r="D66" s="1044">
        <v>12721</v>
      </c>
    </row>
    <row r="67" spans="1:4">
      <c r="A67" s="1038" t="s">
        <v>1124</v>
      </c>
      <c r="B67" s="1039" t="s">
        <v>1125</v>
      </c>
      <c r="C67" s="1042"/>
      <c r="D67" s="1042"/>
    </row>
    <row r="68" spans="1:4" ht="15.75" thickBot="1">
      <c r="A68" s="1045" t="s">
        <v>1126</v>
      </c>
      <c r="B68" s="1039" t="s">
        <v>1127</v>
      </c>
      <c r="C68" s="1046">
        <f>+C50+C53+C59+C63+C66+C67</f>
        <v>6641882</v>
      </c>
      <c r="D68" s="1046">
        <f>+D50+D53+D59+D63+D66+D67</f>
        <v>5601819</v>
      </c>
    </row>
  </sheetData>
  <mergeCells count="5">
    <mergeCell ref="A2:A4"/>
    <mergeCell ref="B2:B4"/>
    <mergeCell ref="C2:C3"/>
    <mergeCell ref="D2:D3"/>
    <mergeCell ref="C4:D4"/>
  </mergeCells>
  <pageMargins left="0.7" right="0.7" top="0.75" bottom="0.75" header="0.3" footer="0.3"/>
  <pageSetup orientation="portrait" r:id="rId1"/>
  <headerFooter>
    <oddHeader>&amp;C&amp;"Times New Roman,Félkövér"&amp;12Martonvásár Város Önkormányzatának vagyonkimutatása
&amp;"Times New Roman,Normál"a könyviteli mérlegben értékkel szereplő eszközökről&amp;R&amp;"Times New Roman,Normál"&amp;10 18.a melléklet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D1" sqref="D1"/>
    </sheetView>
  </sheetViews>
  <sheetFormatPr defaultRowHeight="15"/>
  <cols>
    <col min="1" max="1" width="42.28515625" customWidth="1"/>
    <col min="3" max="3" width="14.85546875" customWidth="1"/>
  </cols>
  <sheetData>
    <row r="1" spans="1:3" ht="40.5" customHeight="1" thickBot="1">
      <c r="A1" s="1047"/>
      <c r="B1" s="1441" t="s">
        <v>404</v>
      </c>
      <c r="C1" s="1441"/>
    </row>
    <row r="2" spans="1:3">
      <c r="A2" s="1442" t="s">
        <v>957</v>
      </c>
      <c r="B2" s="1444" t="s">
        <v>361</v>
      </c>
      <c r="C2" s="1446" t="s">
        <v>1128</v>
      </c>
    </row>
    <row r="3" spans="1:3">
      <c r="A3" s="1443"/>
      <c r="B3" s="1445"/>
      <c r="C3" s="1447"/>
    </row>
    <row r="4" spans="1:3" ht="15.75" thickBot="1">
      <c r="A4" s="1048" t="s">
        <v>306</v>
      </c>
      <c r="B4" s="1049" t="s">
        <v>313</v>
      </c>
      <c r="C4" s="1050" t="s">
        <v>307</v>
      </c>
    </row>
    <row r="5" spans="1:3">
      <c r="A5" s="1038" t="s">
        <v>1129</v>
      </c>
      <c r="B5" s="1051" t="s">
        <v>1022</v>
      </c>
      <c r="C5" s="1052">
        <v>5977395</v>
      </c>
    </row>
    <row r="6" spans="1:3">
      <c r="A6" s="1038" t="s">
        <v>1130</v>
      </c>
      <c r="B6" s="1039" t="s">
        <v>1024</v>
      </c>
      <c r="C6" s="1052">
        <v>0</v>
      </c>
    </row>
    <row r="7" spans="1:3">
      <c r="A7" s="1038" t="s">
        <v>1131</v>
      </c>
      <c r="B7" s="1039" t="s">
        <v>1026</v>
      </c>
      <c r="C7" s="1052">
        <v>582017</v>
      </c>
    </row>
    <row r="8" spans="1:3">
      <c r="A8" s="1038" t="s">
        <v>1132</v>
      </c>
      <c r="B8" s="1039" t="s">
        <v>1028</v>
      </c>
      <c r="C8" s="1053">
        <v>-2139839</v>
      </c>
    </row>
    <row r="9" spans="1:3">
      <c r="A9" s="1038" t="s">
        <v>1133</v>
      </c>
      <c r="B9" s="1039" t="s">
        <v>1030</v>
      </c>
      <c r="C9" s="1053">
        <v>730569</v>
      </c>
    </row>
    <row r="10" spans="1:3">
      <c r="A10" s="1038" t="s">
        <v>1134</v>
      </c>
      <c r="B10" s="1039" t="s">
        <v>1032</v>
      </c>
      <c r="C10" s="1053">
        <v>376162</v>
      </c>
    </row>
    <row r="11" spans="1:3">
      <c r="A11" s="1038" t="s">
        <v>1135</v>
      </c>
      <c r="B11" s="1039" t="s">
        <v>1034</v>
      </c>
      <c r="C11" s="1054">
        <f>+C5+C6+C7+C8+C9+C10</f>
        <v>5526304</v>
      </c>
    </row>
    <row r="12" spans="1:3">
      <c r="A12" s="1038" t="s">
        <v>1136</v>
      </c>
      <c r="B12" s="1039" t="s">
        <v>1036</v>
      </c>
      <c r="C12" s="1053">
        <v>4981</v>
      </c>
    </row>
    <row r="13" spans="1:3" ht="21">
      <c r="A13" s="1038" t="s">
        <v>1137</v>
      </c>
      <c r="B13" s="1039" t="s">
        <v>1038</v>
      </c>
      <c r="C13" s="1053">
        <v>29754</v>
      </c>
    </row>
    <row r="14" spans="1:3">
      <c r="A14" s="1038" t="s">
        <v>1138</v>
      </c>
      <c r="B14" s="1039" t="s">
        <v>481</v>
      </c>
      <c r="C14" s="1053">
        <v>40780</v>
      </c>
    </row>
    <row r="15" spans="1:3">
      <c r="A15" s="1038" t="s">
        <v>1139</v>
      </c>
      <c r="B15" s="1039" t="s">
        <v>482</v>
      </c>
      <c r="C15" s="1054">
        <f>+C12+C13+C14</f>
        <v>75515</v>
      </c>
    </row>
    <row r="16" spans="1:3" ht="21">
      <c r="A16" s="1038" t="s">
        <v>1140</v>
      </c>
      <c r="B16" s="1039" t="s">
        <v>483</v>
      </c>
      <c r="C16" s="1055">
        <v>0</v>
      </c>
    </row>
    <row r="17" spans="1:3">
      <c r="A17" s="1038" t="s">
        <v>1141</v>
      </c>
      <c r="B17" s="1039" t="s">
        <v>902</v>
      </c>
      <c r="C17" s="1053">
        <v>0</v>
      </c>
    </row>
    <row r="18" spans="1:3" ht="15.75" thickBot="1">
      <c r="A18" s="1056" t="s">
        <v>1142</v>
      </c>
      <c r="B18" s="1057" t="s">
        <v>904</v>
      </c>
      <c r="C18" s="1058">
        <f>+C11+C15+C16+C17</f>
        <v>5601819</v>
      </c>
    </row>
  </sheetData>
  <mergeCells count="4">
    <mergeCell ref="B1:C1"/>
    <mergeCell ref="A2:A3"/>
    <mergeCell ref="B2:B3"/>
    <mergeCell ref="C2:C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&amp;C&amp;"Times New Roman,Félkövér"&amp;12Martonvásár Város Önkormányzatának vagyonkimutatása
&amp;"Times New Roman,Normál"a könyviteli mérlegben értékkel szereplő forrásokról&amp;R&amp;"Times New Roman,Normál"&amp;10 18.b melléklet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D7" sqref="D7"/>
    </sheetView>
  </sheetViews>
  <sheetFormatPr defaultRowHeight="15"/>
  <cols>
    <col min="1" max="1" width="61.42578125" bestFit="1" customWidth="1"/>
    <col min="2" max="2" width="4.42578125" bestFit="1" customWidth="1"/>
  </cols>
  <sheetData>
    <row r="1" spans="1:4" ht="16.5" thickBot="1">
      <c r="A1" s="1059"/>
      <c r="B1" s="1059"/>
      <c r="C1" s="1441"/>
      <c r="D1" s="1441"/>
    </row>
    <row r="2" spans="1:4" ht="39.75" thickBot="1">
      <c r="A2" s="1060" t="s">
        <v>285</v>
      </c>
      <c r="B2" s="1061" t="s">
        <v>371</v>
      </c>
      <c r="C2" s="1062" t="s">
        <v>1143</v>
      </c>
      <c r="D2" s="1063" t="s">
        <v>1144</v>
      </c>
    </row>
    <row r="3" spans="1:4" ht="15.75" thickBot="1">
      <c r="A3" s="1064" t="s">
        <v>306</v>
      </c>
      <c r="B3" s="1065" t="s">
        <v>313</v>
      </c>
      <c r="C3" s="1065" t="s">
        <v>307</v>
      </c>
      <c r="D3" s="1066" t="s">
        <v>308</v>
      </c>
    </row>
    <row r="4" spans="1:4">
      <c r="A4" s="1067" t="s">
        <v>1145</v>
      </c>
      <c r="B4" s="1068" t="s">
        <v>310</v>
      </c>
      <c r="C4" s="1069">
        <v>386</v>
      </c>
      <c r="D4" s="1070">
        <v>115397</v>
      </c>
    </row>
    <row r="5" spans="1:4">
      <c r="A5" s="1067" t="s">
        <v>1146</v>
      </c>
      <c r="B5" s="1071" t="s">
        <v>414</v>
      </c>
      <c r="C5" s="1072"/>
      <c r="D5" s="1073"/>
    </row>
    <row r="6" spans="1:4">
      <c r="A6" s="1067" t="s">
        <v>1147</v>
      </c>
      <c r="B6" s="1071" t="s">
        <v>474</v>
      </c>
      <c r="C6" s="1072">
        <v>86</v>
      </c>
      <c r="D6" s="1073">
        <v>9231</v>
      </c>
    </row>
    <row r="7" spans="1:4" ht="15.75" thickBot="1">
      <c r="A7" s="1074" t="s">
        <v>1148</v>
      </c>
      <c r="B7" s="1075" t="s">
        <v>475</v>
      </c>
      <c r="C7" s="1076"/>
      <c r="D7" s="1077"/>
    </row>
    <row r="8" spans="1:4" ht="15.75" thickBot="1">
      <c r="A8" s="1078" t="s">
        <v>1149</v>
      </c>
      <c r="B8" s="1079" t="s">
        <v>476</v>
      </c>
      <c r="C8" s="1080"/>
      <c r="D8" s="1081">
        <f>+D9+D10+D11+D12</f>
        <v>0</v>
      </c>
    </row>
    <row r="9" spans="1:4">
      <c r="A9" s="1082" t="s">
        <v>1150</v>
      </c>
      <c r="B9" s="1068" t="s">
        <v>477</v>
      </c>
      <c r="C9" s="1069"/>
      <c r="D9" s="1070"/>
    </row>
    <row r="10" spans="1:4">
      <c r="A10" s="1067" t="s">
        <v>1151</v>
      </c>
      <c r="B10" s="1071" t="s">
        <v>478</v>
      </c>
      <c r="C10" s="1072"/>
      <c r="D10" s="1073"/>
    </row>
    <row r="11" spans="1:4">
      <c r="A11" s="1067" t="s">
        <v>1152</v>
      </c>
      <c r="B11" s="1071" t="s">
        <v>479</v>
      </c>
      <c r="C11" s="1072"/>
      <c r="D11" s="1073"/>
    </row>
    <row r="12" spans="1:4" ht="15.75" thickBot="1">
      <c r="A12" s="1074" t="s">
        <v>1153</v>
      </c>
      <c r="B12" s="1075" t="s">
        <v>480</v>
      </c>
      <c r="C12" s="1076"/>
      <c r="D12" s="1077"/>
    </row>
    <row r="13" spans="1:4" ht="15.75" thickBot="1">
      <c r="A13" s="1078" t="s">
        <v>1154</v>
      </c>
      <c r="B13" s="1079" t="s">
        <v>481</v>
      </c>
      <c r="C13" s="1080"/>
      <c r="D13" s="1081">
        <f>+D14+D15+D16</f>
        <v>0</v>
      </c>
    </row>
    <row r="14" spans="1:4">
      <c r="A14" s="1082" t="s">
        <v>1155</v>
      </c>
      <c r="B14" s="1068" t="s">
        <v>482</v>
      </c>
      <c r="C14" s="1069"/>
      <c r="D14" s="1070"/>
    </row>
    <row r="15" spans="1:4">
      <c r="A15" s="1067" t="s">
        <v>1156</v>
      </c>
      <c r="B15" s="1071" t="s">
        <v>483</v>
      </c>
      <c r="C15" s="1072"/>
      <c r="D15" s="1073"/>
    </row>
    <row r="16" spans="1:4" ht="15.75" thickBot="1">
      <c r="A16" s="1074" t="s">
        <v>1157</v>
      </c>
      <c r="B16" s="1075" t="s">
        <v>902</v>
      </c>
      <c r="C16" s="1076"/>
      <c r="D16" s="1077"/>
    </row>
    <row r="17" spans="1:4" ht="15.75" thickBot="1">
      <c r="A17" s="1078" t="s">
        <v>1158</v>
      </c>
      <c r="B17" s="1079" t="s">
        <v>904</v>
      </c>
      <c r="C17" s="1080"/>
      <c r="D17" s="1081">
        <f>+D18+D19+D20</f>
        <v>0</v>
      </c>
    </row>
    <row r="18" spans="1:4">
      <c r="A18" s="1082" t="s">
        <v>1159</v>
      </c>
      <c r="B18" s="1068" t="s">
        <v>906</v>
      </c>
      <c r="C18" s="1069">
        <v>24266</v>
      </c>
      <c r="D18" s="1070"/>
    </row>
    <row r="19" spans="1:4">
      <c r="A19" s="1067" t="s">
        <v>1160</v>
      </c>
      <c r="B19" s="1071" t="s">
        <v>908</v>
      </c>
      <c r="C19" s="1072">
        <v>12678</v>
      </c>
      <c r="D19" s="1073"/>
    </row>
    <row r="20" spans="1:4">
      <c r="A20" s="1067" t="s">
        <v>1161</v>
      </c>
      <c r="B20" s="1071" t="s">
        <v>910</v>
      </c>
      <c r="C20" s="1072"/>
      <c r="D20" s="1073"/>
    </row>
    <row r="21" spans="1:4">
      <c r="A21" s="1067" t="s">
        <v>1162</v>
      </c>
      <c r="B21" s="1071" t="s">
        <v>912</v>
      </c>
      <c r="C21" s="1072"/>
      <c r="D21" s="1073"/>
    </row>
    <row r="22" spans="1:4" ht="15.75" thickBot="1">
      <c r="A22" s="1074"/>
      <c r="B22" s="1075" t="s">
        <v>1068</v>
      </c>
      <c r="C22" s="1076"/>
      <c r="D22" s="1077"/>
    </row>
    <row r="23" spans="1:4" ht="15.75" thickBot="1">
      <c r="A23" s="1448" t="s">
        <v>1163</v>
      </c>
      <c r="B23" s="1449"/>
      <c r="C23" s="1083"/>
      <c r="D23" s="1081">
        <f>+D4+D5+D6+D7+D8+D13+D17+D21++D22</f>
        <v>124628</v>
      </c>
    </row>
    <row r="24" spans="1:4" ht="15.75">
      <c r="A24" s="1084" t="s">
        <v>1164</v>
      </c>
      <c r="B24" s="1059"/>
      <c r="C24" s="1059"/>
      <c r="D24" s="1059"/>
    </row>
  </sheetData>
  <mergeCells count="2">
    <mergeCell ref="C1:D1"/>
    <mergeCell ref="A23:B23"/>
  </mergeCells>
  <pageMargins left="0.7" right="0.7" top="0.75" bottom="0.75" header="0.3" footer="0.3"/>
  <pageSetup orientation="portrait" r:id="rId1"/>
  <headerFooter>
    <oddHeader>&amp;C&amp;"Times New Roman,Félkövér"&amp;12Martonvásár Város Önkormányzatának vagyonkimutatása
&amp;"Times New Roman,Normál"az érték nélkül nyilvántartott eszközökről&amp;R&amp;"Times New Roman,Normál"&amp;10 18.c  melléklet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E13"/>
  <sheetViews>
    <sheetView topLeftCell="B1" workbookViewId="0">
      <selection activeCell="D9" sqref="D9"/>
    </sheetView>
  </sheetViews>
  <sheetFormatPr defaultRowHeight="15"/>
  <cols>
    <col min="1" max="1" width="7.85546875" bestFit="1" customWidth="1"/>
    <col min="2" max="3" width="37.42578125" customWidth="1"/>
    <col min="4" max="4" width="16.5703125" customWidth="1"/>
    <col min="5" max="5" width="22.7109375" customWidth="1"/>
  </cols>
  <sheetData>
    <row r="1" spans="1:5" ht="15" customHeight="1">
      <c r="A1" s="1085"/>
      <c r="B1" s="1086"/>
      <c r="C1" s="1086"/>
      <c r="D1" s="1086"/>
      <c r="E1" s="1086"/>
    </row>
    <row r="2" spans="1:5" ht="16.5" thickBot="1">
      <c r="A2" s="1087"/>
      <c r="B2" s="1086"/>
      <c r="C2" s="1086"/>
      <c r="D2" s="1086"/>
      <c r="E2" s="1086"/>
    </row>
    <row r="3" spans="1:5" ht="63.75" thickBot="1">
      <c r="A3" s="1088" t="s">
        <v>371</v>
      </c>
      <c r="B3" s="1089" t="s">
        <v>1165</v>
      </c>
      <c r="C3" s="1089" t="s">
        <v>1166</v>
      </c>
      <c r="D3" s="1089" t="s">
        <v>1167</v>
      </c>
      <c r="E3" s="1090" t="s">
        <v>1168</v>
      </c>
    </row>
    <row r="4" spans="1:5" ht="31.5">
      <c r="A4" s="1091" t="s">
        <v>310</v>
      </c>
      <c r="B4" s="1092" t="s">
        <v>1169</v>
      </c>
      <c r="C4" s="1093">
        <v>1</v>
      </c>
      <c r="D4" s="1094">
        <v>3000000</v>
      </c>
      <c r="E4" s="1095">
        <v>0</v>
      </c>
    </row>
    <row r="5" spans="1:5" ht="15.75">
      <c r="A5" s="1096" t="s">
        <v>414</v>
      </c>
      <c r="B5" s="1097" t="s">
        <v>1170</v>
      </c>
      <c r="C5" s="1098">
        <v>1</v>
      </c>
      <c r="D5" s="1099">
        <v>200900000</v>
      </c>
      <c r="E5" s="1100">
        <v>0</v>
      </c>
    </row>
    <row r="6" spans="1:5" ht="15.75">
      <c r="A6" s="1096" t="s">
        <v>474</v>
      </c>
      <c r="B6" s="1097" t="s">
        <v>1171</v>
      </c>
      <c r="C6" s="1098">
        <v>1.0460000000000001E-2</v>
      </c>
      <c r="D6" s="1099">
        <v>644482</v>
      </c>
      <c r="E6" s="1100">
        <v>0</v>
      </c>
    </row>
    <row r="7" spans="1:5" ht="15.75">
      <c r="A7" s="1096" t="s">
        <v>475</v>
      </c>
      <c r="B7" s="1097" t="s">
        <v>1172</v>
      </c>
      <c r="C7" s="1098">
        <v>3.8E-3</v>
      </c>
      <c r="D7" s="1099">
        <f>76000+28000</f>
        <v>104000</v>
      </c>
      <c r="E7" s="1100">
        <v>0</v>
      </c>
    </row>
    <row r="8" spans="1:5" ht="15.75">
      <c r="A8" s="1096" t="s">
        <v>476</v>
      </c>
      <c r="B8" s="1097" t="s">
        <v>1173</v>
      </c>
      <c r="C8" s="1098">
        <v>3.4000000000000002E-4</v>
      </c>
      <c r="D8" s="1099">
        <v>0</v>
      </c>
      <c r="E8" s="1100">
        <v>0</v>
      </c>
    </row>
    <row r="9" spans="1:5" ht="15.75">
      <c r="A9" s="1096" t="s">
        <v>477</v>
      </c>
      <c r="B9" s="1097" t="s">
        <v>1174</v>
      </c>
      <c r="C9" s="1098">
        <v>0.25</v>
      </c>
      <c r="D9" s="1099">
        <v>0</v>
      </c>
      <c r="E9" s="1100">
        <v>0</v>
      </c>
    </row>
    <row r="10" spans="1:5" ht="31.5">
      <c r="A10" s="1096" t="s">
        <v>478</v>
      </c>
      <c r="B10" s="1097" t="s">
        <v>1175</v>
      </c>
      <c r="C10" s="1098"/>
      <c r="D10" s="1099">
        <v>100000</v>
      </c>
      <c r="E10" s="1100">
        <v>0</v>
      </c>
    </row>
    <row r="11" spans="1:5" ht="16.5" thickBot="1">
      <c r="A11" s="1096" t="s">
        <v>479</v>
      </c>
      <c r="B11" s="1097" t="s">
        <v>1176</v>
      </c>
      <c r="C11" s="1098"/>
      <c r="D11" s="1099">
        <v>100000</v>
      </c>
      <c r="E11" s="1100">
        <v>0</v>
      </c>
    </row>
    <row r="12" spans="1:5" ht="16.5" thickBot="1">
      <c r="A12" s="1450" t="s">
        <v>1177</v>
      </c>
      <c r="B12" s="1451"/>
      <c r="C12" s="1101"/>
      <c r="D12" s="1102">
        <f>IF(SUM(D4:D11)=0,"",SUM(D4:D11))</f>
        <v>204848482</v>
      </c>
      <c r="E12" s="1103" t="str">
        <f>IF(SUM(E4:E11)=0,"",SUM(E4:E11))</f>
        <v/>
      </c>
    </row>
    <row r="13" spans="1:5" ht="15.75">
      <c r="A13" s="1087"/>
      <c r="B13" s="1086"/>
      <c r="C13" s="1086"/>
      <c r="D13" s="1086"/>
      <c r="E13" s="1086"/>
    </row>
  </sheetData>
  <mergeCells count="1"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&amp;C&amp;"Times New Roman,Félkövér"&amp;12Martonvásár Város Önkormányzatának tulajdonában álló 
gazdálkodó szervezetek működéséből származó kötelezettségek és részesedések alakulása&amp;R&amp;"Times New Roman,Normál"&amp;10 19. melléklet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AQ25"/>
  <sheetViews>
    <sheetView workbookViewId="0">
      <selection activeCell="A8" sqref="A8"/>
    </sheetView>
  </sheetViews>
  <sheetFormatPr defaultRowHeight="15"/>
  <cols>
    <col min="1" max="1" width="44.28515625" style="1171" bestFit="1" customWidth="1"/>
    <col min="2" max="2" width="13.28515625" style="1171" customWidth="1"/>
    <col min="3" max="3" width="12" style="1171" customWidth="1"/>
    <col min="4" max="4" width="13.140625" style="1171" customWidth="1"/>
    <col min="5" max="5" width="12" style="1171" customWidth="1"/>
    <col min="6" max="6" width="12.85546875" style="1171" customWidth="1"/>
    <col min="7" max="7" width="12" style="1171" customWidth="1"/>
    <col min="8" max="8" width="12.5703125" style="1171" customWidth="1"/>
    <col min="9" max="9" width="12" style="1171" customWidth="1"/>
    <col min="10" max="10" width="12.7109375" style="1171" customWidth="1"/>
    <col min="11" max="11" width="12" style="1171" customWidth="1"/>
    <col min="12" max="12" width="12.7109375" style="1171" customWidth="1"/>
    <col min="13" max="13" width="12" style="1171" customWidth="1"/>
    <col min="14" max="14" width="12.28515625" style="1171" customWidth="1"/>
    <col min="15" max="15" width="12" style="1171" customWidth="1"/>
    <col min="16" max="16" width="12.7109375" style="1171" customWidth="1"/>
    <col min="17" max="17" width="12" style="1171" customWidth="1"/>
    <col min="18" max="18" width="12.5703125" style="1171" customWidth="1"/>
    <col min="19" max="19" width="12" style="1171" customWidth="1"/>
    <col min="20" max="20" width="12.85546875" style="1171" customWidth="1"/>
    <col min="21" max="21" width="12" style="1171" customWidth="1"/>
    <col min="22" max="22" width="12.85546875" style="1171" customWidth="1"/>
    <col min="23" max="23" width="12" style="1171" customWidth="1"/>
    <col min="24" max="24" width="13" style="1171" customWidth="1"/>
    <col min="25" max="25" width="12" style="1171" customWidth="1"/>
    <col min="26" max="26" width="13.85546875" style="1171" customWidth="1"/>
    <col min="27" max="27" width="13.28515625" style="1171" bestFit="1" customWidth="1"/>
    <col min="28" max="28" width="11.7109375" style="1171" customWidth="1"/>
    <col min="29" max="37" width="12" style="1171" customWidth="1"/>
    <col min="38" max="38" width="13.28515625" style="1171" bestFit="1" customWidth="1"/>
    <col min="39" max="40" width="13.28515625" style="1179" bestFit="1" customWidth="1"/>
    <col min="41" max="42" width="13.42578125" style="1179" customWidth="1"/>
    <col min="43" max="43" width="15.5703125" style="1179" customWidth="1"/>
    <col min="44" max="16384" width="9.140625" style="1171"/>
  </cols>
  <sheetData>
    <row r="1" spans="1:43" ht="18.75">
      <c r="A1" s="1170" t="s">
        <v>1271</v>
      </c>
      <c r="B1" s="1452" t="s">
        <v>458</v>
      </c>
      <c r="C1" s="1452"/>
      <c r="D1" s="1452" t="s">
        <v>459</v>
      </c>
      <c r="E1" s="1452"/>
      <c r="F1" s="1452" t="s">
        <v>460</v>
      </c>
      <c r="G1" s="1452"/>
      <c r="H1" s="1452" t="s">
        <v>461</v>
      </c>
      <c r="I1" s="1452"/>
      <c r="J1" s="1452" t="s">
        <v>462</v>
      </c>
      <c r="K1" s="1452"/>
      <c r="L1" s="1452" t="s">
        <v>463</v>
      </c>
      <c r="M1" s="1452"/>
      <c r="N1" s="1452" t="s">
        <v>464</v>
      </c>
      <c r="O1" s="1452"/>
      <c r="P1" s="1452" t="s">
        <v>1178</v>
      </c>
      <c r="Q1" s="1452"/>
      <c r="R1" s="1452" t="s">
        <v>465</v>
      </c>
      <c r="S1" s="1452"/>
      <c r="T1" s="1452" t="s">
        <v>466</v>
      </c>
      <c r="U1" s="1452"/>
      <c r="V1" s="1452" t="s">
        <v>467</v>
      </c>
      <c r="W1" s="1452"/>
      <c r="X1" s="1452" t="s">
        <v>468</v>
      </c>
      <c r="Y1" s="1452"/>
      <c r="Z1" s="1452" t="s">
        <v>179</v>
      </c>
      <c r="AA1" s="1452"/>
      <c r="AB1" s="1452"/>
      <c r="AC1" s="1452"/>
      <c r="AD1" s="1452"/>
      <c r="AE1" s="1452"/>
      <c r="AM1" s="1171"/>
      <c r="AN1" s="1171"/>
      <c r="AO1" s="1171"/>
      <c r="AP1" s="1171"/>
      <c r="AQ1" s="1171"/>
    </row>
    <row r="2" spans="1:43" ht="45.75">
      <c r="A2" s="1170" t="s">
        <v>1272</v>
      </c>
      <c r="B2" s="1172" t="s">
        <v>1273</v>
      </c>
      <c r="C2" s="1173" t="s">
        <v>1179</v>
      </c>
      <c r="D2" s="1172" t="s">
        <v>1273</v>
      </c>
      <c r="E2" s="1173" t="s">
        <v>1179</v>
      </c>
      <c r="F2" s="1172" t="s">
        <v>1273</v>
      </c>
      <c r="G2" s="1173" t="s">
        <v>1179</v>
      </c>
      <c r="H2" s="1172" t="s">
        <v>1273</v>
      </c>
      <c r="I2" s="1173" t="s">
        <v>1179</v>
      </c>
      <c r="J2" s="1172" t="s">
        <v>1273</v>
      </c>
      <c r="K2" s="1173" t="s">
        <v>1179</v>
      </c>
      <c r="L2" s="1172" t="s">
        <v>1273</v>
      </c>
      <c r="M2" s="1173" t="s">
        <v>1179</v>
      </c>
      <c r="N2" s="1172" t="s">
        <v>1273</v>
      </c>
      <c r="O2" s="1173" t="s">
        <v>1179</v>
      </c>
      <c r="P2" s="1172" t="s">
        <v>1273</v>
      </c>
      <c r="Q2" s="1173" t="s">
        <v>1179</v>
      </c>
      <c r="R2" s="1172" t="s">
        <v>1273</v>
      </c>
      <c r="S2" s="1173" t="s">
        <v>1179</v>
      </c>
      <c r="T2" s="1172" t="s">
        <v>1273</v>
      </c>
      <c r="U2" s="1173" t="s">
        <v>1179</v>
      </c>
      <c r="V2" s="1172" t="s">
        <v>1273</v>
      </c>
      <c r="W2" s="1173" t="s">
        <v>1179</v>
      </c>
      <c r="X2" s="1172" t="s">
        <v>1273</v>
      </c>
      <c r="Y2" s="1173" t="s">
        <v>1179</v>
      </c>
      <c r="Z2" s="1172" t="s">
        <v>1274</v>
      </c>
      <c r="AA2" s="1173" t="s">
        <v>1179</v>
      </c>
      <c r="AB2" s="1173" t="s">
        <v>1275</v>
      </c>
      <c r="AC2" s="1174" t="s">
        <v>1276</v>
      </c>
      <c r="AD2" s="1175" t="s">
        <v>1277</v>
      </c>
      <c r="AE2" s="1176" t="s">
        <v>1278</v>
      </c>
      <c r="AM2" s="1171"/>
      <c r="AN2" s="1171"/>
      <c r="AO2" s="1171"/>
      <c r="AP2" s="1171"/>
      <c r="AQ2" s="1171"/>
    </row>
    <row r="3" spans="1:43" ht="18.75">
      <c r="A3" s="1170" t="s">
        <v>1180</v>
      </c>
      <c r="B3" s="1177">
        <v>4189186</v>
      </c>
      <c r="C3" s="1177">
        <f>SUM(C4:C10)</f>
        <v>4930398.333333333</v>
      </c>
      <c r="D3" s="1177">
        <v>4189186</v>
      </c>
      <c r="E3" s="1177">
        <f>SUM(E4:E10)</f>
        <v>4930398.333333333</v>
      </c>
      <c r="F3" s="1177">
        <v>4189186</v>
      </c>
      <c r="G3" s="1177">
        <f>SUM(G4:G10)</f>
        <v>4930398.333333333</v>
      </c>
      <c r="H3" s="1177">
        <v>4189186</v>
      </c>
      <c r="I3" s="1177">
        <f>SUM(I4:I10)</f>
        <v>4930398.333333333</v>
      </c>
      <c r="J3" s="1177">
        <v>4189186</v>
      </c>
      <c r="K3" s="1177">
        <f>SUM(K4:K10)</f>
        <v>4930398.333333333</v>
      </c>
      <c r="L3" s="1177">
        <v>4189186</v>
      </c>
      <c r="M3" s="1177">
        <f>SUM(M4:M10)</f>
        <v>4930398.333333333</v>
      </c>
      <c r="N3" s="1177">
        <v>4189186</v>
      </c>
      <c r="O3" s="1177">
        <f>SUM(O4:O10)</f>
        <v>4930398.333333333</v>
      </c>
      <c r="P3" s="1177">
        <v>4189186</v>
      </c>
      <c r="Q3" s="1177">
        <f>SUM(Q4:Q10)</f>
        <v>4930398.333333333</v>
      </c>
      <c r="R3" s="1177">
        <v>4189186</v>
      </c>
      <c r="S3" s="1177">
        <f>SUM(S4:S10)</f>
        <v>4930398.333333333</v>
      </c>
      <c r="T3" s="1177">
        <v>4189186</v>
      </c>
      <c r="U3" s="1177">
        <f>SUM(U4:U10)</f>
        <v>4930398.333333333</v>
      </c>
      <c r="V3" s="1177">
        <v>4189186</v>
      </c>
      <c r="W3" s="1177">
        <f>SUM(W4:W10)</f>
        <v>4930398.333333333</v>
      </c>
      <c r="X3" s="1177">
        <v>4189186</v>
      </c>
      <c r="Y3" s="1177">
        <f>SUM(Y4:Y10)</f>
        <v>4930398.333333333</v>
      </c>
      <c r="Z3" s="1177">
        <f>B3+D3+F3+H3+J3+L3+N3+P3+R3+T3+V3+X3</f>
        <v>50270232</v>
      </c>
      <c r="AA3" s="1177">
        <f>AA4+AA5+AA6+AA7+AA8+AA9+AA10+2</f>
        <v>59164782</v>
      </c>
      <c r="AB3" s="1177">
        <f>AA3-Z3</f>
        <v>8894550</v>
      </c>
      <c r="AC3" s="1177">
        <f>AC4+AC5+AC6+AC7+AC8+AC9+AC10</f>
        <v>7072070</v>
      </c>
      <c r="AD3" s="1177"/>
      <c r="AE3" s="1177">
        <f>AB3-AC3-AD3</f>
        <v>1822480</v>
      </c>
      <c r="AM3" s="1171"/>
      <c r="AN3" s="1171"/>
      <c r="AO3" s="1171"/>
      <c r="AP3" s="1171"/>
      <c r="AQ3" s="1171"/>
    </row>
    <row r="4" spans="1:43" ht="18.75">
      <c r="A4" s="1170" t="s">
        <v>1181</v>
      </c>
      <c r="B4" s="1177">
        <v>573563</v>
      </c>
      <c r="C4" s="1177">
        <f t="shared" ref="C4:C24" si="0">AA4/12</f>
        <v>440687.91666666669</v>
      </c>
      <c r="D4" s="1177">
        <v>573563</v>
      </c>
      <c r="E4" s="1177">
        <f t="shared" ref="E4:E24" si="1">AA4/12</f>
        <v>440687.91666666669</v>
      </c>
      <c r="F4" s="1177">
        <v>573563</v>
      </c>
      <c r="G4" s="1177">
        <f t="shared" ref="G4:G24" si="2">AA4/12</f>
        <v>440687.91666666669</v>
      </c>
      <c r="H4" s="1177">
        <v>573563</v>
      </c>
      <c r="I4" s="1177">
        <f t="shared" ref="I4:I24" si="3">AA4/12</f>
        <v>440687.91666666669</v>
      </c>
      <c r="J4" s="1177">
        <v>573563</v>
      </c>
      <c r="K4" s="1177">
        <f t="shared" ref="K4:K24" si="4">AA4/12</f>
        <v>440687.91666666669</v>
      </c>
      <c r="L4" s="1177">
        <v>573563</v>
      </c>
      <c r="M4" s="1177">
        <f t="shared" ref="M4:M24" si="5">AA4/12</f>
        <v>440687.91666666669</v>
      </c>
      <c r="N4" s="1177">
        <v>573563</v>
      </c>
      <c r="O4" s="1177">
        <f t="shared" ref="O4:O24" si="6">AA4/12</f>
        <v>440687.91666666669</v>
      </c>
      <c r="P4" s="1177">
        <v>573563</v>
      </c>
      <c r="Q4" s="1177">
        <f t="shared" ref="Q4:Q24" si="7">AA4/12</f>
        <v>440687.91666666669</v>
      </c>
      <c r="R4" s="1177">
        <v>573563</v>
      </c>
      <c r="S4" s="1177">
        <f t="shared" ref="S4:S24" si="8">AA4/12</f>
        <v>440687.91666666669</v>
      </c>
      <c r="T4" s="1177">
        <v>573563</v>
      </c>
      <c r="U4" s="1177">
        <f t="shared" ref="U4:U24" si="9">AA4/12</f>
        <v>440687.91666666669</v>
      </c>
      <c r="V4" s="1177">
        <v>573563</v>
      </c>
      <c r="W4" s="1177">
        <f t="shared" ref="W4:W24" si="10">AA4/12</f>
        <v>440687.91666666669</v>
      </c>
      <c r="X4" s="1177">
        <v>573563</v>
      </c>
      <c r="Y4" s="1177">
        <f t="shared" ref="Y4:Y24" si="11">AA4/12</f>
        <v>440687.91666666669</v>
      </c>
      <c r="Z4" s="1177">
        <f>B4+D4+F4+H4+J4+L4+N4+P4+R4+T4+V4+X4+5</f>
        <v>6882761</v>
      </c>
      <c r="AA4" s="1177">
        <v>5288255</v>
      </c>
      <c r="AB4" s="1177">
        <f>AA4-Z4</f>
        <v>-1594506</v>
      </c>
      <c r="AC4" s="1177">
        <v>8000</v>
      </c>
      <c r="AD4" s="1177"/>
      <c r="AE4" s="1177">
        <f t="shared" ref="AE4:AE25" si="12">AB4-AC4-AD4</f>
        <v>-1602506</v>
      </c>
      <c r="AM4" s="1171"/>
      <c r="AN4" s="1171"/>
      <c r="AO4" s="1171"/>
      <c r="AP4" s="1171"/>
      <c r="AQ4" s="1171"/>
    </row>
    <row r="5" spans="1:43" ht="18.75">
      <c r="A5" s="1170" t="s">
        <v>1182</v>
      </c>
      <c r="B5" s="1177">
        <v>520629</v>
      </c>
      <c r="C5" s="1177">
        <f t="shared" si="0"/>
        <v>679951.75</v>
      </c>
      <c r="D5" s="1177">
        <v>520629</v>
      </c>
      <c r="E5" s="1177">
        <f t="shared" si="1"/>
        <v>679951.75</v>
      </c>
      <c r="F5" s="1177">
        <v>520629</v>
      </c>
      <c r="G5" s="1177">
        <f t="shared" si="2"/>
        <v>679951.75</v>
      </c>
      <c r="H5" s="1177">
        <v>520629</v>
      </c>
      <c r="I5" s="1177">
        <f t="shared" si="3"/>
        <v>679951.75</v>
      </c>
      <c r="J5" s="1177">
        <v>520629</v>
      </c>
      <c r="K5" s="1177">
        <f t="shared" si="4"/>
        <v>679951.75</v>
      </c>
      <c r="L5" s="1177">
        <v>520629</v>
      </c>
      <c r="M5" s="1177">
        <f t="shared" si="5"/>
        <v>679951.75</v>
      </c>
      <c r="N5" s="1177">
        <v>520629</v>
      </c>
      <c r="O5" s="1177">
        <f t="shared" si="6"/>
        <v>679951.75</v>
      </c>
      <c r="P5" s="1177">
        <v>520629</v>
      </c>
      <c r="Q5" s="1177">
        <f t="shared" si="7"/>
        <v>679951.75</v>
      </c>
      <c r="R5" s="1177">
        <v>520629</v>
      </c>
      <c r="S5" s="1177">
        <f t="shared" si="8"/>
        <v>679951.75</v>
      </c>
      <c r="T5" s="1177">
        <v>520629</v>
      </c>
      <c r="U5" s="1177">
        <f t="shared" si="9"/>
        <v>679951.75</v>
      </c>
      <c r="V5" s="1177">
        <v>520629</v>
      </c>
      <c r="W5" s="1177">
        <f t="shared" si="10"/>
        <v>679951.75</v>
      </c>
      <c r="X5" s="1177">
        <v>520629</v>
      </c>
      <c r="Y5" s="1177">
        <f t="shared" si="11"/>
        <v>679951.75</v>
      </c>
      <c r="Z5" s="1177">
        <f>B5+D5+F5+H5+J5+L5+N5+P5+R5+T5+V5+X5+4</f>
        <v>6247552</v>
      </c>
      <c r="AA5" s="1177">
        <v>8159421</v>
      </c>
      <c r="AB5" s="1177">
        <f t="shared" ref="AB5:AB25" si="13">AA5-Z5</f>
        <v>1911869</v>
      </c>
      <c r="AC5" s="1177">
        <v>325986</v>
      </c>
      <c r="AD5" s="1177"/>
      <c r="AE5" s="1177">
        <f t="shared" si="12"/>
        <v>1585883</v>
      </c>
      <c r="AM5" s="1171"/>
      <c r="AN5" s="1171"/>
      <c r="AO5" s="1171"/>
      <c r="AP5" s="1171"/>
      <c r="AQ5" s="1171"/>
    </row>
    <row r="6" spans="1:43" ht="18.75">
      <c r="A6" s="1170" t="s">
        <v>469</v>
      </c>
      <c r="B6" s="1177">
        <v>374817</v>
      </c>
      <c r="C6" s="1177">
        <f t="shared" si="0"/>
        <v>568908.33333333337</v>
      </c>
      <c r="D6" s="1177">
        <v>374817</v>
      </c>
      <c r="E6" s="1177">
        <f t="shared" si="1"/>
        <v>568908.33333333337</v>
      </c>
      <c r="F6" s="1177">
        <v>374817</v>
      </c>
      <c r="G6" s="1177">
        <f t="shared" si="2"/>
        <v>568908.33333333337</v>
      </c>
      <c r="H6" s="1177">
        <v>374817</v>
      </c>
      <c r="I6" s="1177">
        <f t="shared" si="3"/>
        <v>568908.33333333337</v>
      </c>
      <c r="J6" s="1177">
        <v>374817</v>
      </c>
      <c r="K6" s="1177">
        <f t="shared" si="4"/>
        <v>568908.33333333337</v>
      </c>
      <c r="L6" s="1177">
        <v>374817</v>
      </c>
      <c r="M6" s="1177">
        <f t="shared" si="5"/>
        <v>568908.33333333337</v>
      </c>
      <c r="N6" s="1177">
        <v>374817</v>
      </c>
      <c r="O6" s="1177">
        <f t="shared" si="6"/>
        <v>568908.33333333337</v>
      </c>
      <c r="P6" s="1177">
        <v>374817</v>
      </c>
      <c r="Q6" s="1177">
        <f t="shared" si="7"/>
        <v>568908.33333333337</v>
      </c>
      <c r="R6" s="1177">
        <v>374817</v>
      </c>
      <c r="S6" s="1177">
        <f t="shared" si="8"/>
        <v>568908.33333333337</v>
      </c>
      <c r="T6" s="1177">
        <v>374817</v>
      </c>
      <c r="U6" s="1177">
        <f t="shared" si="9"/>
        <v>568908.33333333337</v>
      </c>
      <c r="V6" s="1177">
        <v>374817</v>
      </c>
      <c r="W6" s="1177">
        <f t="shared" si="10"/>
        <v>568908.33333333337</v>
      </c>
      <c r="X6" s="1177">
        <v>374817</v>
      </c>
      <c r="Y6" s="1177">
        <f t="shared" si="11"/>
        <v>568908.33333333337</v>
      </c>
      <c r="Z6" s="1177">
        <f>B6+D6+F6+H6+J6+L6+N6+P6+R6+T6+V6+X6+5</f>
        <v>4497809</v>
      </c>
      <c r="AA6" s="1177">
        <v>6826900</v>
      </c>
      <c r="AB6" s="1177">
        <f t="shared" si="13"/>
        <v>2329091</v>
      </c>
      <c r="AC6" s="1177">
        <v>4774598</v>
      </c>
      <c r="AD6" s="1177"/>
      <c r="AE6" s="1177">
        <f t="shared" si="12"/>
        <v>-2445507</v>
      </c>
      <c r="AM6" s="1171"/>
      <c r="AN6" s="1171"/>
      <c r="AO6" s="1171"/>
      <c r="AP6" s="1171"/>
      <c r="AQ6" s="1171"/>
    </row>
    <row r="7" spans="1:43" ht="18.75">
      <c r="A7" s="1170" t="s">
        <v>1183</v>
      </c>
      <c r="B7" s="1177">
        <v>424980</v>
      </c>
      <c r="C7" s="1177">
        <f>AA7/12</f>
        <v>618322.66666666663</v>
      </c>
      <c r="D7" s="1177">
        <v>424980</v>
      </c>
      <c r="E7" s="1177">
        <f t="shared" si="1"/>
        <v>618322.66666666663</v>
      </c>
      <c r="F7" s="1177">
        <v>424980</v>
      </c>
      <c r="G7" s="1177">
        <f t="shared" si="2"/>
        <v>618322.66666666663</v>
      </c>
      <c r="H7" s="1177">
        <v>424980</v>
      </c>
      <c r="I7" s="1177">
        <f t="shared" si="3"/>
        <v>618322.66666666663</v>
      </c>
      <c r="J7" s="1177">
        <v>424980</v>
      </c>
      <c r="K7" s="1177">
        <f t="shared" si="4"/>
        <v>618322.66666666663</v>
      </c>
      <c r="L7" s="1177">
        <v>424980</v>
      </c>
      <c r="M7" s="1177">
        <f t="shared" si="5"/>
        <v>618322.66666666663</v>
      </c>
      <c r="N7" s="1177">
        <v>424980</v>
      </c>
      <c r="O7" s="1177">
        <f t="shared" si="6"/>
        <v>618322.66666666663</v>
      </c>
      <c r="P7" s="1177">
        <v>424980</v>
      </c>
      <c r="Q7" s="1177">
        <f t="shared" si="7"/>
        <v>618322.66666666663</v>
      </c>
      <c r="R7" s="1177">
        <v>424980</v>
      </c>
      <c r="S7" s="1177">
        <f t="shared" si="8"/>
        <v>618322.66666666663</v>
      </c>
      <c r="T7" s="1177">
        <v>424980</v>
      </c>
      <c r="U7" s="1177">
        <f t="shared" si="9"/>
        <v>618322.66666666663</v>
      </c>
      <c r="V7" s="1177">
        <v>424980</v>
      </c>
      <c r="W7" s="1177">
        <f t="shared" si="10"/>
        <v>618322.66666666663</v>
      </c>
      <c r="X7" s="1177">
        <v>424980</v>
      </c>
      <c r="Y7" s="1177">
        <f t="shared" si="11"/>
        <v>618322.66666666663</v>
      </c>
      <c r="Z7" s="1177">
        <f>B7+D7+F7+H7+J7+L7+N7+P7+R7+T7+V7+X7-5</f>
        <v>5099755</v>
      </c>
      <c r="AA7" s="1177">
        <v>7419872</v>
      </c>
      <c r="AB7" s="1177">
        <f t="shared" si="13"/>
        <v>2320117</v>
      </c>
      <c r="AC7" s="1177">
        <v>883252</v>
      </c>
      <c r="AD7" s="1177"/>
      <c r="AE7" s="1177">
        <f t="shared" si="12"/>
        <v>1436865</v>
      </c>
      <c r="AM7" s="1171"/>
      <c r="AN7" s="1171"/>
      <c r="AO7" s="1171"/>
      <c r="AP7" s="1171"/>
      <c r="AQ7" s="1171"/>
    </row>
    <row r="8" spans="1:43" ht="18.75">
      <c r="A8" s="1170" t="s">
        <v>1184</v>
      </c>
      <c r="B8" s="1177">
        <v>1017216</v>
      </c>
      <c r="C8" s="1177">
        <f t="shared" si="0"/>
        <v>617532</v>
      </c>
      <c r="D8" s="1177">
        <v>1017216</v>
      </c>
      <c r="E8" s="1177">
        <f t="shared" si="1"/>
        <v>617532</v>
      </c>
      <c r="F8" s="1177">
        <v>1017216</v>
      </c>
      <c r="G8" s="1177">
        <f t="shared" si="2"/>
        <v>617532</v>
      </c>
      <c r="H8" s="1177">
        <v>1017216</v>
      </c>
      <c r="I8" s="1177">
        <f t="shared" si="3"/>
        <v>617532</v>
      </c>
      <c r="J8" s="1177">
        <v>1017216</v>
      </c>
      <c r="K8" s="1177">
        <f t="shared" si="4"/>
        <v>617532</v>
      </c>
      <c r="L8" s="1177">
        <v>1017216</v>
      </c>
      <c r="M8" s="1177">
        <f t="shared" si="5"/>
        <v>617532</v>
      </c>
      <c r="N8" s="1177">
        <v>1017216</v>
      </c>
      <c r="O8" s="1177">
        <f t="shared" si="6"/>
        <v>617532</v>
      </c>
      <c r="P8" s="1177">
        <v>1017216</v>
      </c>
      <c r="Q8" s="1177">
        <f t="shared" si="7"/>
        <v>617532</v>
      </c>
      <c r="R8" s="1177">
        <v>1017216</v>
      </c>
      <c r="S8" s="1177">
        <f t="shared" si="8"/>
        <v>617532</v>
      </c>
      <c r="T8" s="1177">
        <v>1017216</v>
      </c>
      <c r="U8" s="1177">
        <f t="shared" si="9"/>
        <v>617532</v>
      </c>
      <c r="V8" s="1177">
        <v>1017216</v>
      </c>
      <c r="W8" s="1177">
        <f t="shared" si="10"/>
        <v>617532</v>
      </c>
      <c r="X8" s="1177">
        <v>1017216</v>
      </c>
      <c r="Y8" s="1177">
        <f t="shared" si="11"/>
        <v>617532</v>
      </c>
      <c r="Z8" s="1177">
        <f>B8+D8+F8+H8+J8+L8+N8+P8+R8+T8+V8+X8+3</f>
        <v>12206595</v>
      </c>
      <c r="AA8" s="1177">
        <v>7410384</v>
      </c>
      <c r="AB8" s="1177">
        <f t="shared" si="13"/>
        <v>-4796211</v>
      </c>
      <c r="AC8" s="1177">
        <v>13738</v>
      </c>
      <c r="AD8" s="1177"/>
      <c r="AE8" s="1177">
        <f t="shared" si="12"/>
        <v>-4809949</v>
      </c>
      <c r="AM8" s="1171"/>
      <c r="AN8" s="1171"/>
      <c r="AO8" s="1171"/>
      <c r="AP8" s="1171"/>
      <c r="AQ8" s="1171"/>
    </row>
    <row r="9" spans="1:43" ht="18.75">
      <c r="A9" s="1170" t="s">
        <v>1185</v>
      </c>
      <c r="B9" s="1177">
        <v>1159822</v>
      </c>
      <c r="C9" s="1177">
        <f t="shared" si="0"/>
        <v>1570618.75</v>
      </c>
      <c r="D9" s="1177">
        <v>1159822</v>
      </c>
      <c r="E9" s="1177">
        <f t="shared" si="1"/>
        <v>1570618.75</v>
      </c>
      <c r="F9" s="1177">
        <v>1159822</v>
      </c>
      <c r="G9" s="1177">
        <f t="shared" si="2"/>
        <v>1570618.75</v>
      </c>
      <c r="H9" s="1177">
        <v>1159822</v>
      </c>
      <c r="I9" s="1177">
        <f t="shared" si="3"/>
        <v>1570618.75</v>
      </c>
      <c r="J9" s="1177">
        <v>1159822</v>
      </c>
      <c r="K9" s="1177">
        <f t="shared" si="4"/>
        <v>1570618.75</v>
      </c>
      <c r="L9" s="1177">
        <v>1159822</v>
      </c>
      <c r="M9" s="1177">
        <f t="shared" si="5"/>
        <v>1570618.75</v>
      </c>
      <c r="N9" s="1177">
        <v>1159822</v>
      </c>
      <c r="O9" s="1177">
        <f t="shared" si="6"/>
        <v>1570618.75</v>
      </c>
      <c r="P9" s="1177">
        <v>1159822</v>
      </c>
      <c r="Q9" s="1177">
        <f t="shared" si="7"/>
        <v>1570618.75</v>
      </c>
      <c r="R9" s="1177">
        <v>1159822</v>
      </c>
      <c r="S9" s="1177">
        <f t="shared" si="8"/>
        <v>1570618.75</v>
      </c>
      <c r="T9" s="1177">
        <v>1159822</v>
      </c>
      <c r="U9" s="1177">
        <f t="shared" si="9"/>
        <v>1570618.75</v>
      </c>
      <c r="V9" s="1177">
        <v>1159822</v>
      </c>
      <c r="W9" s="1177">
        <f t="shared" si="10"/>
        <v>1570618.75</v>
      </c>
      <c r="X9" s="1177">
        <v>1159822</v>
      </c>
      <c r="Y9" s="1177">
        <f t="shared" si="11"/>
        <v>1570618.75</v>
      </c>
      <c r="Z9" s="1177">
        <f>B9+D9+F9+H9+J9+L9+N9+P9+R9+T9+V9+X9+6</f>
        <v>13917870</v>
      </c>
      <c r="AA9" s="1177">
        <v>18847425</v>
      </c>
      <c r="AB9" s="1177">
        <f t="shared" si="13"/>
        <v>4929555</v>
      </c>
      <c r="AC9" s="1177">
        <v>1066496</v>
      </c>
      <c r="AD9" s="1177"/>
      <c r="AE9" s="1177">
        <f t="shared" si="12"/>
        <v>3863059</v>
      </c>
      <c r="AM9" s="1171"/>
      <c r="AN9" s="1171"/>
      <c r="AO9" s="1171"/>
      <c r="AP9" s="1171"/>
      <c r="AQ9" s="1171"/>
    </row>
    <row r="10" spans="1:43" ht="18.75">
      <c r="A10" s="1170" t="s">
        <v>1186</v>
      </c>
      <c r="B10" s="1177">
        <v>118157</v>
      </c>
      <c r="C10" s="1177">
        <f t="shared" si="0"/>
        <v>434376.91666666669</v>
      </c>
      <c r="D10" s="1177">
        <v>118157</v>
      </c>
      <c r="E10" s="1177">
        <f t="shared" si="1"/>
        <v>434376.91666666669</v>
      </c>
      <c r="F10" s="1177">
        <v>118157</v>
      </c>
      <c r="G10" s="1177">
        <f t="shared" si="2"/>
        <v>434376.91666666669</v>
      </c>
      <c r="H10" s="1177">
        <v>118157</v>
      </c>
      <c r="I10" s="1177">
        <f t="shared" si="3"/>
        <v>434376.91666666669</v>
      </c>
      <c r="J10" s="1177">
        <v>118157</v>
      </c>
      <c r="K10" s="1177">
        <f t="shared" si="4"/>
        <v>434376.91666666669</v>
      </c>
      <c r="L10" s="1177">
        <v>118157</v>
      </c>
      <c r="M10" s="1177">
        <f t="shared" si="5"/>
        <v>434376.91666666669</v>
      </c>
      <c r="N10" s="1177">
        <v>118157</v>
      </c>
      <c r="O10" s="1177">
        <f t="shared" si="6"/>
        <v>434376.91666666669</v>
      </c>
      <c r="P10" s="1177">
        <v>118157</v>
      </c>
      <c r="Q10" s="1177">
        <f t="shared" si="7"/>
        <v>434376.91666666669</v>
      </c>
      <c r="R10" s="1177">
        <v>118157</v>
      </c>
      <c r="S10" s="1177">
        <f t="shared" si="8"/>
        <v>434376.91666666669</v>
      </c>
      <c r="T10" s="1177">
        <v>118157</v>
      </c>
      <c r="U10" s="1177">
        <f t="shared" si="9"/>
        <v>434376.91666666669</v>
      </c>
      <c r="V10" s="1177">
        <v>118157</v>
      </c>
      <c r="W10" s="1177">
        <f t="shared" si="10"/>
        <v>434376.91666666669</v>
      </c>
      <c r="X10" s="1177">
        <v>118157</v>
      </c>
      <c r="Y10" s="1177">
        <f t="shared" si="11"/>
        <v>434376.91666666669</v>
      </c>
      <c r="Z10" s="1177">
        <f>B10+D10+F10+H10+J10+L10+N10+P10+R10+T10+V10+X10+5</f>
        <v>1417889</v>
      </c>
      <c r="AA10" s="1177">
        <v>5212523</v>
      </c>
      <c r="AB10" s="1177">
        <f t="shared" si="13"/>
        <v>3794634</v>
      </c>
      <c r="AC10" s="1177">
        <v>0</v>
      </c>
      <c r="AD10" s="1177">
        <v>3234690</v>
      </c>
      <c r="AE10" s="1177">
        <f t="shared" si="12"/>
        <v>559944</v>
      </c>
      <c r="AM10" s="1171"/>
      <c r="AN10" s="1171"/>
      <c r="AO10" s="1171"/>
      <c r="AP10" s="1171"/>
      <c r="AQ10" s="1171"/>
    </row>
    <row r="11" spans="1:43" ht="18.75">
      <c r="A11" s="1170" t="s">
        <v>1279</v>
      </c>
      <c r="B11" s="1177">
        <v>0</v>
      </c>
      <c r="C11" s="1177">
        <f t="shared" si="0"/>
        <v>53998.583333333336</v>
      </c>
      <c r="D11" s="1177">
        <v>0</v>
      </c>
      <c r="E11" s="1177">
        <f t="shared" si="1"/>
        <v>53998.583333333336</v>
      </c>
      <c r="F11" s="1177">
        <v>0</v>
      </c>
      <c r="G11" s="1177">
        <f t="shared" si="2"/>
        <v>53998.583333333336</v>
      </c>
      <c r="H11" s="1177">
        <v>0</v>
      </c>
      <c r="I11" s="1177">
        <f t="shared" si="3"/>
        <v>53998.583333333336</v>
      </c>
      <c r="J11" s="1177">
        <v>0</v>
      </c>
      <c r="K11" s="1177">
        <f t="shared" si="4"/>
        <v>53998.583333333336</v>
      </c>
      <c r="L11" s="1177">
        <v>0</v>
      </c>
      <c r="M11" s="1177">
        <f t="shared" si="5"/>
        <v>53998.583333333336</v>
      </c>
      <c r="N11" s="1177">
        <v>0</v>
      </c>
      <c r="O11" s="1177">
        <f t="shared" si="6"/>
        <v>53998.583333333336</v>
      </c>
      <c r="P11" s="1177">
        <v>0</v>
      </c>
      <c r="Q11" s="1177">
        <f t="shared" si="7"/>
        <v>53998.583333333336</v>
      </c>
      <c r="R11" s="1177">
        <v>0</v>
      </c>
      <c r="S11" s="1177">
        <f t="shared" si="8"/>
        <v>53998.583333333336</v>
      </c>
      <c r="T11" s="1177">
        <v>0</v>
      </c>
      <c r="U11" s="1177">
        <f t="shared" si="9"/>
        <v>53998.583333333336</v>
      </c>
      <c r="V11" s="1177">
        <v>0</v>
      </c>
      <c r="W11" s="1177">
        <f t="shared" si="10"/>
        <v>53998.583333333336</v>
      </c>
      <c r="X11" s="1177">
        <v>0</v>
      </c>
      <c r="Y11" s="1177">
        <f t="shared" si="11"/>
        <v>53998.583333333336</v>
      </c>
      <c r="Z11" s="1177">
        <f>B11+D11+F11+H11+J11+L11+N11+P11+R11+T11+V11+X11</f>
        <v>0</v>
      </c>
      <c r="AA11" s="1177">
        <v>647983</v>
      </c>
      <c r="AB11" s="1177">
        <f t="shared" si="13"/>
        <v>647983</v>
      </c>
      <c r="AC11" s="1177">
        <v>75000</v>
      </c>
      <c r="AD11" s="1177"/>
      <c r="AE11" s="1177">
        <f t="shared" si="12"/>
        <v>572983</v>
      </c>
      <c r="AM11" s="1171"/>
      <c r="AN11" s="1171"/>
      <c r="AO11" s="1171"/>
      <c r="AP11" s="1171"/>
      <c r="AQ11" s="1171"/>
    </row>
    <row r="12" spans="1:43" ht="18.75">
      <c r="A12" s="1170" t="s">
        <v>1280</v>
      </c>
      <c r="B12" s="1177">
        <v>167525</v>
      </c>
      <c r="C12" s="1177">
        <f t="shared" si="0"/>
        <v>656237.33333333337</v>
      </c>
      <c r="D12" s="1177">
        <v>167525</v>
      </c>
      <c r="E12" s="1177">
        <f t="shared" si="1"/>
        <v>656237.33333333337</v>
      </c>
      <c r="F12" s="1177">
        <v>167525</v>
      </c>
      <c r="G12" s="1177">
        <f t="shared" si="2"/>
        <v>656237.33333333337</v>
      </c>
      <c r="H12" s="1177">
        <v>167525</v>
      </c>
      <c r="I12" s="1177">
        <f t="shared" si="3"/>
        <v>656237.33333333337</v>
      </c>
      <c r="J12" s="1177">
        <v>167525</v>
      </c>
      <c r="K12" s="1177">
        <f t="shared" si="4"/>
        <v>656237.33333333337</v>
      </c>
      <c r="L12" s="1177">
        <v>167525</v>
      </c>
      <c r="M12" s="1177">
        <f t="shared" si="5"/>
        <v>656237.33333333337</v>
      </c>
      <c r="N12" s="1177">
        <v>167525</v>
      </c>
      <c r="O12" s="1177">
        <f t="shared" si="6"/>
        <v>656237.33333333337</v>
      </c>
      <c r="P12" s="1177">
        <v>167525</v>
      </c>
      <c r="Q12" s="1177">
        <f t="shared" si="7"/>
        <v>656237.33333333337</v>
      </c>
      <c r="R12" s="1177">
        <v>167525</v>
      </c>
      <c r="S12" s="1177">
        <f t="shared" si="8"/>
        <v>656237.33333333337</v>
      </c>
      <c r="T12" s="1177">
        <v>167525</v>
      </c>
      <c r="U12" s="1177">
        <f t="shared" si="9"/>
        <v>656237.33333333337</v>
      </c>
      <c r="V12" s="1177">
        <v>167525</v>
      </c>
      <c r="W12" s="1177">
        <f t="shared" si="10"/>
        <v>656237.33333333337</v>
      </c>
      <c r="X12" s="1177">
        <v>167525</v>
      </c>
      <c r="Y12" s="1177">
        <f t="shared" si="11"/>
        <v>656237.33333333337</v>
      </c>
      <c r="Z12" s="1177">
        <f>B12+D12+F12+H12+J12+L12+N12+P12+R12+T12+V12+X12-4</f>
        <v>2010296</v>
      </c>
      <c r="AA12" s="1177">
        <v>7874848</v>
      </c>
      <c r="AB12" s="1177">
        <f t="shared" si="13"/>
        <v>5864552</v>
      </c>
      <c r="AC12" s="1177">
        <v>7429975</v>
      </c>
      <c r="AD12" s="1177">
        <v>2412117</v>
      </c>
      <c r="AE12" s="1177">
        <f t="shared" si="12"/>
        <v>-3977540</v>
      </c>
      <c r="AM12" s="1171"/>
      <c r="AN12" s="1171"/>
      <c r="AO12" s="1171"/>
      <c r="AP12" s="1171"/>
      <c r="AQ12" s="1171"/>
    </row>
    <row r="13" spans="1:43" ht="18.75">
      <c r="A13" s="1170" t="s">
        <v>1187</v>
      </c>
      <c r="B13" s="1177">
        <v>9015582</v>
      </c>
      <c r="C13" s="1177">
        <f>SUM(C14:C15)</f>
        <v>10521917</v>
      </c>
      <c r="D13" s="1177">
        <v>9015582</v>
      </c>
      <c r="E13" s="1177">
        <f>SUM(E14:E15)</f>
        <v>10521917</v>
      </c>
      <c r="F13" s="1177">
        <v>9015582</v>
      </c>
      <c r="G13" s="1177">
        <f>SUM(G14:G15)</f>
        <v>10521917</v>
      </c>
      <c r="H13" s="1177">
        <v>8015582</v>
      </c>
      <c r="I13" s="1177">
        <f>SUM(I14:I15)</f>
        <v>9521916.9999999981</v>
      </c>
      <c r="J13" s="1177">
        <v>8015582</v>
      </c>
      <c r="K13" s="1177">
        <f>SUM(K14:K15)</f>
        <v>9521916.9999999981</v>
      </c>
      <c r="L13" s="1177">
        <v>7015582</v>
      </c>
      <c r="M13" s="1177">
        <f>SUM(M14:M15)</f>
        <v>8521916.9999999981</v>
      </c>
      <c r="N13" s="1177">
        <v>7015582</v>
      </c>
      <c r="O13" s="1177">
        <f>SUM(O14:O15)</f>
        <v>8521916.9999999981</v>
      </c>
      <c r="P13" s="1177">
        <v>7015582</v>
      </c>
      <c r="Q13" s="1177">
        <f>SUM(Q14:Q15)</f>
        <v>8521916.9999999981</v>
      </c>
      <c r="R13" s="1177">
        <v>7015582</v>
      </c>
      <c r="S13" s="1177">
        <f>SUM(S14:S15)</f>
        <v>8521916.9999999981</v>
      </c>
      <c r="T13" s="1177">
        <v>9015582</v>
      </c>
      <c r="U13" s="1177">
        <f>SUM(U14:U15)</f>
        <v>10521917</v>
      </c>
      <c r="V13" s="1177">
        <v>9015582</v>
      </c>
      <c r="W13" s="1177">
        <f>SUM(W14:W15)</f>
        <v>10521917</v>
      </c>
      <c r="X13" s="1177">
        <v>7015582</v>
      </c>
      <c r="Y13" s="1177">
        <f>SUM(Y14:Y15)</f>
        <v>8521916.9999999981</v>
      </c>
      <c r="Z13" s="1177">
        <f>B13+D13+F13+H13+J13+L13+N13+P13+R13+T13+V13+X13-1</f>
        <v>96186983</v>
      </c>
      <c r="AA13" s="1177">
        <f>AA14+AA15</f>
        <v>109198504</v>
      </c>
      <c r="AB13" s="1177">
        <f t="shared" si="13"/>
        <v>13011521</v>
      </c>
      <c r="AC13" s="1177">
        <f>AC14+AC15-1</f>
        <v>6116049</v>
      </c>
      <c r="AD13" s="1177"/>
      <c r="AE13" s="1177">
        <f t="shared" si="12"/>
        <v>6895472</v>
      </c>
      <c r="AM13" s="1171"/>
      <c r="AN13" s="1171"/>
      <c r="AO13" s="1171"/>
      <c r="AP13" s="1171"/>
      <c r="AQ13" s="1171"/>
    </row>
    <row r="14" spans="1:43" ht="18.75">
      <c r="A14" s="1170" t="s">
        <v>1188</v>
      </c>
      <c r="B14" s="1177">
        <v>359796</v>
      </c>
      <c r="C14" s="1177">
        <f t="shared" si="0"/>
        <v>465320.41666666669</v>
      </c>
      <c r="D14" s="1177">
        <v>359796</v>
      </c>
      <c r="E14" s="1177">
        <f t="shared" si="1"/>
        <v>465320.41666666669</v>
      </c>
      <c r="F14" s="1177">
        <v>359796</v>
      </c>
      <c r="G14" s="1177">
        <f t="shared" si="2"/>
        <v>465320.41666666669</v>
      </c>
      <c r="H14" s="1177">
        <v>359796</v>
      </c>
      <c r="I14" s="1177">
        <f t="shared" si="3"/>
        <v>465320.41666666669</v>
      </c>
      <c r="J14" s="1177">
        <v>359796</v>
      </c>
      <c r="K14" s="1177">
        <f t="shared" si="4"/>
        <v>465320.41666666669</v>
      </c>
      <c r="L14" s="1177">
        <v>359796</v>
      </c>
      <c r="M14" s="1177">
        <f t="shared" si="5"/>
        <v>465320.41666666669</v>
      </c>
      <c r="N14" s="1177">
        <v>359796</v>
      </c>
      <c r="O14" s="1177">
        <f t="shared" si="6"/>
        <v>465320.41666666669</v>
      </c>
      <c r="P14" s="1177">
        <v>359796</v>
      </c>
      <c r="Q14" s="1177">
        <f t="shared" si="7"/>
        <v>465320.41666666669</v>
      </c>
      <c r="R14" s="1177">
        <v>359796</v>
      </c>
      <c r="S14" s="1177">
        <f t="shared" si="8"/>
        <v>465320.41666666669</v>
      </c>
      <c r="T14" s="1177">
        <v>359796</v>
      </c>
      <c r="U14" s="1177">
        <f t="shared" si="9"/>
        <v>465320.41666666669</v>
      </c>
      <c r="V14" s="1177">
        <v>359796</v>
      </c>
      <c r="W14" s="1177">
        <f t="shared" si="10"/>
        <v>465320.41666666669</v>
      </c>
      <c r="X14" s="1177">
        <v>359796</v>
      </c>
      <c r="Y14" s="1177">
        <f t="shared" si="11"/>
        <v>465320.41666666669</v>
      </c>
      <c r="Z14" s="1177">
        <f>B14+D14+F14+H14+J14+L14+N14+P14+R14+T14+V14+X14+3</f>
        <v>4317555</v>
      </c>
      <c r="AA14" s="1177">
        <v>5583845</v>
      </c>
      <c r="AB14" s="1177">
        <f t="shared" si="13"/>
        <v>1266290</v>
      </c>
      <c r="AC14" s="1177">
        <v>1428002</v>
      </c>
      <c r="AD14" s="1177"/>
      <c r="AE14" s="1177">
        <f t="shared" si="12"/>
        <v>-161712</v>
      </c>
      <c r="AM14" s="1171"/>
      <c r="AN14" s="1171"/>
      <c r="AO14" s="1171"/>
      <c r="AP14" s="1171"/>
      <c r="AQ14" s="1171"/>
    </row>
    <row r="15" spans="1:43" ht="37.5">
      <c r="A15" s="1178" t="s">
        <v>1281</v>
      </c>
      <c r="B15" s="1177">
        <v>8655786</v>
      </c>
      <c r="C15" s="1177">
        <f>SUM(C16:C24)</f>
        <v>10056596.583333334</v>
      </c>
      <c r="D15" s="1177">
        <v>8655786</v>
      </c>
      <c r="E15" s="1177">
        <f>SUM(E16:E24)</f>
        <v>10056596.583333334</v>
      </c>
      <c r="F15" s="1177">
        <v>8655786</v>
      </c>
      <c r="G15" s="1177">
        <f>SUM(G16:G24)</f>
        <v>10056596.583333334</v>
      </c>
      <c r="H15" s="1177">
        <v>7655786</v>
      </c>
      <c r="I15" s="1177">
        <f>SUM(I16:I24)</f>
        <v>9056596.5833333321</v>
      </c>
      <c r="J15" s="1177">
        <v>7655786</v>
      </c>
      <c r="K15" s="1177">
        <f>SUM(K16:K24)</f>
        <v>9056596.5833333321</v>
      </c>
      <c r="L15" s="1177">
        <v>6655786</v>
      </c>
      <c r="M15" s="1177">
        <f>SUM(M16:M24)</f>
        <v>8056596.5833333321</v>
      </c>
      <c r="N15" s="1177">
        <v>6655786</v>
      </c>
      <c r="O15" s="1177">
        <f>SUM(O16:O24)</f>
        <v>8056596.5833333321</v>
      </c>
      <c r="P15" s="1177">
        <v>6655786</v>
      </c>
      <c r="Q15" s="1177">
        <f>SUM(Q16:Q24)</f>
        <v>8056596.5833333321</v>
      </c>
      <c r="R15" s="1177">
        <v>6655786</v>
      </c>
      <c r="S15" s="1177">
        <f>SUM(S16:S24)</f>
        <v>8056596.5833333321</v>
      </c>
      <c r="T15" s="1177">
        <v>8655786</v>
      </c>
      <c r="U15" s="1177">
        <f>SUM(U16:U24)</f>
        <v>10056596.583333334</v>
      </c>
      <c r="V15" s="1177">
        <v>8655786</v>
      </c>
      <c r="W15" s="1177">
        <f>SUM(W16:W24)</f>
        <v>10056596.583333334</v>
      </c>
      <c r="X15" s="1177">
        <v>6655786</v>
      </c>
      <c r="Y15" s="1177">
        <f>SUM(Y16:Y24)</f>
        <v>8056596.5833333321</v>
      </c>
      <c r="Z15" s="1177">
        <f>B15+D15+F15+H15+J15+L15+N15+P15+R15+T15+V15+X15-3</f>
        <v>91869429</v>
      </c>
      <c r="AA15" s="1177">
        <f>AA16+AA17+AA18+AA19+AA20+AA21+AA22+AA23+AA24</f>
        <v>103614659</v>
      </c>
      <c r="AB15" s="1177">
        <f t="shared" si="13"/>
        <v>11745230</v>
      </c>
      <c r="AC15" s="1177">
        <f>AC16+AC17+AC18+AC19+AC20+AC21+AC22+AC23+AC24-1</f>
        <v>4688048</v>
      </c>
      <c r="AD15" s="1177"/>
      <c r="AE15" s="1177">
        <f t="shared" si="12"/>
        <v>7057182</v>
      </c>
      <c r="AM15" s="1171"/>
      <c r="AN15" s="1171"/>
      <c r="AO15" s="1171"/>
      <c r="AP15" s="1171"/>
      <c r="AQ15" s="1171"/>
    </row>
    <row r="16" spans="1:43" ht="18.75">
      <c r="A16" s="1178" t="s">
        <v>294</v>
      </c>
      <c r="B16" s="1177">
        <v>813467</v>
      </c>
      <c r="C16" s="1177">
        <f t="shared" si="0"/>
        <v>740040.5</v>
      </c>
      <c r="D16" s="1177">
        <v>813467</v>
      </c>
      <c r="E16" s="1177">
        <f t="shared" si="1"/>
        <v>740040.5</v>
      </c>
      <c r="F16" s="1177">
        <v>813467</v>
      </c>
      <c r="G16" s="1177">
        <f t="shared" si="2"/>
        <v>740040.5</v>
      </c>
      <c r="H16" s="1177">
        <v>813467</v>
      </c>
      <c r="I16" s="1177">
        <f t="shared" si="3"/>
        <v>740040.5</v>
      </c>
      <c r="J16" s="1177">
        <v>813467</v>
      </c>
      <c r="K16" s="1177">
        <f t="shared" si="4"/>
        <v>740040.5</v>
      </c>
      <c r="L16" s="1177">
        <v>813467</v>
      </c>
      <c r="M16" s="1177">
        <f t="shared" si="5"/>
        <v>740040.5</v>
      </c>
      <c r="N16" s="1177">
        <v>813467</v>
      </c>
      <c r="O16" s="1177">
        <f t="shared" si="6"/>
        <v>740040.5</v>
      </c>
      <c r="P16" s="1177">
        <v>813467</v>
      </c>
      <c r="Q16" s="1177">
        <f t="shared" si="7"/>
        <v>740040.5</v>
      </c>
      <c r="R16" s="1177">
        <v>813467</v>
      </c>
      <c r="S16" s="1177">
        <f t="shared" si="8"/>
        <v>740040.5</v>
      </c>
      <c r="T16" s="1177">
        <v>813467</v>
      </c>
      <c r="U16" s="1177">
        <f t="shared" si="9"/>
        <v>740040.5</v>
      </c>
      <c r="V16" s="1177">
        <v>813467</v>
      </c>
      <c r="W16" s="1177">
        <f t="shared" si="10"/>
        <v>740040.5</v>
      </c>
      <c r="X16" s="1177">
        <v>813467</v>
      </c>
      <c r="Y16" s="1177">
        <f t="shared" si="11"/>
        <v>740040.5</v>
      </c>
      <c r="Z16" s="1177">
        <f>B16+D16+F16+H16+J16+L16+N16+P16+R16+T16+V16+X16-4</f>
        <v>9761600</v>
      </c>
      <c r="AA16" s="1177">
        <v>8880486</v>
      </c>
      <c r="AB16" s="1177">
        <f t="shared" si="13"/>
        <v>-881114</v>
      </c>
      <c r="AC16" s="1177">
        <v>29360</v>
      </c>
      <c r="AD16" s="1177"/>
      <c r="AE16" s="1177">
        <f t="shared" si="12"/>
        <v>-910474</v>
      </c>
      <c r="AM16" s="1171"/>
      <c r="AN16" s="1171"/>
      <c r="AO16" s="1171"/>
      <c r="AP16" s="1171"/>
      <c r="AQ16" s="1171"/>
    </row>
    <row r="17" spans="1:43" ht="18.75">
      <c r="A17" s="1178" t="s">
        <v>1189</v>
      </c>
      <c r="B17" s="1177">
        <v>374731</v>
      </c>
      <c r="C17" s="1177">
        <f t="shared" si="0"/>
        <v>455889.5</v>
      </c>
      <c r="D17" s="1177">
        <v>374731</v>
      </c>
      <c r="E17" s="1177">
        <f t="shared" si="1"/>
        <v>455889.5</v>
      </c>
      <c r="F17" s="1177">
        <v>374731</v>
      </c>
      <c r="G17" s="1177">
        <f t="shared" si="2"/>
        <v>455889.5</v>
      </c>
      <c r="H17" s="1177">
        <v>374731</v>
      </c>
      <c r="I17" s="1177">
        <f t="shared" si="3"/>
        <v>455889.5</v>
      </c>
      <c r="J17" s="1177">
        <v>374731</v>
      </c>
      <c r="K17" s="1177">
        <f t="shared" si="4"/>
        <v>455889.5</v>
      </c>
      <c r="L17" s="1177">
        <v>374731</v>
      </c>
      <c r="M17" s="1177">
        <f t="shared" si="5"/>
        <v>455889.5</v>
      </c>
      <c r="N17" s="1177">
        <v>374731</v>
      </c>
      <c r="O17" s="1177">
        <f t="shared" si="6"/>
        <v>455889.5</v>
      </c>
      <c r="P17" s="1177">
        <v>374731</v>
      </c>
      <c r="Q17" s="1177">
        <f t="shared" si="7"/>
        <v>455889.5</v>
      </c>
      <c r="R17" s="1177">
        <v>374731</v>
      </c>
      <c r="S17" s="1177">
        <f t="shared" si="8"/>
        <v>455889.5</v>
      </c>
      <c r="T17" s="1177">
        <v>374731</v>
      </c>
      <c r="U17" s="1177">
        <f t="shared" si="9"/>
        <v>455889.5</v>
      </c>
      <c r="V17" s="1177">
        <v>374731</v>
      </c>
      <c r="W17" s="1177">
        <f t="shared" si="10"/>
        <v>455889.5</v>
      </c>
      <c r="X17" s="1177">
        <v>374731</v>
      </c>
      <c r="Y17" s="1177">
        <f t="shared" si="11"/>
        <v>455889.5</v>
      </c>
      <c r="Z17" s="1177">
        <f>B17+D17+F17+H17+J17+L17+N17+P17+R17+T17+V17+X17-3</f>
        <v>4496769</v>
      </c>
      <c r="AA17" s="1177">
        <v>5470674</v>
      </c>
      <c r="AB17" s="1177">
        <f t="shared" si="13"/>
        <v>973905</v>
      </c>
      <c r="AC17" s="1177">
        <v>212244</v>
      </c>
      <c r="AD17" s="1177"/>
      <c r="AE17" s="1177">
        <f t="shared" si="12"/>
        <v>761661</v>
      </c>
      <c r="AM17" s="1171"/>
      <c r="AN17" s="1171"/>
      <c r="AO17" s="1171"/>
      <c r="AP17" s="1171"/>
      <c r="AQ17" s="1171"/>
    </row>
    <row r="18" spans="1:43" ht="18.75">
      <c r="A18" s="1178" t="s">
        <v>1190</v>
      </c>
      <c r="B18" s="1177">
        <v>213407</v>
      </c>
      <c r="C18" s="1177">
        <f t="shared" si="0"/>
        <v>296719.33333333331</v>
      </c>
      <c r="D18" s="1177">
        <v>213407</v>
      </c>
      <c r="E18" s="1177">
        <f t="shared" si="1"/>
        <v>296719.33333333331</v>
      </c>
      <c r="F18" s="1177">
        <v>213407</v>
      </c>
      <c r="G18" s="1177">
        <f t="shared" si="2"/>
        <v>296719.33333333331</v>
      </c>
      <c r="H18" s="1177">
        <v>213407</v>
      </c>
      <c r="I18" s="1177">
        <f t="shared" si="3"/>
        <v>296719.33333333331</v>
      </c>
      <c r="J18" s="1177">
        <v>213407</v>
      </c>
      <c r="K18" s="1177">
        <f t="shared" si="4"/>
        <v>296719.33333333331</v>
      </c>
      <c r="L18" s="1177">
        <v>213407</v>
      </c>
      <c r="M18" s="1177">
        <f t="shared" si="5"/>
        <v>296719.33333333331</v>
      </c>
      <c r="N18" s="1177">
        <v>213407</v>
      </c>
      <c r="O18" s="1177">
        <f t="shared" si="6"/>
        <v>296719.33333333331</v>
      </c>
      <c r="P18" s="1177">
        <v>213407</v>
      </c>
      <c r="Q18" s="1177">
        <f t="shared" si="7"/>
        <v>296719.33333333331</v>
      </c>
      <c r="R18" s="1177">
        <v>213407</v>
      </c>
      <c r="S18" s="1177">
        <f t="shared" si="8"/>
        <v>296719.33333333331</v>
      </c>
      <c r="T18" s="1177">
        <v>213407</v>
      </c>
      <c r="U18" s="1177">
        <f t="shared" si="9"/>
        <v>296719.33333333331</v>
      </c>
      <c r="V18" s="1177">
        <v>213407</v>
      </c>
      <c r="W18" s="1177">
        <f t="shared" si="10"/>
        <v>296719.33333333331</v>
      </c>
      <c r="X18" s="1177">
        <v>213407</v>
      </c>
      <c r="Y18" s="1177">
        <f t="shared" si="11"/>
        <v>296719.33333333331</v>
      </c>
      <c r="Z18" s="1177">
        <f>B18+D18+F18+H18+J18+L18+N18+P18+R18+T18+V18+X18-3</f>
        <v>2560881</v>
      </c>
      <c r="AA18" s="1177">
        <v>3560632</v>
      </c>
      <c r="AB18" s="1177">
        <f t="shared" si="13"/>
        <v>999751</v>
      </c>
      <c r="AC18" s="1177">
        <v>0</v>
      </c>
      <c r="AD18" s="1177"/>
      <c r="AE18" s="1177">
        <f t="shared" si="12"/>
        <v>999751</v>
      </c>
      <c r="AM18" s="1171"/>
      <c r="AN18" s="1171"/>
      <c r="AO18" s="1171"/>
      <c r="AP18" s="1171"/>
      <c r="AQ18" s="1171"/>
    </row>
    <row r="19" spans="1:43" ht="18.75">
      <c r="A19" s="1178" t="s">
        <v>1191</v>
      </c>
      <c r="B19" s="1177">
        <v>115102</v>
      </c>
      <c r="C19" s="1177">
        <f t="shared" si="0"/>
        <v>156401.75</v>
      </c>
      <c r="D19" s="1177">
        <v>115102</v>
      </c>
      <c r="E19" s="1177">
        <f t="shared" si="1"/>
        <v>156401.75</v>
      </c>
      <c r="F19" s="1177">
        <v>115102</v>
      </c>
      <c r="G19" s="1177">
        <f t="shared" si="2"/>
        <v>156401.75</v>
      </c>
      <c r="H19" s="1177">
        <v>115102</v>
      </c>
      <c r="I19" s="1177">
        <f t="shared" si="3"/>
        <v>156401.75</v>
      </c>
      <c r="J19" s="1177">
        <v>115102</v>
      </c>
      <c r="K19" s="1177">
        <f t="shared" si="4"/>
        <v>156401.75</v>
      </c>
      <c r="L19" s="1177">
        <v>115102</v>
      </c>
      <c r="M19" s="1177">
        <f t="shared" si="5"/>
        <v>156401.75</v>
      </c>
      <c r="N19" s="1177">
        <v>115102</v>
      </c>
      <c r="O19" s="1177">
        <f t="shared" si="6"/>
        <v>156401.75</v>
      </c>
      <c r="P19" s="1177">
        <v>115102</v>
      </c>
      <c r="Q19" s="1177">
        <f t="shared" si="7"/>
        <v>156401.75</v>
      </c>
      <c r="R19" s="1177">
        <v>115102</v>
      </c>
      <c r="S19" s="1177">
        <f t="shared" si="8"/>
        <v>156401.75</v>
      </c>
      <c r="T19" s="1177">
        <v>115102</v>
      </c>
      <c r="U19" s="1177">
        <f t="shared" si="9"/>
        <v>156401.75</v>
      </c>
      <c r="V19" s="1177">
        <v>115102</v>
      </c>
      <c r="W19" s="1177">
        <f t="shared" si="10"/>
        <v>156401.75</v>
      </c>
      <c r="X19" s="1177">
        <v>115102</v>
      </c>
      <c r="Y19" s="1177">
        <f t="shared" si="11"/>
        <v>156401.75</v>
      </c>
      <c r="Z19" s="1177">
        <f>B19+D19+F19+H19+J19+L19+N19+P19+R19+T19+V19+X19+3</f>
        <v>1381227</v>
      </c>
      <c r="AA19" s="1177">
        <v>1876821</v>
      </c>
      <c r="AB19" s="1177">
        <f t="shared" si="13"/>
        <v>495594</v>
      </c>
      <c r="AC19" s="1177">
        <v>194920</v>
      </c>
      <c r="AD19" s="1177"/>
      <c r="AE19" s="1177">
        <f t="shared" si="12"/>
        <v>300674</v>
      </c>
      <c r="AM19" s="1171"/>
      <c r="AN19" s="1171"/>
      <c r="AO19" s="1171"/>
      <c r="AP19" s="1171"/>
      <c r="AQ19" s="1171"/>
    </row>
    <row r="20" spans="1:43" ht="18.75">
      <c r="A20" s="1170" t="s">
        <v>1192</v>
      </c>
      <c r="B20" s="1177">
        <v>4268309</v>
      </c>
      <c r="C20" s="1177">
        <f>AC20+2000000</f>
        <v>5217377</v>
      </c>
      <c r="D20" s="1177">
        <v>4268309</v>
      </c>
      <c r="E20" s="1177">
        <f>AC20+2000000</f>
        <v>5217377</v>
      </c>
      <c r="F20" s="1177">
        <v>4268309</v>
      </c>
      <c r="G20" s="1177">
        <f>AC20+2000000</f>
        <v>5217377</v>
      </c>
      <c r="H20" s="1177">
        <v>3268309</v>
      </c>
      <c r="I20" s="1177">
        <f>AC20+1000000</f>
        <v>4217377</v>
      </c>
      <c r="J20" s="1177">
        <v>3268309</v>
      </c>
      <c r="K20" s="1177">
        <f>AC20+1000000</f>
        <v>4217377</v>
      </c>
      <c r="L20" s="1177">
        <v>2268309</v>
      </c>
      <c r="M20" s="1177">
        <f>AC20</f>
        <v>3217377</v>
      </c>
      <c r="N20" s="1177">
        <v>2268309</v>
      </c>
      <c r="O20" s="1177">
        <f>AC20</f>
        <v>3217377</v>
      </c>
      <c r="P20" s="1177">
        <v>2268309</v>
      </c>
      <c r="Q20" s="1177">
        <f>AC20</f>
        <v>3217377</v>
      </c>
      <c r="R20" s="1177">
        <v>2268309</v>
      </c>
      <c r="S20" s="1177">
        <f>AC20</f>
        <v>3217377</v>
      </c>
      <c r="T20" s="1177">
        <v>4268309</v>
      </c>
      <c r="U20" s="1177">
        <f>AC20+2000000</f>
        <v>5217377</v>
      </c>
      <c r="V20" s="1177">
        <v>4268309</v>
      </c>
      <c r="W20" s="1177">
        <f>AC20+2000000</f>
        <v>5217377</v>
      </c>
      <c r="X20" s="1177">
        <v>2268309</v>
      </c>
      <c r="Y20" s="1177">
        <f>AC20</f>
        <v>3217377</v>
      </c>
      <c r="Z20" s="1177">
        <f>B20+D20+F20+H20+J20+L20+N20+P20+R20+T20+V20+X20-1</f>
        <v>39219707</v>
      </c>
      <c r="AA20" s="1177">
        <v>45544024</v>
      </c>
      <c r="AB20" s="1177">
        <f t="shared" si="13"/>
        <v>6324317</v>
      </c>
      <c r="AC20" s="1177">
        <v>3217377</v>
      </c>
      <c r="AD20" s="1177"/>
      <c r="AE20" s="1177">
        <f t="shared" si="12"/>
        <v>3106940</v>
      </c>
      <c r="AM20" s="1171"/>
      <c r="AN20" s="1171"/>
      <c r="AO20" s="1171"/>
      <c r="AP20" s="1171"/>
      <c r="AQ20" s="1171"/>
    </row>
    <row r="21" spans="1:43" ht="18.75">
      <c r="A21" s="1170" t="s">
        <v>1193</v>
      </c>
      <c r="B21" s="1177">
        <v>825705</v>
      </c>
      <c r="C21" s="1177">
        <f t="shared" si="0"/>
        <v>924534.33333333337</v>
      </c>
      <c r="D21" s="1177">
        <v>825705</v>
      </c>
      <c r="E21" s="1177">
        <f t="shared" si="1"/>
        <v>924534.33333333337</v>
      </c>
      <c r="F21" s="1177">
        <v>825705</v>
      </c>
      <c r="G21" s="1177">
        <f t="shared" si="2"/>
        <v>924534.33333333337</v>
      </c>
      <c r="H21" s="1177">
        <v>825705</v>
      </c>
      <c r="I21" s="1177">
        <f t="shared" si="3"/>
        <v>924534.33333333337</v>
      </c>
      <c r="J21" s="1177">
        <v>825705</v>
      </c>
      <c r="K21" s="1177">
        <f t="shared" si="4"/>
        <v>924534.33333333337</v>
      </c>
      <c r="L21" s="1177">
        <v>825705</v>
      </c>
      <c r="M21" s="1177">
        <f t="shared" si="5"/>
        <v>924534.33333333337</v>
      </c>
      <c r="N21" s="1177">
        <v>825705</v>
      </c>
      <c r="O21" s="1177">
        <f t="shared" si="6"/>
        <v>924534.33333333337</v>
      </c>
      <c r="P21" s="1177">
        <v>825705</v>
      </c>
      <c r="Q21" s="1177">
        <f t="shared" si="7"/>
        <v>924534.33333333337</v>
      </c>
      <c r="R21" s="1177">
        <v>825705</v>
      </c>
      <c r="S21" s="1177">
        <f t="shared" si="8"/>
        <v>924534.33333333337</v>
      </c>
      <c r="T21" s="1177">
        <v>825705</v>
      </c>
      <c r="U21" s="1177">
        <f t="shared" si="9"/>
        <v>924534.33333333337</v>
      </c>
      <c r="V21" s="1177">
        <v>825705</v>
      </c>
      <c r="W21" s="1177">
        <f t="shared" si="10"/>
        <v>924534.33333333337</v>
      </c>
      <c r="X21" s="1177">
        <v>825705</v>
      </c>
      <c r="Y21" s="1177">
        <f t="shared" si="11"/>
        <v>924534.33333333337</v>
      </c>
      <c r="Z21" s="1177">
        <f>B21+D21+F21+H21+J21+L21+N21+P21+R21+T21+V21+X21-1</f>
        <v>9908459</v>
      </c>
      <c r="AA21" s="1177">
        <v>11094412</v>
      </c>
      <c r="AB21" s="1177">
        <f t="shared" si="13"/>
        <v>1185953</v>
      </c>
      <c r="AC21" s="1177">
        <v>559999</v>
      </c>
      <c r="AD21" s="1177"/>
      <c r="AE21" s="1177">
        <f t="shared" si="12"/>
        <v>625954</v>
      </c>
      <c r="AM21" s="1171"/>
      <c r="AN21" s="1171"/>
      <c r="AO21" s="1171"/>
      <c r="AP21" s="1171"/>
      <c r="AQ21" s="1171"/>
    </row>
    <row r="22" spans="1:43" ht="18.75">
      <c r="A22" s="1170" t="s">
        <v>295</v>
      </c>
      <c r="B22" s="1177">
        <v>931771</v>
      </c>
      <c r="C22" s="1177">
        <f t="shared" si="0"/>
        <v>1023690.5833333334</v>
      </c>
      <c r="D22" s="1177">
        <v>931771</v>
      </c>
      <c r="E22" s="1177">
        <f t="shared" si="1"/>
        <v>1023690.5833333334</v>
      </c>
      <c r="F22" s="1177">
        <v>931771</v>
      </c>
      <c r="G22" s="1177">
        <f t="shared" si="2"/>
        <v>1023690.5833333334</v>
      </c>
      <c r="H22" s="1177">
        <v>931771</v>
      </c>
      <c r="I22" s="1177">
        <f t="shared" si="3"/>
        <v>1023690.5833333334</v>
      </c>
      <c r="J22" s="1177">
        <v>931771</v>
      </c>
      <c r="K22" s="1177">
        <f t="shared" si="4"/>
        <v>1023690.5833333334</v>
      </c>
      <c r="L22" s="1177">
        <v>931771</v>
      </c>
      <c r="M22" s="1177">
        <f t="shared" si="5"/>
        <v>1023690.5833333334</v>
      </c>
      <c r="N22" s="1177">
        <v>931771</v>
      </c>
      <c r="O22" s="1177">
        <f t="shared" si="6"/>
        <v>1023690.5833333334</v>
      </c>
      <c r="P22" s="1177">
        <v>931771</v>
      </c>
      <c r="Q22" s="1177">
        <f t="shared" si="7"/>
        <v>1023690.5833333334</v>
      </c>
      <c r="R22" s="1177">
        <v>931771</v>
      </c>
      <c r="S22" s="1177">
        <f t="shared" si="8"/>
        <v>1023690.5833333334</v>
      </c>
      <c r="T22" s="1177">
        <v>931771</v>
      </c>
      <c r="U22" s="1177">
        <f t="shared" si="9"/>
        <v>1023690.5833333334</v>
      </c>
      <c r="V22" s="1177">
        <v>931771</v>
      </c>
      <c r="W22" s="1177">
        <f t="shared" si="10"/>
        <v>1023690.5833333334</v>
      </c>
      <c r="X22" s="1177">
        <v>931771</v>
      </c>
      <c r="Y22" s="1177">
        <f t="shared" si="11"/>
        <v>1023690.5833333334</v>
      </c>
      <c r="Z22" s="1177">
        <f>B22+D22+F22+H22+J22+L22+N22+P22+R22+T22+V22+X22+2</f>
        <v>11181254</v>
      </c>
      <c r="AA22" s="1177">
        <v>12284287</v>
      </c>
      <c r="AB22" s="1177">
        <f t="shared" si="13"/>
        <v>1103033</v>
      </c>
      <c r="AC22" s="1177">
        <v>215602</v>
      </c>
      <c r="AD22" s="1177">
        <v>662610</v>
      </c>
      <c r="AE22" s="1177">
        <f t="shared" si="12"/>
        <v>224821</v>
      </c>
      <c r="AM22" s="1171"/>
      <c r="AN22" s="1171"/>
      <c r="AO22" s="1171"/>
      <c r="AP22" s="1171"/>
      <c r="AQ22" s="1171"/>
    </row>
    <row r="23" spans="1:43" ht="18.75">
      <c r="A23" s="1170" t="s">
        <v>1194</v>
      </c>
      <c r="B23" s="1177">
        <v>752526</v>
      </c>
      <c r="C23" s="1177">
        <f t="shared" si="0"/>
        <v>896352.58333333337</v>
      </c>
      <c r="D23" s="1177">
        <v>752526</v>
      </c>
      <c r="E23" s="1177">
        <f t="shared" si="1"/>
        <v>896352.58333333337</v>
      </c>
      <c r="F23" s="1177">
        <v>752526</v>
      </c>
      <c r="G23" s="1177">
        <f t="shared" si="2"/>
        <v>896352.58333333337</v>
      </c>
      <c r="H23" s="1177">
        <v>752526</v>
      </c>
      <c r="I23" s="1177">
        <f t="shared" si="3"/>
        <v>896352.58333333337</v>
      </c>
      <c r="J23" s="1177">
        <v>752526</v>
      </c>
      <c r="K23" s="1177">
        <f t="shared" si="4"/>
        <v>896352.58333333337</v>
      </c>
      <c r="L23" s="1177">
        <v>752526</v>
      </c>
      <c r="M23" s="1177">
        <f t="shared" si="5"/>
        <v>896352.58333333337</v>
      </c>
      <c r="N23" s="1177">
        <v>752526</v>
      </c>
      <c r="O23" s="1177">
        <f t="shared" si="6"/>
        <v>896352.58333333337</v>
      </c>
      <c r="P23" s="1177">
        <v>752526</v>
      </c>
      <c r="Q23" s="1177">
        <f t="shared" si="7"/>
        <v>896352.58333333337</v>
      </c>
      <c r="R23" s="1177">
        <v>752526</v>
      </c>
      <c r="S23" s="1177">
        <f t="shared" si="8"/>
        <v>896352.58333333337</v>
      </c>
      <c r="T23" s="1177">
        <v>752526</v>
      </c>
      <c r="U23" s="1177">
        <f t="shared" si="9"/>
        <v>896352.58333333337</v>
      </c>
      <c r="V23" s="1177">
        <v>752526</v>
      </c>
      <c r="W23" s="1177">
        <f t="shared" si="10"/>
        <v>896352.58333333337</v>
      </c>
      <c r="X23" s="1177">
        <v>752526</v>
      </c>
      <c r="Y23" s="1177">
        <f t="shared" si="11"/>
        <v>896352.58333333337</v>
      </c>
      <c r="Z23" s="1177">
        <f>B23+D23+F23+H23+J23+L23+N23+P23+R23+T23+V23+X23+5</f>
        <v>9030317</v>
      </c>
      <c r="AA23" s="1177">
        <v>10756231</v>
      </c>
      <c r="AB23" s="1177">
        <f t="shared" si="13"/>
        <v>1725914</v>
      </c>
      <c r="AC23" s="1177">
        <v>258547</v>
      </c>
      <c r="AD23" s="1177"/>
      <c r="AE23" s="1177">
        <f t="shared" si="12"/>
        <v>1467367</v>
      </c>
      <c r="AM23" s="1171"/>
      <c r="AN23" s="1171"/>
      <c r="AO23" s="1171"/>
      <c r="AP23" s="1171"/>
      <c r="AQ23" s="1171"/>
    </row>
    <row r="24" spans="1:43" ht="18.75">
      <c r="A24" s="1170" t="s">
        <v>1195</v>
      </c>
      <c r="B24" s="1177">
        <v>360768</v>
      </c>
      <c r="C24" s="1177">
        <f t="shared" si="0"/>
        <v>345591</v>
      </c>
      <c r="D24" s="1177">
        <v>360768</v>
      </c>
      <c r="E24" s="1177">
        <f t="shared" si="1"/>
        <v>345591</v>
      </c>
      <c r="F24" s="1177">
        <v>360768</v>
      </c>
      <c r="G24" s="1177">
        <f t="shared" si="2"/>
        <v>345591</v>
      </c>
      <c r="H24" s="1177">
        <v>360768</v>
      </c>
      <c r="I24" s="1177">
        <f t="shared" si="3"/>
        <v>345591</v>
      </c>
      <c r="J24" s="1177">
        <v>360768</v>
      </c>
      <c r="K24" s="1177">
        <f t="shared" si="4"/>
        <v>345591</v>
      </c>
      <c r="L24" s="1177">
        <v>360768</v>
      </c>
      <c r="M24" s="1177">
        <f t="shared" si="5"/>
        <v>345591</v>
      </c>
      <c r="N24" s="1177">
        <v>360768</v>
      </c>
      <c r="O24" s="1177">
        <f t="shared" si="6"/>
        <v>345591</v>
      </c>
      <c r="P24" s="1177">
        <v>360768</v>
      </c>
      <c r="Q24" s="1177">
        <f t="shared" si="7"/>
        <v>345591</v>
      </c>
      <c r="R24" s="1177">
        <v>360768</v>
      </c>
      <c r="S24" s="1177">
        <f t="shared" si="8"/>
        <v>345591</v>
      </c>
      <c r="T24" s="1177">
        <v>360768</v>
      </c>
      <c r="U24" s="1177">
        <f t="shared" si="9"/>
        <v>345591</v>
      </c>
      <c r="V24" s="1177">
        <v>360768</v>
      </c>
      <c r="W24" s="1177">
        <f t="shared" si="10"/>
        <v>345591</v>
      </c>
      <c r="X24" s="1177">
        <v>360768</v>
      </c>
      <c r="Y24" s="1177">
        <f t="shared" si="11"/>
        <v>345591</v>
      </c>
      <c r="Z24" s="1177">
        <f>B24+D24+F24+H24+J24+L24+N24+P24+R24+T24+V24+X24-2</f>
        <v>4329214</v>
      </c>
      <c r="AA24" s="1177">
        <v>4147092</v>
      </c>
      <c r="AB24" s="1177">
        <f t="shared" si="13"/>
        <v>-182122</v>
      </c>
      <c r="AC24" s="1177">
        <v>0</v>
      </c>
      <c r="AD24" s="1177"/>
      <c r="AE24" s="1177">
        <f t="shared" si="12"/>
        <v>-182122</v>
      </c>
      <c r="AM24" s="1171"/>
      <c r="AN24" s="1171"/>
      <c r="AO24" s="1171"/>
      <c r="AP24" s="1171"/>
      <c r="AQ24" s="1171"/>
    </row>
    <row r="25" spans="1:43" ht="18.75">
      <c r="A25" s="1170" t="s">
        <v>1196</v>
      </c>
      <c r="B25" s="1177">
        <v>13372292</v>
      </c>
      <c r="C25" s="1177">
        <f>C3+C11+C12+C13</f>
        <v>16162551.25</v>
      </c>
      <c r="D25" s="1177">
        <v>13372292</v>
      </c>
      <c r="E25" s="1177">
        <f>E3+E11+E12+E13</f>
        <v>16162551.25</v>
      </c>
      <c r="F25" s="1177">
        <v>13372292</v>
      </c>
      <c r="G25" s="1177">
        <f>G3+G11+G12+G13</f>
        <v>16162551.25</v>
      </c>
      <c r="H25" s="1177">
        <v>12372292</v>
      </c>
      <c r="I25" s="1177">
        <f>I3+I11+I12+I13</f>
        <v>15162551.249999996</v>
      </c>
      <c r="J25" s="1177">
        <v>12372292</v>
      </c>
      <c r="K25" s="1177">
        <f>K3+K11+K12+K13</f>
        <v>15162551.249999996</v>
      </c>
      <c r="L25" s="1177">
        <v>11372292</v>
      </c>
      <c r="M25" s="1177">
        <f>M3+M11+M12+M13</f>
        <v>14162551.249999996</v>
      </c>
      <c r="N25" s="1177">
        <v>11372292</v>
      </c>
      <c r="O25" s="1177">
        <f>O3+O11+O12+O13</f>
        <v>14162551.249999996</v>
      </c>
      <c r="P25" s="1177">
        <v>11372292</v>
      </c>
      <c r="Q25" s="1177">
        <f>Q3+Q11+Q12+Q13</f>
        <v>14162551.249999996</v>
      </c>
      <c r="R25" s="1177">
        <v>11372292</v>
      </c>
      <c r="S25" s="1177">
        <f>S3+S11+S12+S13</f>
        <v>14162551.249999996</v>
      </c>
      <c r="T25" s="1177">
        <v>13372292</v>
      </c>
      <c r="U25" s="1177">
        <f>U3+U11+U12+U13</f>
        <v>16162551.25</v>
      </c>
      <c r="V25" s="1177">
        <v>13372292</v>
      </c>
      <c r="W25" s="1177">
        <f>W3+W11+W12+W13</f>
        <v>16162551.25</v>
      </c>
      <c r="X25" s="1177">
        <v>11372292</v>
      </c>
      <c r="Y25" s="1177">
        <f>Y3+Y11+Y12+Y13</f>
        <v>14162551.249999996</v>
      </c>
      <c r="Z25" s="1177">
        <f>B25+D25+F25+H25+J25+L25+N25+P25+R25+T25+V25+X25+5</f>
        <v>148467509</v>
      </c>
      <c r="AA25" s="1177">
        <f>AA3+AA11+AA12+AA13</f>
        <v>176886117</v>
      </c>
      <c r="AB25" s="1177">
        <f t="shared" si="13"/>
        <v>28418608</v>
      </c>
      <c r="AC25" s="1177">
        <f>AC3+AC11+AC12+AC13</f>
        <v>20693094</v>
      </c>
      <c r="AD25" s="1177">
        <f>SUM(AD10:AD22)</f>
        <v>6309417</v>
      </c>
      <c r="AE25" s="1177">
        <f t="shared" si="12"/>
        <v>1416097</v>
      </c>
      <c r="AM25" s="1171"/>
      <c r="AN25" s="1171"/>
      <c r="AO25" s="1171"/>
      <c r="AP25" s="1171"/>
      <c r="AQ25" s="1171"/>
    </row>
  </sheetData>
  <mergeCells count="13">
    <mergeCell ref="L1:M1"/>
    <mergeCell ref="B1:C1"/>
    <mergeCell ref="D1:E1"/>
    <mergeCell ref="F1:G1"/>
    <mergeCell ref="H1:I1"/>
    <mergeCell ref="J1:K1"/>
    <mergeCell ref="Z1:AE1"/>
    <mergeCell ref="N1:O1"/>
    <mergeCell ref="P1:Q1"/>
    <mergeCell ref="R1:S1"/>
    <mergeCell ref="T1:U1"/>
    <mergeCell ref="V1:W1"/>
    <mergeCell ref="X1:Y1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60" fitToWidth="4" orientation="portrait" r:id="rId1"/>
  <headerFooter>
    <oddHeader>&amp;C&amp;"Times New Roman,Félkövér"&amp;12Martongazda Nonprofit Kft elszámolása az átadott pénzeszközökről&amp;R&amp;"Times New Roman,Normál"&amp;10 20.melléklet</oddHeader>
  </headerFooter>
  <colBreaks count="3" manualBreakCount="3">
    <brk id="9" max="24" man="1"/>
    <brk id="17" max="24" man="1"/>
    <brk id="25" max="24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topLeftCell="A52" workbookViewId="0">
      <selection activeCell="F11" sqref="F11:G11"/>
    </sheetView>
  </sheetViews>
  <sheetFormatPr defaultRowHeight="12.75"/>
  <cols>
    <col min="1" max="1" width="6.28515625" style="91" customWidth="1"/>
    <col min="2" max="2" width="57" style="88" customWidth="1"/>
    <col min="3" max="3" width="10.85546875" style="88" customWidth="1"/>
    <col min="4" max="4" width="12.5703125" style="584" customWidth="1"/>
    <col min="5" max="5" width="11.7109375" style="88" customWidth="1"/>
    <col min="6" max="16384" width="9.140625" style="88"/>
  </cols>
  <sheetData>
    <row r="1" spans="1:6" ht="11.25" customHeight="1">
      <c r="B1" s="420"/>
      <c r="C1" s="1209" t="s">
        <v>400</v>
      </c>
      <c r="D1" s="1209"/>
      <c r="E1" s="1209"/>
      <c r="F1" s="1210"/>
    </row>
    <row r="2" spans="1:6" s="84" customFormat="1" ht="15" customHeight="1">
      <c r="A2" s="1206" t="s">
        <v>0</v>
      </c>
      <c r="B2" s="1206" t="s">
        <v>181</v>
      </c>
      <c r="C2" s="1207" t="s">
        <v>618</v>
      </c>
      <c r="D2" s="1207"/>
      <c r="E2" s="1207"/>
      <c r="F2" s="1207" t="s">
        <v>769</v>
      </c>
    </row>
    <row r="3" spans="1:6" s="85" customFormat="1">
      <c r="A3" s="1206"/>
      <c r="B3" s="1206"/>
      <c r="C3" s="719" t="s">
        <v>178</v>
      </c>
      <c r="D3" s="550" t="s">
        <v>761</v>
      </c>
      <c r="E3" s="550" t="s">
        <v>745</v>
      </c>
      <c r="F3" s="1208"/>
    </row>
    <row r="4" spans="1:6" s="87" customFormat="1" ht="12.75" customHeight="1">
      <c r="A4" s="71" t="s">
        <v>194</v>
      </c>
      <c r="B4" s="725" t="s">
        <v>193</v>
      </c>
      <c r="C4" s="444">
        <v>122763</v>
      </c>
      <c r="D4" s="579">
        <v>123241</v>
      </c>
      <c r="E4" s="444">
        <v>123241</v>
      </c>
      <c r="F4" s="765">
        <f>E4/D4*100</f>
        <v>100</v>
      </c>
    </row>
    <row r="5" spans="1:6" s="87" customFormat="1" ht="12.75" customHeight="1">
      <c r="A5" s="71" t="s">
        <v>196</v>
      </c>
      <c r="B5" s="65" t="s">
        <v>195</v>
      </c>
      <c r="C5" s="444">
        <v>291857</v>
      </c>
      <c r="D5" s="579">
        <v>353948</v>
      </c>
      <c r="E5" s="444">
        <v>297101</v>
      </c>
      <c r="F5" s="765">
        <f t="shared" ref="F5:F68" si="0">E5/D5*100</f>
        <v>83.939166205205282</v>
      </c>
    </row>
    <row r="6" spans="1:6" s="87" customFormat="1" ht="12.75" customHeight="1">
      <c r="A6" s="71" t="s">
        <v>198</v>
      </c>
      <c r="B6" s="65" t="s">
        <v>197</v>
      </c>
      <c r="C6" s="444">
        <v>127565</v>
      </c>
      <c r="D6" s="579">
        <v>76491</v>
      </c>
      <c r="E6" s="444">
        <v>133338</v>
      </c>
      <c r="F6" s="765">
        <f t="shared" si="0"/>
        <v>174.31854728007215</v>
      </c>
    </row>
    <row r="7" spans="1:6" ht="12.75" customHeight="1">
      <c r="A7" s="71" t="s">
        <v>200</v>
      </c>
      <c r="B7" s="65" t="s">
        <v>199</v>
      </c>
      <c r="C7" s="444">
        <v>6462</v>
      </c>
      <c r="D7" s="579">
        <v>6915</v>
      </c>
      <c r="E7" s="444">
        <v>6915</v>
      </c>
      <c r="F7" s="765">
        <f t="shared" si="0"/>
        <v>100</v>
      </c>
    </row>
    <row r="8" spans="1:6" s="89" customFormat="1" ht="12.75" customHeight="1">
      <c r="A8" s="71" t="s">
        <v>202</v>
      </c>
      <c r="B8" s="65" t="s">
        <v>201</v>
      </c>
      <c r="C8" s="445">
        <v>3920</v>
      </c>
      <c r="D8" s="580">
        <v>7451</v>
      </c>
      <c r="E8" s="444">
        <v>7451</v>
      </c>
      <c r="F8" s="765">
        <f t="shared" si="0"/>
        <v>100</v>
      </c>
    </row>
    <row r="9" spans="1:6" s="89" customFormat="1" ht="12.75" customHeight="1">
      <c r="A9" s="71" t="s">
        <v>204</v>
      </c>
      <c r="B9" s="65" t="s">
        <v>203</v>
      </c>
      <c r="C9" s="445">
        <v>0</v>
      </c>
      <c r="D9" s="580"/>
      <c r="E9" s="444">
        <f t="shared" ref="E9:E58" si="1">+C9+D9</f>
        <v>0</v>
      </c>
      <c r="F9" s="765"/>
    </row>
    <row r="10" spans="1:6" ht="12.75" customHeight="1">
      <c r="A10" s="724" t="s">
        <v>205</v>
      </c>
      <c r="B10" s="720" t="s">
        <v>332</v>
      </c>
      <c r="C10" s="446">
        <f>SUM(C4:C9)</f>
        <v>552567</v>
      </c>
      <c r="D10" s="446">
        <f t="shared" ref="D10:E10" si="2">SUM(D4:D9)</f>
        <v>568046</v>
      </c>
      <c r="E10" s="446">
        <f t="shared" si="2"/>
        <v>568046</v>
      </c>
      <c r="F10" s="766">
        <f t="shared" si="0"/>
        <v>100</v>
      </c>
    </row>
    <row r="11" spans="1:6" ht="12.75" customHeight="1">
      <c r="A11" s="71" t="s">
        <v>207</v>
      </c>
      <c r="B11" s="65" t="s">
        <v>206</v>
      </c>
      <c r="C11" s="444">
        <f>SUM(C12:C21)</f>
        <v>57914</v>
      </c>
      <c r="D11" s="579">
        <f>SUM(D12:D21)</f>
        <v>53276</v>
      </c>
      <c r="E11" s="444">
        <f>SUM(E12:E21)</f>
        <v>52144</v>
      </c>
      <c r="F11" s="765">
        <f t="shared" si="0"/>
        <v>97.875215857046328</v>
      </c>
    </row>
    <row r="12" spans="1:6" s="102" customFormat="1" ht="12.75" customHeight="1">
      <c r="A12" s="99"/>
      <c r="B12" s="100" t="s">
        <v>333</v>
      </c>
      <c r="C12" s="447"/>
      <c r="D12" s="582"/>
      <c r="E12" s="447"/>
      <c r="F12" s="765"/>
    </row>
    <row r="13" spans="1:6" s="102" customFormat="1" ht="12.75" customHeight="1">
      <c r="A13" s="99"/>
      <c r="B13" s="100" t="s">
        <v>323</v>
      </c>
      <c r="C13" s="447"/>
      <c r="D13" s="582"/>
      <c r="E13" s="447">
        <f t="shared" si="1"/>
        <v>0</v>
      </c>
      <c r="F13" s="765"/>
    </row>
    <row r="14" spans="1:6" s="102" customFormat="1" ht="12.75" customHeight="1">
      <c r="A14" s="99"/>
      <c r="B14" s="100" t="s">
        <v>324</v>
      </c>
      <c r="C14" s="447"/>
      <c r="D14" s="582"/>
      <c r="E14" s="447">
        <f t="shared" si="1"/>
        <v>0</v>
      </c>
      <c r="F14" s="765"/>
    </row>
    <row r="15" spans="1:6" s="102" customFormat="1" ht="12.75" customHeight="1">
      <c r="A15" s="99"/>
      <c r="B15" s="100" t="s">
        <v>325</v>
      </c>
      <c r="C15" s="447">
        <v>39468</v>
      </c>
      <c r="D15" s="582">
        <v>12920</v>
      </c>
      <c r="E15" s="447">
        <f>11411+1525</f>
        <v>12936</v>
      </c>
      <c r="F15" s="765">
        <f t="shared" si="0"/>
        <v>100.12383900928792</v>
      </c>
    </row>
    <row r="16" spans="1:6" s="102" customFormat="1" ht="12.75" customHeight="1">
      <c r="A16" s="99"/>
      <c r="B16" s="100" t="s">
        <v>326</v>
      </c>
      <c r="C16" s="447">
        <v>13446</v>
      </c>
      <c r="D16" s="582">
        <v>13446</v>
      </c>
      <c r="E16" s="447">
        <v>13073</v>
      </c>
      <c r="F16" s="765">
        <f t="shared" si="0"/>
        <v>97.225940800237993</v>
      </c>
    </row>
    <row r="17" spans="1:6" s="102" customFormat="1" ht="12.75" customHeight="1">
      <c r="A17" s="99"/>
      <c r="B17" s="100" t="s">
        <v>327</v>
      </c>
      <c r="C17" s="447"/>
      <c r="D17" s="582">
        <v>14267</v>
      </c>
      <c r="E17" s="447">
        <v>13492</v>
      </c>
      <c r="F17" s="765"/>
    </row>
    <row r="18" spans="1:6" s="102" customFormat="1" ht="12.75" customHeight="1">
      <c r="A18" s="99"/>
      <c r="B18" s="100" t="s">
        <v>100</v>
      </c>
      <c r="C18" s="447"/>
      <c r="D18" s="582">
        <v>4642</v>
      </c>
      <c r="E18" s="447">
        <v>4642</v>
      </c>
      <c r="F18" s="765">
        <f t="shared" si="0"/>
        <v>100</v>
      </c>
    </row>
    <row r="19" spans="1:6" s="102" customFormat="1" ht="12.75" customHeight="1">
      <c r="A19" s="99"/>
      <c r="B19" s="100" t="s">
        <v>101</v>
      </c>
      <c r="C19" s="447">
        <v>5000</v>
      </c>
      <c r="D19" s="582">
        <v>8001</v>
      </c>
      <c r="E19" s="447">
        <v>8001</v>
      </c>
      <c r="F19" s="765">
        <f t="shared" si="0"/>
        <v>100</v>
      </c>
    </row>
    <row r="20" spans="1:6" s="102" customFormat="1" ht="12.75" customHeight="1">
      <c r="A20" s="99"/>
      <c r="B20" s="100" t="s">
        <v>328</v>
      </c>
      <c r="C20" s="447"/>
      <c r="D20" s="582"/>
      <c r="E20" s="444">
        <f t="shared" si="1"/>
        <v>0</v>
      </c>
      <c r="F20" s="765"/>
    </row>
    <row r="21" spans="1:6" s="102" customFormat="1" ht="12.75" customHeight="1">
      <c r="A21" s="99"/>
      <c r="B21" s="100" t="s">
        <v>329</v>
      </c>
      <c r="C21" s="447"/>
      <c r="D21" s="582"/>
      <c r="E21" s="444">
        <f t="shared" si="1"/>
        <v>0</v>
      </c>
      <c r="F21" s="765"/>
    </row>
    <row r="22" spans="1:6" ht="12.75" customHeight="1">
      <c r="A22" s="724" t="s">
        <v>208</v>
      </c>
      <c r="B22" s="720" t="s">
        <v>330</v>
      </c>
      <c r="C22" s="446">
        <f>+C10+C11</f>
        <v>610481</v>
      </c>
      <c r="D22" s="581">
        <f t="shared" ref="D22:E22" si="3">+D10+D11</f>
        <v>621322</v>
      </c>
      <c r="E22" s="446">
        <f t="shared" si="3"/>
        <v>620190</v>
      </c>
      <c r="F22" s="766">
        <f t="shared" si="0"/>
        <v>99.817807835550653</v>
      </c>
    </row>
    <row r="23" spans="1:6" ht="12.75" customHeight="1">
      <c r="A23" s="71" t="s">
        <v>401</v>
      </c>
      <c r="B23" s="65" t="s">
        <v>402</v>
      </c>
      <c r="C23" s="444">
        <v>0</v>
      </c>
      <c r="D23" s="579">
        <v>2700</v>
      </c>
      <c r="E23" s="444">
        <v>2700</v>
      </c>
      <c r="F23" s="765"/>
    </row>
    <row r="24" spans="1:6" ht="12.75" customHeight="1">
      <c r="A24" s="71" t="s">
        <v>391</v>
      </c>
      <c r="B24" s="65" t="s">
        <v>392</v>
      </c>
      <c r="C24" s="444">
        <v>0</v>
      </c>
      <c r="D24" s="579"/>
      <c r="E24" s="444">
        <f t="shared" si="1"/>
        <v>0</v>
      </c>
      <c r="F24" s="765"/>
    </row>
    <row r="25" spans="1:6" ht="12.75" customHeight="1">
      <c r="A25" s="71" t="s">
        <v>210</v>
      </c>
      <c r="B25" s="65" t="s">
        <v>209</v>
      </c>
      <c r="C25" s="444">
        <v>25787</v>
      </c>
      <c r="D25" s="579">
        <v>25987</v>
      </c>
      <c r="E25" s="444">
        <f>SUM(E26:E35)</f>
        <v>25768</v>
      </c>
      <c r="F25" s="765">
        <f t="shared" si="0"/>
        <v>99.157270943163894</v>
      </c>
    </row>
    <row r="26" spans="1:6" s="102" customFormat="1" ht="12.75" customHeight="1">
      <c r="A26" s="99"/>
      <c r="B26" s="100" t="s">
        <v>322</v>
      </c>
      <c r="C26" s="447"/>
      <c r="D26" s="582"/>
      <c r="E26" s="444">
        <f t="shared" si="1"/>
        <v>0</v>
      </c>
      <c r="F26" s="765"/>
    </row>
    <row r="27" spans="1:6" s="102" customFormat="1" ht="12.75" customHeight="1">
      <c r="A27" s="99"/>
      <c r="B27" s="100" t="s">
        <v>323</v>
      </c>
      <c r="C27" s="447"/>
      <c r="D27" s="582"/>
      <c r="E27" s="444">
        <f t="shared" si="1"/>
        <v>0</v>
      </c>
      <c r="F27" s="765"/>
    </row>
    <row r="28" spans="1:6" s="102" customFormat="1" ht="30.75" customHeight="1">
      <c r="A28" s="99"/>
      <c r="B28" s="100" t="s">
        <v>324</v>
      </c>
      <c r="C28" s="447">
        <v>25787</v>
      </c>
      <c r="D28" s="582">
        <v>25797</v>
      </c>
      <c r="E28" s="447">
        <v>25568</v>
      </c>
      <c r="F28" s="765">
        <f t="shared" si="0"/>
        <v>99.112299879830985</v>
      </c>
    </row>
    <row r="29" spans="1:6" s="102" customFormat="1" ht="12.75" customHeight="1">
      <c r="A29" s="99"/>
      <c r="B29" s="100" t="s">
        <v>325</v>
      </c>
      <c r="C29" s="447"/>
      <c r="D29" s="582"/>
      <c r="E29" s="444">
        <f t="shared" si="1"/>
        <v>0</v>
      </c>
      <c r="F29" s="765"/>
    </row>
    <row r="30" spans="1:6" s="102" customFormat="1" ht="12.75" customHeight="1">
      <c r="A30" s="99"/>
      <c r="B30" s="100" t="s">
        <v>326</v>
      </c>
      <c r="C30" s="447"/>
      <c r="D30" s="582"/>
      <c r="E30" s="444">
        <f t="shared" si="1"/>
        <v>0</v>
      </c>
      <c r="F30" s="765"/>
    </row>
    <row r="31" spans="1:6" s="102" customFormat="1" ht="12.75" customHeight="1">
      <c r="A31" s="99"/>
      <c r="B31" s="100" t="s">
        <v>327</v>
      </c>
      <c r="C31" s="447"/>
      <c r="D31" s="582">
        <v>200</v>
      </c>
      <c r="E31" s="444">
        <v>200</v>
      </c>
      <c r="F31" s="765">
        <f t="shared" si="0"/>
        <v>100</v>
      </c>
    </row>
    <row r="32" spans="1:6" s="102" customFormat="1" ht="12.75" customHeight="1">
      <c r="A32" s="99"/>
      <c r="B32" s="100" t="s">
        <v>100</v>
      </c>
      <c r="C32" s="447"/>
      <c r="D32" s="582"/>
      <c r="E32" s="444">
        <f t="shared" si="1"/>
        <v>0</v>
      </c>
      <c r="F32" s="765"/>
    </row>
    <row r="33" spans="1:6" s="102" customFormat="1" ht="12.75" customHeight="1">
      <c r="A33" s="99"/>
      <c r="B33" s="100" t="s">
        <v>101</v>
      </c>
      <c r="C33" s="447"/>
      <c r="D33" s="582"/>
      <c r="E33" s="444">
        <f t="shared" si="1"/>
        <v>0</v>
      </c>
      <c r="F33" s="765"/>
    </row>
    <row r="34" spans="1:6" s="102" customFormat="1" ht="12.75" customHeight="1">
      <c r="A34" s="99"/>
      <c r="B34" s="100" t="s">
        <v>328</v>
      </c>
      <c r="C34" s="447"/>
      <c r="D34" s="582"/>
      <c r="E34" s="444">
        <f t="shared" si="1"/>
        <v>0</v>
      </c>
      <c r="F34" s="765"/>
    </row>
    <row r="35" spans="1:6" s="102" customFormat="1" ht="12.75" customHeight="1">
      <c r="A35" s="99"/>
      <c r="B35" s="100" t="s">
        <v>329</v>
      </c>
      <c r="C35" s="447"/>
      <c r="D35" s="582"/>
      <c r="E35" s="444">
        <f t="shared" si="1"/>
        <v>0</v>
      </c>
      <c r="F35" s="765"/>
    </row>
    <row r="36" spans="1:6" ht="12.75" customHeight="1">
      <c r="A36" s="724" t="s">
        <v>211</v>
      </c>
      <c r="B36" s="720" t="s">
        <v>331</v>
      </c>
      <c r="C36" s="446">
        <f>+C25+C24+C23</f>
        <v>25787</v>
      </c>
      <c r="D36" s="446">
        <f t="shared" ref="D36:E36" si="4">+D25+D24+D23</f>
        <v>28687</v>
      </c>
      <c r="E36" s="446">
        <f t="shared" si="4"/>
        <v>28468</v>
      </c>
      <c r="F36" s="766">
        <f t="shared" si="0"/>
        <v>99.236588001533804</v>
      </c>
    </row>
    <row r="37" spans="1:6" ht="12.75" customHeight="1">
      <c r="A37" s="71" t="s">
        <v>213</v>
      </c>
      <c r="B37" s="65" t="s">
        <v>212</v>
      </c>
      <c r="C37" s="444"/>
      <c r="D37" s="579"/>
      <c r="E37" s="444">
        <f t="shared" si="1"/>
        <v>0</v>
      </c>
      <c r="F37" s="765"/>
    </row>
    <row r="38" spans="1:6" ht="12.75" customHeight="1">
      <c r="A38" s="71" t="s">
        <v>215</v>
      </c>
      <c r="B38" s="65" t="s">
        <v>214</v>
      </c>
      <c r="C38" s="444"/>
      <c r="D38" s="579"/>
      <c r="E38" s="444">
        <f t="shared" si="1"/>
        <v>0</v>
      </c>
      <c r="F38" s="765"/>
    </row>
    <row r="39" spans="1:6" s="91" customFormat="1" ht="12.75" customHeight="1">
      <c r="A39" s="724" t="s">
        <v>216</v>
      </c>
      <c r="B39" s="720" t="s">
        <v>334</v>
      </c>
      <c r="C39" s="446">
        <f>SUM(C37:C38)</f>
        <v>0</v>
      </c>
      <c r="D39" s="579"/>
      <c r="E39" s="444">
        <f t="shared" si="1"/>
        <v>0</v>
      </c>
      <c r="F39" s="765"/>
    </row>
    <row r="40" spans="1:6" ht="12.75" customHeight="1">
      <c r="A40" s="71" t="s">
        <v>218</v>
      </c>
      <c r="B40" s="65" t="s">
        <v>217</v>
      </c>
      <c r="C40" s="444"/>
      <c r="D40" s="579"/>
      <c r="E40" s="444">
        <f t="shared" si="1"/>
        <v>0</v>
      </c>
      <c r="F40" s="765"/>
    </row>
    <row r="41" spans="1:6" ht="12.75" customHeight="1">
      <c r="A41" s="71" t="s">
        <v>220</v>
      </c>
      <c r="B41" s="65" t="s">
        <v>219</v>
      </c>
      <c r="C41" s="444"/>
      <c r="D41" s="579"/>
      <c r="E41" s="444">
        <f t="shared" si="1"/>
        <v>0</v>
      </c>
      <c r="F41" s="765"/>
    </row>
    <row r="42" spans="1:6" ht="12.75" customHeight="1">
      <c r="A42" s="724" t="s">
        <v>222</v>
      </c>
      <c r="B42" s="720" t="s">
        <v>221</v>
      </c>
      <c r="C42" s="446">
        <f>+C43+C44+C45</f>
        <v>112000</v>
      </c>
      <c r="D42" s="446">
        <f t="shared" ref="D42:E42" si="5">+D43+D44+D45</f>
        <v>134000</v>
      </c>
      <c r="E42" s="446">
        <f t="shared" si="5"/>
        <v>171960</v>
      </c>
      <c r="F42" s="766">
        <f t="shared" si="0"/>
        <v>128.32835820895522</v>
      </c>
    </row>
    <row r="43" spans="1:6" ht="12.75" customHeight="1">
      <c r="A43" s="71"/>
      <c r="B43" s="100" t="s">
        <v>379</v>
      </c>
      <c r="C43" s="447">
        <v>15000</v>
      </c>
      <c r="D43" s="579">
        <v>20000</v>
      </c>
      <c r="E43" s="444">
        <v>20719</v>
      </c>
      <c r="F43" s="765">
        <f t="shared" si="0"/>
        <v>103.595</v>
      </c>
    </row>
    <row r="44" spans="1:6" ht="12.75" customHeight="1">
      <c r="A44" s="71"/>
      <c r="B44" s="100" t="s">
        <v>380</v>
      </c>
      <c r="C44" s="447">
        <v>57000</v>
      </c>
      <c r="D44" s="579">
        <v>67000</v>
      </c>
      <c r="E44" s="444">
        <v>93679</v>
      </c>
      <c r="F44" s="765">
        <f t="shared" si="0"/>
        <v>139.81940298507462</v>
      </c>
    </row>
    <row r="45" spans="1:6" ht="12.75" customHeight="1">
      <c r="A45" s="71"/>
      <c r="B45" s="100" t="s">
        <v>381</v>
      </c>
      <c r="C45" s="447">
        <v>40000</v>
      </c>
      <c r="D45" s="579">
        <v>47000</v>
      </c>
      <c r="E45" s="444">
        <v>57562</v>
      </c>
      <c r="F45" s="765">
        <f t="shared" si="0"/>
        <v>122.47234042553193</v>
      </c>
    </row>
    <row r="46" spans="1:6" ht="12.75" customHeight="1">
      <c r="A46" s="71" t="s">
        <v>224</v>
      </c>
      <c r="B46" s="65" t="s">
        <v>223</v>
      </c>
      <c r="C46" s="444">
        <v>95000</v>
      </c>
      <c r="D46" s="579">
        <v>110000</v>
      </c>
      <c r="E46" s="444">
        <v>131355</v>
      </c>
      <c r="F46" s="765">
        <f t="shared" si="0"/>
        <v>119.41363636363636</v>
      </c>
    </row>
    <row r="47" spans="1:6" ht="12.75" customHeight="1">
      <c r="A47" s="71" t="s">
        <v>226</v>
      </c>
      <c r="B47" s="65" t="s">
        <v>225</v>
      </c>
      <c r="C47" s="444"/>
      <c r="D47" s="579"/>
      <c r="E47" s="444">
        <f t="shared" si="1"/>
        <v>0</v>
      </c>
      <c r="F47" s="765"/>
    </row>
    <row r="48" spans="1:6" ht="12.75" customHeight="1">
      <c r="A48" s="71" t="s">
        <v>228</v>
      </c>
      <c r="B48" s="65" t="s">
        <v>227</v>
      </c>
      <c r="C48" s="444"/>
      <c r="D48" s="579"/>
      <c r="E48" s="444">
        <f t="shared" si="1"/>
        <v>0</v>
      </c>
      <c r="F48" s="765"/>
    </row>
    <row r="49" spans="1:6" ht="12.75" customHeight="1">
      <c r="A49" s="71" t="s">
        <v>230</v>
      </c>
      <c r="B49" s="65" t="s">
        <v>229</v>
      </c>
      <c r="C49" s="444">
        <v>16600</v>
      </c>
      <c r="D49" s="579">
        <v>16600</v>
      </c>
      <c r="E49" s="444">
        <v>19046</v>
      </c>
      <c r="F49" s="765">
        <f t="shared" si="0"/>
        <v>114.73493975903615</v>
      </c>
    </row>
    <row r="50" spans="1:6" ht="12.75" customHeight="1">
      <c r="A50" s="71" t="s">
        <v>232</v>
      </c>
      <c r="B50" s="65" t="s">
        <v>231</v>
      </c>
      <c r="C50" s="444">
        <v>2800</v>
      </c>
      <c r="D50" s="579">
        <v>1800</v>
      </c>
      <c r="E50" s="444">
        <v>2020</v>
      </c>
      <c r="F50" s="765">
        <f t="shared" si="0"/>
        <v>112.22222222222223</v>
      </c>
    </row>
    <row r="51" spans="1:6" ht="12.75" customHeight="1">
      <c r="A51" s="724" t="s">
        <v>233</v>
      </c>
      <c r="B51" s="720" t="s">
        <v>335</v>
      </c>
      <c r="C51" s="446">
        <f>+C50+C49+C48+C47+C46</f>
        <v>114400</v>
      </c>
      <c r="D51" s="446">
        <f t="shared" ref="D51:E51" si="6">+D50+D49+D48+D47+D46</f>
        <v>128400</v>
      </c>
      <c r="E51" s="446">
        <f t="shared" si="6"/>
        <v>152421</v>
      </c>
      <c r="F51" s="766">
        <f t="shared" si="0"/>
        <v>118.70794392523365</v>
      </c>
    </row>
    <row r="52" spans="1:6" ht="12.75" customHeight="1">
      <c r="A52" s="724" t="s">
        <v>235</v>
      </c>
      <c r="B52" s="720" t="s">
        <v>234</v>
      </c>
      <c r="C52" s="446">
        <v>1700</v>
      </c>
      <c r="D52" s="446">
        <v>1700</v>
      </c>
      <c r="E52" s="446">
        <v>1911</v>
      </c>
      <c r="F52" s="766">
        <f t="shared" si="0"/>
        <v>112.41176470588235</v>
      </c>
    </row>
    <row r="53" spans="1:6" ht="12.75" customHeight="1">
      <c r="A53" s="724" t="s">
        <v>236</v>
      </c>
      <c r="B53" s="720" t="s">
        <v>336</v>
      </c>
      <c r="C53" s="446">
        <f>+C52+C51+C39+C40+C41+C42</f>
        <v>228100</v>
      </c>
      <c r="D53" s="446">
        <f t="shared" ref="D53:E53" si="7">+D52+D51+D39+D40+D41+D42</f>
        <v>264100</v>
      </c>
      <c r="E53" s="446">
        <f t="shared" si="7"/>
        <v>326292</v>
      </c>
      <c r="F53" s="766">
        <f t="shared" si="0"/>
        <v>123.54865581219234</v>
      </c>
    </row>
    <row r="54" spans="1:6" ht="12.75" customHeight="1">
      <c r="A54" s="71" t="s">
        <v>238</v>
      </c>
      <c r="B54" s="65" t="s">
        <v>237</v>
      </c>
      <c r="C54" s="444"/>
      <c r="D54" s="579"/>
      <c r="E54" s="444">
        <f t="shared" si="1"/>
        <v>0</v>
      </c>
      <c r="F54" s="765"/>
    </row>
    <row r="55" spans="1:6" ht="12.75" customHeight="1">
      <c r="A55" s="71" t="s">
        <v>240</v>
      </c>
      <c r="B55" s="65" t="s">
        <v>239</v>
      </c>
      <c r="C55" s="444">
        <v>989</v>
      </c>
      <c r="D55" s="579">
        <v>2684</v>
      </c>
      <c r="E55" s="444">
        <v>2707</v>
      </c>
      <c r="F55" s="765">
        <f t="shared" si="0"/>
        <v>100.85692995529061</v>
      </c>
    </row>
    <row r="56" spans="1:6" ht="12.75" customHeight="1">
      <c r="A56" s="71" t="s">
        <v>242</v>
      </c>
      <c r="B56" s="65" t="s">
        <v>241</v>
      </c>
      <c r="C56" s="444">
        <v>6802</v>
      </c>
      <c r="D56" s="579">
        <v>5802</v>
      </c>
      <c r="E56" s="444">
        <v>4759</v>
      </c>
      <c r="F56" s="765">
        <f t="shared" si="0"/>
        <v>82.023440193036876</v>
      </c>
    </row>
    <row r="57" spans="1:6" ht="12.75" customHeight="1">
      <c r="A57" s="71" t="s">
        <v>244</v>
      </c>
      <c r="B57" s="65" t="s">
        <v>243</v>
      </c>
      <c r="C57" s="444">
        <v>16400</v>
      </c>
      <c r="D57" s="579">
        <v>16783</v>
      </c>
      <c r="E57" s="444">
        <v>16338</v>
      </c>
      <c r="F57" s="765">
        <f t="shared" si="0"/>
        <v>97.348507418220819</v>
      </c>
    </row>
    <row r="58" spans="1:6" ht="12.75" customHeight="1">
      <c r="A58" s="71" t="s">
        <v>246</v>
      </c>
      <c r="B58" s="65" t="s">
        <v>245</v>
      </c>
      <c r="C58" s="444"/>
      <c r="D58" s="579"/>
      <c r="E58" s="444">
        <f t="shared" si="1"/>
        <v>0</v>
      </c>
      <c r="F58" s="765"/>
    </row>
    <row r="59" spans="1:6" ht="12.75" customHeight="1">
      <c r="A59" s="71" t="s">
        <v>248</v>
      </c>
      <c r="B59" s="65" t="s">
        <v>247</v>
      </c>
      <c r="C59" s="444">
        <v>6532</v>
      </c>
      <c r="D59" s="579">
        <v>7666</v>
      </c>
      <c r="E59" s="444">
        <v>5600</v>
      </c>
      <c r="F59" s="765">
        <f t="shared" si="0"/>
        <v>73.049830420036528</v>
      </c>
    </row>
    <row r="60" spans="1:6" ht="12.75" customHeight="1">
      <c r="A60" s="71" t="s">
        <v>250</v>
      </c>
      <c r="B60" s="65" t="s">
        <v>249</v>
      </c>
      <c r="C60" s="444">
        <f>4428+1802</f>
        <v>6230</v>
      </c>
      <c r="D60" s="579">
        <v>6230</v>
      </c>
      <c r="E60" s="444">
        <v>3748</v>
      </c>
      <c r="F60" s="765">
        <f t="shared" si="0"/>
        <v>60.160513643659705</v>
      </c>
    </row>
    <row r="61" spans="1:6" ht="12.75" customHeight="1">
      <c r="A61" s="71" t="s">
        <v>252</v>
      </c>
      <c r="B61" s="65" t="s">
        <v>251</v>
      </c>
      <c r="C61" s="444">
        <v>3000</v>
      </c>
      <c r="D61" s="579">
        <v>3000</v>
      </c>
      <c r="E61" s="444">
        <v>3774</v>
      </c>
      <c r="F61" s="765">
        <f t="shared" si="0"/>
        <v>125.8</v>
      </c>
    </row>
    <row r="62" spans="1:6" ht="12.75" customHeight="1">
      <c r="A62" s="71" t="s">
        <v>254</v>
      </c>
      <c r="B62" s="65" t="s">
        <v>253</v>
      </c>
      <c r="C62" s="444"/>
      <c r="D62" s="579"/>
      <c r="E62" s="444"/>
      <c r="F62" s="765"/>
    </row>
    <row r="63" spans="1:6" ht="12.75" customHeight="1">
      <c r="A63" s="71" t="s">
        <v>256</v>
      </c>
      <c r="B63" s="65" t="s">
        <v>255</v>
      </c>
      <c r="C63" s="444">
        <f>1200+810</f>
        <v>2010</v>
      </c>
      <c r="D63" s="579">
        <v>1033</v>
      </c>
      <c r="E63" s="444">
        <v>1905</v>
      </c>
      <c r="F63" s="765">
        <f t="shared" si="0"/>
        <v>184.41432720232334</v>
      </c>
    </row>
    <row r="64" spans="1:6" ht="12.75" customHeight="1">
      <c r="A64" s="724" t="s">
        <v>257</v>
      </c>
      <c r="B64" s="720" t="s">
        <v>282</v>
      </c>
      <c r="C64" s="446">
        <f>SUM(C54:C63)</f>
        <v>41963</v>
      </c>
      <c r="D64" s="446">
        <f>SUM(D54:D63)</f>
        <v>43198</v>
      </c>
      <c r="E64" s="446">
        <f>SUM(E54:E63)</f>
        <v>38831</v>
      </c>
      <c r="F64" s="766">
        <f t="shared" si="0"/>
        <v>89.890735682207506</v>
      </c>
    </row>
    <row r="65" spans="1:6" ht="12.75" customHeight="1">
      <c r="A65" s="724" t="s">
        <v>258</v>
      </c>
      <c r="B65" s="720" t="s">
        <v>281</v>
      </c>
      <c r="C65" s="446">
        <v>0</v>
      </c>
      <c r="D65" s="581">
        <v>145</v>
      </c>
      <c r="E65" s="446">
        <v>174</v>
      </c>
      <c r="F65" s="765"/>
    </row>
    <row r="66" spans="1:6" ht="12.75" customHeight="1">
      <c r="A66" s="71" t="s">
        <v>542</v>
      </c>
      <c r="B66" s="65" t="s">
        <v>543</v>
      </c>
      <c r="C66" s="444">
        <v>19500</v>
      </c>
      <c r="D66" s="579">
        <v>39000</v>
      </c>
      <c r="E66" s="444">
        <v>24008</v>
      </c>
      <c r="F66" s="765">
        <f t="shared" si="0"/>
        <v>61.558974358974361</v>
      </c>
    </row>
    <row r="67" spans="1:6" ht="12.75" customHeight="1">
      <c r="A67" s="71" t="s">
        <v>260</v>
      </c>
      <c r="B67" s="65" t="s">
        <v>259</v>
      </c>
      <c r="C67" s="444">
        <f>42+3500</f>
        <v>3542</v>
      </c>
      <c r="D67" s="579">
        <v>5142</v>
      </c>
      <c r="E67" s="444">
        <v>5142</v>
      </c>
      <c r="F67" s="765">
        <f t="shared" si="0"/>
        <v>100</v>
      </c>
    </row>
    <row r="68" spans="1:6" ht="12.75" customHeight="1">
      <c r="A68" s="724" t="s">
        <v>261</v>
      </c>
      <c r="B68" s="720" t="s">
        <v>280</v>
      </c>
      <c r="C68" s="446">
        <f>+C67+C66</f>
        <v>23042</v>
      </c>
      <c r="D68" s="446">
        <f>+D67+D66</f>
        <v>44142</v>
      </c>
      <c r="E68" s="446">
        <f>+E67+E66</f>
        <v>29150</v>
      </c>
      <c r="F68" s="766">
        <f t="shared" si="0"/>
        <v>66.036880975035118</v>
      </c>
    </row>
    <row r="69" spans="1:6" ht="12.75" customHeight="1">
      <c r="A69" s="71" t="s">
        <v>715</v>
      </c>
      <c r="B69" s="65" t="s">
        <v>713</v>
      </c>
      <c r="C69" s="444"/>
      <c r="D69" s="579">
        <v>20857</v>
      </c>
      <c r="E69" s="444">
        <v>20857</v>
      </c>
      <c r="F69" s="765">
        <f t="shared" ref="F69:F81" si="8">E69/D69*100</f>
        <v>100</v>
      </c>
    </row>
    <row r="70" spans="1:6" ht="12.75" customHeight="1">
      <c r="A70" s="71" t="s">
        <v>714</v>
      </c>
      <c r="B70" s="65" t="s">
        <v>262</v>
      </c>
      <c r="C70" s="444">
        <v>14311</v>
      </c>
      <c r="D70" s="579">
        <v>25729</v>
      </c>
      <c r="E70" s="444">
        <v>25729</v>
      </c>
      <c r="F70" s="765">
        <f t="shared" si="8"/>
        <v>100</v>
      </c>
    </row>
    <row r="71" spans="1:6" ht="12.75" customHeight="1">
      <c r="A71" s="724" t="s">
        <v>264</v>
      </c>
      <c r="B71" s="720" t="s">
        <v>286</v>
      </c>
      <c r="C71" s="446">
        <f>+C70+C69</f>
        <v>14311</v>
      </c>
      <c r="D71" s="581">
        <f t="shared" ref="D71:E71" si="9">+D70+D69</f>
        <v>46586</v>
      </c>
      <c r="E71" s="581">
        <f t="shared" si="9"/>
        <v>46586</v>
      </c>
      <c r="F71" s="765">
        <f t="shared" si="8"/>
        <v>100</v>
      </c>
    </row>
    <row r="72" spans="1:6" ht="12.75" customHeight="1">
      <c r="A72" s="724" t="s">
        <v>265</v>
      </c>
      <c r="B72" s="720" t="s">
        <v>278</v>
      </c>
      <c r="C72" s="446">
        <f>+C71+C68+C65+C64+C53+C36+C22</f>
        <v>943684</v>
      </c>
      <c r="D72" s="581">
        <f>+D71+D68+D65+D64+D53+D36+D22</f>
        <v>1048180</v>
      </c>
      <c r="E72" s="581">
        <f>+E71+E68+E65+E64+E53+E36+E22</f>
        <v>1089691</v>
      </c>
      <c r="F72" s="766">
        <f t="shared" si="8"/>
        <v>103.96029307943293</v>
      </c>
    </row>
    <row r="73" spans="1:6" ht="12.75" customHeight="1">
      <c r="A73" s="71" t="s">
        <v>642</v>
      </c>
      <c r="B73" s="65" t="s">
        <v>643</v>
      </c>
      <c r="C73" s="444">
        <v>150000</v>
      </c>
      <c r="D73" s="579">
        <v>0</v>
      </c>
      <c r="E73" s="444"/>
      <c r="F73" s="765"/>
    </row>
    <row r="74" spans="1:6" s="87" customFormat="1" ht="12.75" customHeight="1">
      <c r="A74" s="724" t="s">
        <v>645</v>
      </c>
      <c r="B74" s="720" t="s">
        <v>644</v>
      </c>
      <c r="C74" s="446">
        <f t="shared" ref="C74:E74" si="10">+C73</f>
        <v>150000</v>
      </c>
      <c r="D74" s="446">
        <f t="shared" si="10"/>
        <v>0</v>
      </c>
      <c r="E74" s="446">
        <f t="shared" si="10"/>
        <v>0</v>
      </c>
      <c r="F74" s="765"/>
    </row>
    <row r="75" spans="1:6">
      <c r="A75" s="65" t="s">
        <v>275</v>
      </c>
      <c r="B75" s="65" t="s">
        <v>274</v>
      </c>
      <c r="C75" s="448">
        <f>+C76+C77</f>
        <v>430822</v>
      </c>
      <c r="D75" s="583">
        <v>475840</v>
      </c>
      <c r="E75" s="444">
        <v>475840</v>
      </c>
      <c r="F75" s="765">
        <f t="shared" si="8"/>
        <v>100</v>
      </c>
    </row>
    <row r="76" spans="1:6" s="102" customFormat="1">
      <c r="A76" s="767"/>
      <c r="B76" s="100" t="s">
        <v>408</v>
      </c>
      <c r="C76" s="447">
        <v>15000</v>
      </c>
      <c r="D76" s="582">
        <v>60018</v>
      </c>
      <c r="E76" s="447">
        <v>60018</v>
      </c>
      <c r="F76" s="765">
        <f t="shared" si="8"/>
        <v>100</v>
      </c>
    </row>
    <row r="77" spans="1:6" s="102" customFormat="1">
      <c r="A77" s="767"/>
      <c r="B77" s="100" t="s">
        <v>409</v>
      </c>
      <c r="C77" s="447">
        <f>300000+94000+21822</f>
        <v>415822</v>
      </c>
      <c r="D77" s="582">
        <v>415822</v>
      </c>
      <c r="E77" s="447">
        <v>415822</v>
      </c>
      <c r="F77" s="765">
        <f t="shared" si="8"/>
        <v>100</v>
      </c>
    </row>
    <row r="78" spans="1:6">
      <c r="A78" s="720" t="s">
        <v>276</v>
      </c>
      <c r="B78" s="720" t="s">
        <v>337</v>
      </c>
      <c r="C78" s="446">
        <f>+C75</f>
        <v>430822</v>
      </c>
      <c r="D78" s="581">
        <f>+D75</f>
        <v>475840</v>
      </c>
      <c r="E78" s="581">
        <f>+E75</f>
        <v>475840</v>
      </c>
      <c r="F78" s="766">
        <f t="shared" si="8"/>
        <v>100</v>
      </c>
    </row>
    <row r="79" spans="1:6">
      <c r="A79" s="1169" t="s">
        <v>1287</v>
      </c>
      <c r="B79" s="1169" t="s">
        <v>1288</v>
      </c>
      <c r="C79" s="446"/>
      <c r="D79" s="581"/>
      <c r="E79" s="581">
        <v>19584</v>
      </c>
      <c r="F79" s="766"/>
    </row>
    <row r="80" spans="1:6">
      <c r="A80" s="1169" t="s">
        <v>1285</v>
      </c>
      <c r="B80" s="1169" t="s">
        <v>1286</v>
      </c>
      <c r="C80" s="446"/>
      <c r="D80" s="581"/>
      <c r="E80" s="581">
        <v>460250</v>
      </c>
      <c r="F80" s="766"/>
    </row>
    <row r="81" spans="1:6">
      <c r="A81" s="720" t="s">
        <v>277</v>
      </c>
      <c r="B81" s="724" t="s">
        <v>338</v>
      </c>
      <c r="C81" s="446">
        <f>+C78+C74</f>
        <v>580822</v>
      </c>
      <c r="D81" s="581">
        <f>+D78+D74</f>
        <v>475840</v>
      </c>
      <c r="E81" s="581">
        <f>+E78+E74+E80+E79</f>
        <v>955674</v>
      </c>
      <c r="F81" s="766">
        <f t="shared" si="8"/>
        <v>200.83935776731673</v>
      </c>
    </row>
  </sheetData>
  <mergeCells count="5">
    <mergeCell ref="A2:A3"/>
    <mergeCell ref="B2:B3"/>
    <mergeCell ref="C2:E2"/>
    <mergeCell ref="F2:F3"/>
    <mergeCell ref="C1:F1"/>
  </mergeCells>
  <pageMargins left="0.70866141732283472" right="0.70866141732283472" top="0.74803149606299213" bottom="0.74803149606299213" header="0.31496062992125984" footer="0.31496062992125984"/>
  <pageSetup paperSize="9" scale="73" orientation="portrait" cellComments="asDisplayed" errors="blank" r:id="rId1"/>
  <headerFooter>
    <oddHeader>&amp;C&amp;"Times New Roman,Félkövér"&amp;12Martonvásár Város Önkormányzatának bevételei 2015&amp;"Times New Roman,Normál".
&amp;"Times New Roman,Dőlt"(intézmények nélkül)&amp;R&amp;"Times New Roman,Normál"&amp;10 3. melléklet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topLeftCell="A31" workbookViewId="0">
      <selection activeCell="A48" sqref="A48"/>
    </sheetView>
  </sheetViews>
  <sheetFormatPr defaultRowHeight="15"/>
  <cols>
    <col min="1" max="1" width="43.42578125" style="487" customWidth="1"/>
    <col min="2" max="2" width="15.42578125" style="487" customWidth="1"/>
    <col min="3" max="3" width="13" style="487" customWidth="1"/>
    <col min="4" max="4" width="14.42578125" style="487" customWidth="1"/>
    <col min="5" max="16384" width="9.140625" style="487"/>
  </cols>
  <sheetData>
    <row r="1" spans="1:5" ht="15.75" thickBot="1"/>
    <row r="2" spans="1:5">
      <c r="A2" s="1211" t="s">
        <v>570</v>
      </c>
      <c r="B2" s="1212"/>
      <c r="C2" s="1212"/>
      <c r="D2" s="1212"/>
      <c r="E2" s="768"/>
    </row>
    <row r="3" spans="1:5">
      <c r="A3" s="488"/>
      <c r="B3" s="489"/>
      <c r="C3" s="489"/>
      <c r="D3" s="489"/>
      <c r="E3" s="769"/>
    </row>
    <row r="4" spans="1:5" s="510" customFormat="1" ht="27.75" customHeight="1">
      <c r="A4" s="509" t="s">
        <v>285</v>
      </c>
      <c r="B4" s="770" t="s">
        <v>569</v>
      </c>
      <c r="C4" s="770" t="s">
        <v>544</v>
      </c>
      <c r="D4" s="770" t="s">
        <v>749</v>
      </c>
      <c r="E4" s="771" t="s">
        <v>769</v>
      </c>
    </row>
    <row r="5" spans="1:5">
      <c r="A5" s="488" t="s">
        <v>545</v>
      </c>
      <c r="B5" s="490">
        <v>1080000</v>
      </c>
      <c r="C5" s="490">
        <v>1080000</v>
      </c>
      <c r="D5" s="490">
        <v>1078000</v>
      </c>
      <c r="E5" s="776">
        <f>D5/C5*100</f>
        <v>99.81481481481481</v>
      </c>
    </row>
    <row r="6" spans="1:5">
      <c r="A6" s="488" t="s">
        <v>546</v>
      </c>
      <c r="B6" s="490">
        <v>25267000</v>
      </c>
      <c r="C6" s="490">
        <v>14267000</v>
      </c>
      <c r="D6" s="490">
        <v>13491761</v>
      </c>
      <c r="E6" s="776">
        <f t="shared" ref="E6:E29" si="0">D6/C6*100</f>
        <v>94.566208733440803</v>
      </c>
    </row>
    <row r="7" spans="1:5">
      <c r="A7" s="488" t="s">
        <v>547</v>
      </c>
      <c r="B7" s="490">
        <v>5000000</v>
      </c>
      <c r="C7" s="490">
        <v>8001000</v>
      </c>
      <c r="D7" s="490">
        <v>8001285</v>
      </c>
      <c r="E7" s="776">
        <f t="shared" si="0"/>
        <v>100.00356205474317</v>
      </c>
    </row>
    <row r="8" spans="1:5">
      <c r="A8" s="488" t="s">
        <v>548</v>
      </c>
      <c r="B8" s="490">
        <v>8550000</v>
      </c>
      <c r="C8" s="490">
        <v>8550000</v>
      </c>
      <c r="D8" s="490">
        <v>8549000</v>
      </c>
      <c r="E8" s="776">
        <f t="shared" si="0"/>
        <v>99.988304093567251</v>
      </c>
    </row>
    <row r="9" spans="1:5">
      <c r="A9" s="488" t="s">
        <v>549</v>
      </c>
      <c r="B9" s="490">
        <v>13446000</v>
      </c>
      <c r="C9" s="490">
        <v>13446000</v>
      </c>
      <c r="D9" s="490">
        <v>13073400</v>
      </c>
      <c r="E9" s="776">
        <f t="shared" si="0"/>
        <v>97.228915662650607</v>
      </c>
    </row>
    <row r="10" spans="1:5">
      <c r="A10" s="488" t="s">
        <v>550</v>
      </c>
      <c r="B10" s="490">
        <v>800000</v>
      </c>
      <c r="C10" s="490">
        <v>1514000</v>
      </c>
      <c r="D10" s="490">
        <v>1513908</v>
      </c>
      <c r="E10" s="776">
        <f t="shared" si="0"/>
        <v>99.993923381770145</v>
      </c>
    </row>
    <row r="11" spans="1:5">
      <c r="A11" s="488" t="s">
        <v>551</v>
      </c>
      <c r="B11" s="490">
        <v>250000</v>
      </c>
      <c r="C11" s="490">
        <v>250000</v>
      </c>
      <c r="D11" s="490">
        <v>270115</v>
      </c>
      <c r="E11" s="776">
        <f t="shared" si="0"/>
        <v>108.04599999999999</v>
      </c>
    </row>
    <row r="12" spans="1:5">
      <c r="A12" s="488" t="s">
        <v>572</v>
      </c>
      <c r="B12" s="490">
        <v>3521000</v>
      </c>
      <c r="C12" s="490">
        <v>114000</v>
      </c>
      <c r="D12" s="490">
        <v>0</v>
      </c>
      <c r="E12" s="776">
        <f t="shared" si="0"/>
        <v>0</v>
      </c>
    </row>
    <row r="13" spans="1:5">
      <c r="A13" s="488" t="s">
        <v>723</v>
      </c>
      <c r="B13" s="490"/>
      <c r="C13" s="490">
        <v>415000</v>
      </c>
      <c r="D13" s="490">
        <v>415000</v>
      </c>
      <c r="E13" s="776">
        <f>D13/C13*100</f>
        <v>100</v>
      </c>
    </row>
    <row r="14" spans="1:5">
      <c r="A14" s="488" t="s">
        <v>811</v>
      </c>
      <c r="B14" s="490"/>
      <c r="C14" s="490">
        <v>143000</v>
      </c>
      <c r="D14" s="490">
        <v>142920</v>
      </c>
      <c r="E14" s="776">
        <f>D14/C14*100</f>
        <v>99.944055944055947</v>
      </c>
    </row>
    <row r="15" spans="1:5">
      <c r="A15" s="488" t="s">
        <v>812</v>
      </c>
      <c r="B15" s="490"/>
      <c r="C15" s="490">
        <v>4084000</v>
      </c>
      <c r="D15" s="490">
        <v>4084270</v>
      </c>
      <c r="E15" s="776">
        <f>D15/C15*100</f>
        <v>100.00661116552401</v>
      </c>
    </row>
    <row r="16" spans="1:5">
      <c r="A16" s="488" t="s">
        <v>785</v>
      </c>
      <c r="B16" s="490"/>
      <c r="C16" s="490">
        <v>1526000</v>
      </c>
      <c r="D16" s="490">
        <v>1525400</v>
      </c>
      <c r="E16" s="776">
        <f>D16/C16*100</f>
        <v>99.960681520314537</v>
      </c>
    </row>
    <row r="17" spans="1:5" s="813" customFormat="1">
      <c r="A17" s="810" t="s">
        <v>813</v>
      </c>
      <c r="B17" s="811">
        <f>SUM(B5:B16)</f>
        <v>57914000</v>
      </c>
      <c r="C17" s="811">
        <f t="shared" ref="C17:D17" si="1">SUM(C5:C16)</f>
        <v>53390000</v>
      </c>
      <c r="D17" s="811">
        <f t="shared" si="1"/>
        <v>52145059</v>
      </c>
      <c r="E17" s="776">
        <f>D17/C17*100</f>
        <v>97.668213148529688</v>
      </c>
    </row>
    <row r="18" spans="1:5" s="813" customFormat="1" ht="14.25">
      <c r="A18" s="810"/>
      <c r="B18" s="811"/>
      <c r="C18" s="811"/>
      <c r="D18" s="811"/>
      <c r="E18" s="812"/>
    </row>
    <row r="19" spans="1:5">
      <c r="A19" s="488" t="s">
        <v>786</v>
      </c>
      <c r="B19" s="490"/>
      <c r="C19" s="490">
        <v>48000</v>
      </c>
      <c r="D19" s="490">
        <v>47899</v>
      </c>
      <c r="E19" s="776">
        <f>D19/C19*100</f>
        <v>99.789583333333326</v>
      </c>
    </row>
    <row r="20" spans="1:5">
      <c r="A20" s="506" t="s">
        <v>1231</v>
      </c>
      <c r="B20" s="789">
        <f>+B19</f>
        <v>0</v>
      </c>
      <c r="C20" s="789">
        <f t="shared" ref="C20:D20" si="2">+C19</f>
        <v>48000</v>
      </c>
      <c r="D20" s="789">
        <f t="shared" si="2"/>
        <v>47899</v>
      </c>
      <c r="E20" s="776">
        <f>D20/C20*100</f>
        <v>99.789583333333326</v>
      </c>
    </row>
    <row r="21" spans="1:5">
      <c r="A21" s="501"/>
      <c r="B21" s="502"/>
      <c r="C21" s="490"/>
      <c r="D21" s="490"/>
      <c r="E21" s="776"/>
    </row>
    <row r="22" spans="1:5">
      <c r="A22" s="501" t="s">
        <v>638</v>
      </c>
      <c r="B22" s="502">
        <v>4000000</v>
      </c>
      <c r="C22" s="490">
        <v>0</v>
      </c>
      <c r="D22" s="490"/>
      <c r="E22" s="776"/>
    </row>
    <row r="23" spans="1:5">
      <c r="A23" s="488" t="s">
        <v>793</v>
      </c>
      <c r="B23" s="490"/>
      <c r="C23" s="490">
        <v>1000000</v>
      </c>
      <c r="D23" s="490">
        <v>1000000</v>
      </c>
      <c r="E23" s="776">
        <f t="shared" si="0"/>
        <v>100</v>
      </c>
    </row>
    <row r="24" spans="1:5">
      <c r="A24" s="488" t="s">
        <v>792</v>
      </c>
      <c r="B24" s="490"/>
      <c r="C24" s="490">
        <v>2500000</v>
      </c>
      <c r="D24" s="490">
        <v>2500000</v>
      </c>
      <c r="E24" s="776">
        <f t="shared" si="0"/>
        <v>100</v>
      </c>
    </row>
    <row r="25" spans="1:5">
      <c r="A25" s="488" t="s">
        <v>791</v>
      </c>
      <c r="B25" s="490"/>
      <c r="C25" s="490">
        <v>3000000</v>
      </c>
      <c r="D25" s="490">
        <v>3000000</v>
      </c>
      <c r="E25" s="776">
        <f t="shared" si="0"/>
        <v>100</v>
      </c>
    </row>
    <row r="26" spans="1:5">
      <c r="A26" s="488" t="s">
        <v>804</v>
      </c>
      <c r="B26" s="490"/>
      <c r="C26" s="490">
        <v>750000</v>
      </c>
      <c r="D26" s="490">
        <v>750000</v>
      </c>
      <c r="E26" s="776">
        <f t="shared" si="0"/>
        <v>100</v>
      </c>
    </row>
    <row r="27" spans="1:5">
      <c r="A27" s="810" t="s">
        <v>1232</v>
      </c>
      <c r="B27" s="811">
        <f>SUM(B22:B26)</f>
        <v>4000000</v>
      </c>
      <c r="C27" s="811">
        <f t="shared" ref="C27:D27" si="3">SUM(C22:C26)</f>
        <v>7250000</v>
      </c>
      <c r="D27" s="811">
        <f t="shared" si="3"/>
        <v>7250000</v>
      </c>
      <c r="E27" s="776">
        <f t="shared" si="0"/>
        <v>100</v>
      </c>
    </row>
    <row r="28" spans="1:5">
      <c r="A28" s="488"/>
      <c r="B28" s="490"/>
      <c r="C28" s="490"/>
      <c r="D28" s="490"/>
      <c r="E28" s="776"/>
    </row>
    <row r="29" spans="1:5" ht="15.75" thickBot="1">
      <c r="A29" s="491" t="s">
        <v>179</v>
      </c>
      <c r="B29" s="772">
        <f>+B27+B20+B17</f>
        <v>61914000</v>
      </c>
      <c r="C29" s="772">
        <f t="shared" ref="C29:D29" si="4">+C27+C20+C17</f>
        <v>60688000</v>
      </c>
      <c r="D29" s="772">
        <f t="shared" si="4"/>
        <v>59442958</v>
      </c>
      <c r="E29" s="777">
        <f t="shared" si="0"/>
        <v>97.948454389665173</v>
      </c>
    </row>
    <row r="30" spans="1:5">
      <c r="A30" s="492"/>
      <c r="B30" s="492"/>
      <c r="C30" s="493"/>
      <c r="D30" s="493"/>
    </row>
    <row r="31" spans="1:5" ht="15.75" thickBot="1">
      <c r="A31" s="494"/>
      <c r="B31" s="494"/>
      <c r="C31" s="494"/>
      <c r="D31" s="495"/>
    </row>
    <row r="32" spans="1:5">
      <c r="A32" s="1211" t="s">
        <v>571</v>
      </c>
      <c r="B32" s="1212"/>
      <c r="C32" s="1212"/>
      <c r="D32" s="1212"/>
      <c r="E32" s="768"/>
    </row>
    <row r="33" spans="1:5">
      <c r="A33" s="488"/>
      <c r="B33" s="489"/>
      <c r="C33" s="489"/>
      <c r="D33" s="489"/>
      <c r="E33" s="769"/>
    </row>
    <row r="34" spans="1:5" s="510" customFormat="1" ht="27.75" customHeight="1">
      <c r="A34" s="509" t="s">
        <v>285</v>
      </c>
      <c r="B34" s="770" t="s">
        <v>569</v>
      </c>
      <c r="C34" s="770" t="s">
        <v>544</v>
      </c>
      <c r="D34" s="770" t="s">
        <v>749</v>
      </c>
      <c r="E34" s="771" t="s">
        <v>769</v>
      </c>
    </row>
    <row r="35" spans="1:5">
      <c r="A35" s="488" t="s">
        <v>581</v>
      </c>
      <c r="B35" s="490">
        <v>12341000</v>
      </c>
      <c r="C35" s="490">
        <v>12341000</v>
      </c>
      <c r="D35" s="490">
        <v>12288692</v>
      </c>
      <c r="E35" s="776">
        <f>D35/C35*100</f>
        <v>99.576144558787789</v>
      </c>
    </row>
    <row r="36" spans="1:5">
      <c r="A36" s="488" t="s">
        <v>582</v>
      </c>
      <c r="B36" s="490">
        <v>13446000</v>
      </c>
      <c r="C36" s="490">
        <v>13446000</v>
      </c>
      <c r="D36" s="490">
        <v>13279089</v>
      </c>
      <c r="E36" s="776">
        <f t="shared" ref="E36:E43" si="5">D36/C36*100</f>
        <v>98.758656849620706</v>
      </c>
    </row>
    <row r="37" spans="1:5">
      <c r="A37" s="488" t="s">
        <v>784</v>
      </c>
      <c r="B37" s="490"/>
      <c r="C37" s="490">
        <v>200000</v>
      </c>
      <c r="D37" s="490">
        <v>200000</v>
      </c>
      <c r="E37" s="776">
        <f t="shared" si="5"/>
        <v>100</v>
      </c>
    </row>
    <row r="38" spans="1:5">
      <c r="A38" s="488" t="s">
        <v>814</v>
      </c>
      <c r="B38" s="490"/>
      <c r="C38" s="490">
        <v>2000000</v>
      </c>
      <c r="D38" s="490">
        <v>2000000</v>
      </c>
      <c r="E38" s="776">
        <f t="shared" si="5"/>
        <v>100</v>
      </c>
    </row>
    <row r="39" spans="1:5">
      <c r="A39" s="488" t="s">
        <v>815</v>
      </c>
      <c r="B39" s="490"/>
      <c r="C39" s="490">
        <v>700000</v>
      </c>
      <c r="D39" s="490">
        <v>700000</v>
      </c>
      <c r="E39" s="776">
        <f t="shared" si="5"/>
        <v>100</v>
      </c>
    </row>
    <row r="40" spans="1:5">
      <c r="A40" s="810" t="s">
        <v>816</v>
      </c>
      <c r="B40" s="811">
        <f>SUM(B35:B39)</f>
        <v>25787000</v>
      </c>
      <c r="C40" s="811">
        <f t="shared" ref="C40:D40" si="6">SUM(C35:C39)</f>
        <v>28687000</v>
      </c>
      <c r="D40" s="811">
        <f t="shared" si="6"/>
        <v>28467781</v>
      </c>
      <c r="E40" s="490"/>
    </row>
    <row r="41" spans="1:5">
      <c r="A41" s="488" t="s">
        <v>583</v>
      </c>
      <c r="B41" s="490">
        <v>2990000</v>
      </c>
      <c r="C41" s="490">
        <v>2990000</v>
      </c>
      <c r="D41" s="490">
        <v>2567019</v>
      </c>
      <c r="E41" s="776">
        <f t="shared" si="5"/>
        <v>85.853478260869565</v>
      </c>
    </row>
    <row r="42" spans="1:5">
      <c r="A42" s="810" t="s">
        <v>1230</v>
      </c>
      <c r="B42" s="811">
        <f>+B41</f>
        <v>2990000</v>
      </c>
      <c r="C42" s="811">
        <f t="shared" ref="C42:D42" si="7">+C41</f>
        <v>2990000</v>
      </c>
      <c r="D42" s="811">
        <f t="shared" si="7"/>
        <v>2567019</v>
      </c>
      <c r="E42" s="812">
        <f t="shared" si="5"/>
        <v>85.853478260869565</v>
      </c>
    </row>
    <row r="43" spans="1:5" ht="15.75" thickBot="1">
      <c r="A43" s="491" t="s">
        <v>179</v>
      </c>
      <c r="B43" s="772">
        <f>+B42+B40</f>
        <v>28777000</v>
      </c>
      <c r="C43" s="772">
        <f t="shared" ref="C43:D43" si="8">+C42+C40</f>
        <v>31677000</v>
      </c>
      <c r="D43" s="772">
        <f t="shared" si="8"/>
        <v>31034800</v>
      </c>
      <c r="E43" s="777">
        <f t="shared" si="5"/>
        <v>97.972661552546015</v>
      </c>
    </row>
    <row r="44" spans="1:5">
      <c r="A44" s="496"/>
      <c r="B44" s="496"/>
      <c r="C44" s="497"/>
      <c r="D44" s="497"/>
    </row>
    <row r="45" spans="1:5" ht="15.75" thickBot="1">
      <c r="A45" s="494"/>
      <c r="B45" s="494"/>
      <c r="C45" s="494"/>
      <c r="D45" s="495"/>
    </row>
    <row r="46" spans="1:5">
      <c r="A46" s="1211" t="s">
        <v>573</v>
      </c>
      <c r="B46" s="1212"/>
      <c r="C46" s="1212"/>
      <c r="D46" s="1212"/>
      <c r="E46" s="768"/>
    </row>
    <row r="47" spans="1:5">
      <c r="A47" s="773"/>
      <c r="B47" s="774"/>
      <c r="C47" s="774"/>
      <c r="D47" s="774"/>
      <c r="E47" s="769"/>
    </row>
    <row r="48" spans="1:5" s="510" customFormat="1" ht="27.75" customHeight="1">
      <c r="A48" s="509" t="s">
        <v>285</v>
      </c>
      <c r="B48" s="770" t="s">
        <v>569</v>
      </c>
      <c r="C48" s="770" t="s">
        <v>544</v>
      </c>
      <c r="D48" s="770" t="s">
        <v>749</v>
      </c>
      <c r="E48" s="771" t="s">
        <v>769</v>
      </c>
    </row>
    <row r="49" spans="1:5">
      <c r="A49" s="498" t="s">
        <v>552</v>
      </c>
      <c r="B49" s="499">
        <v>3500000</v>
      </c>
      <c r="C49" s="499">
        <v>3500000</v>
      </c>
      <c r="D49" s="499">
        <v>3500000</v>
      </c>
      <c r="E49" s="776">
        <f>D49/C49*100</f>
        <v>100</v>
      </c>
    </row>
    <row r="50" spans="1:5">
      <c r="A50" s="488" t="s">
        <v>553</v>
      </c>
      <c r="B50" s="499">
        <v>42500</v>
      </c>
      <c r="C50" s="499">
        <v>42500</v>
      </c>
      <c r="D50" s="499">
        <v>42500</v>
      </c>
      <c r="E50" s="776">
        <f t="shared" ref="E50:E55" si="9">D50/C50*100</f>
        <v>100</v>
      </c>
    </row>
    <row r="51" spans="1:5">
      <c r="A51" s="488" t="s">
        <v>575</v>
      </c>
      <c r="B51" s="499">
        <v>19500000</v>
      </c>
      <c r="C51" s="499">
        <v>39000000</v>
      </c>
      <c r="D51" s="499">
        <v>24000000</v>
      </c>
      <c r="E51" s="776">
        <f t="shared" si="9"/>
        <v>61.53846153846154</v>
      </c>
    </row>
    <row r="52" spans="1:5">
      <c r="A52" s="488" t="s">
        <v>787</v>
      </c>
      <c r="B52" s="499"/>
      <c r="C52" s="499">
        <v>1600000</v>
      </c>
      <c r="D52" s="499">
        <v>1600000</v>
      </c>
      <c r="E52" s="776">
        <f t="shared" si="9"/>
        <v>100</v>
      </c>
    </row>
    <row r="53" spans="1:5">
      <c r="A53" s="488" t="s">
        <v>817</v>
      </c>
      <c r="B53" s="499"/>
      <c r="C53" s="499"/>
      <c r="D53" s="499">
        <v>7631</v>
      </c>
      <c r="E53" s="776"/>
    </row>
    <row r="54" spans="1:5">
      <c r="A54" s="488"/>
      <c r="B54" s="499"/>
      <c r="C54" s="499"/>
      <c r="D54" s="499"/>
      <c r="E54" s="776"/>
    </row>
    <row r="55" spans="1:5" ht="15.75" thickBot="1">
      <c r="A55" s="491" t="s">
        <v>179</v>
      </c>
      <c r="B55" s="775">
        <f>SUM(B49:B54)</f>
        <v>23042500</v>
      </c>
      <c r="C55" s="775">
        <f t="shared" ref="C55:D55" si="10">SUM(C49:C54)</f>
        <v>44142500</v>
      </c>
      <c r="D55" s="775">
        <f t="shared" si="10"/>
        <v>29150131</v>
      </c>
      <c r="E55" s="777">
        <f t="shared" si="9"/>
        <v>66.036429744577219</v>
      </c>
    </row>
    <row r="56" spans="1:5" ht="15.75" thickBot="1">
      <c r="A56" s="494"/>
      <c r="B56" s="494"/>
      <c r="C56" s="494"/>
      <c r="D56" s="494"/>
    </row>
    <row r="57" spans="1:5">
      <c r="A57" s="1211" t="s">
        <v>574</v>
      </c>
      <c r="B57" s="1212"/>
      <c r="C57" s="1212"/>
      <c r="D57" s="1212"/>
      <c r="E57" s="768"/>
    </row>
    <row r="58" spans="1:5">
      <c r="A58" s="773"/>
      <c r="B58" s="774"/>
      <c r="C58" s="774"/>
      <c r="D58" s="774"/>
      <c r="E58" s="769"/>
    </row>
    <row r="59" spans="1:5" s="510" customFormat="1" ht="27.75" customHeight="1">
      <c r="A59" s="509" t="s">
        <v>285</v>
      </c>
      <c r="B59" s="770" t="s">
        <v>569</v>
      </c>
      <c r="C59" s="770" t="s">
        <v>751</v>
      </c>
      <c r="D59" s="770" t="s">
        <v>749</v>
      </c>
      <c r="E59" s="771" t="s">
        <v>769</v>
      </c>
    </row>
    <row r="60" spans="1:5">
      <c r="A60" s="498" t="s">
        <v>772</v>
      </c>
      <c r="B60" s="499">
        <v>14311000</v>
      </c>
      <c r="C60" s="499">
        <v>18805000</v>
      </c>
      <c r="D60" s="499">
        <v>18805273</v>
      </c>
      <c r="E60" s="769"/>
    </row>
    <row r="61" spans="1:5">
      <c r="A61" s="488" t="s">
        <v>771</v>
      </c>
      <c r="B61" s="499"/>
      <c r="C61" s="499">
        <v>14530000</v>
      </c>
      <c r="D61" s="499">
        <v>14530000</v>
      </c>
      <c r="E61" s="769"/>
    </row>
    <row r="62" spans="1:5">
      <c r="A62" s="488" t="s">
        <v>764</v>
      </c>
      <c r="B62" s="499"/>
      <c r="C62" s="499">
        <v>6924000</v>
      </c>
      <c r="D62" s="499">
        <v>6924000</v>
      </c>
      <c r="E62" s="776">
        <f>D62/C62*100</f>
        <v>100</v>
      </c>
    </row>
    <row r="63" spans="1:5">
      <c r="A63" s="488" t="s">
        <v>822</v>
      </c>
      <c r="B63" s="499"/>
      <c r="C63" s="499">
        <v>6327000</v>
      </c>
      <c r="D63" s="499">
        <v>6327050</v>
      </c>
      <c r="E63" s="776"/>
    </row>
    <row r="64" spans="1:5" ht="15.75" thickBot="1">
      <c r="A64" s="491" t="s">
        <v>179</v>
      </c>
      <c r="B64" s="775">
        <f>SUM(B60:B63)</f>
        <v>14311000</v>
      </c>
      <c r="C64" s="775">
        <f t="shared" ref="C64:D64" si="11">SUM(C60:C63)</f>
        <v>46586000</v>
      </c>
      <c r="D64" s="775">
        <f t="shared" si="11"/>
        <v>46586323</v>
      </c>
      <c r="E64" s="777">
        <f t="shared" ref="E64" si="12">D64/C64*100</f>
        <v>100.00069334134719</v>
      </c>
    </row>
    <row r="65" spans="1:4">
      <c r="A65" s="494"/>
      <c r="B65" s="494"/>
      <c r="C65" s="494"/>
      <c r="D65" s="494"/>
    </row>
    <row r="66" spans="1:4">
      <c r="A66" s="494"/>
      <c r="B66" s="494"/>
      <c r="C66" s="494"/>
      <c r="D66" s="494"/>
    </row>
  </sheetData>
  <mergeCells count="4">
    <mergeCell ref="A2:D2"/>
    <mergeCell ref="A32:D32"/>
    <mergeCell ref="A46:D46"/>
    <mergeCell ref="A57:D5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headerFooter alignWithMargins="0">
    <oddHeader>&amp;C&amp;"Times New Roman,Félkövér"&amp;12Martonvásár Város Önkormányzat 
működési és felhalmozási támogatások részletezése&amp;R&amp;"Times New Roman,Félkövér"&amp;10 &amp;"Times New Roman,Normál" 3/a. melléklet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8"/>
  <sheetViews>
    <sheetView topLeftCell="A37" zoomScale="110" zoomScaleNormal="110" workbookViewId="0">
      <selection activeCell="A44" sqref="A44:E52"/>
    </sheetView>
  </sheetViews>
  <sheetFormatPr defaultRowHeight="12.75"/>
  <cols>
    <col min="1" max="1" width="39.85546875" style="500" customWidth="1"/>
    <col min="2" max="2" width="13.140625" style="500" customWidth="1"/>
    <col min="3" max="3" width="14.7109375" style="500" customWidth="1"/>
    <col min="4" max="4" width="13.140625" style="500" customWidth="1"/>
    <col min="5" max="16384" width="9.140625" style="500"/>
  </cols>
  <sheetData>
    <row r="1" spans="1:5" ht="18" customHeight="1">
      <c r="A1" s="1213"/>
      <c r="B1" s="1213"/>
      <c r="C1" s="1213"/>
      <c r="D1" s="1213"/>
    </row>
    <row r="2" spans="1:5" ht="18" customHeight="1" thickBot="1">
      <c r="A2" s="1214" t="s">
        <v>818</v>
      </c>
      <c r="B2" s="1214"/>
      <c r="C2" s="1214"/>
      <c r="D2" s="1214"/>
      <c r="E2" s="1214"/>
    </row>
    <row r="3" spans="1:5" s="511" customFormat="1" ht="25.5">
      <c r="A3" s="778" t="s">
        <v>285</v>
      </c>
      <c r="B3" s="779" t="s">
        <v>569</v>
      </c>
      <c r="C3" s="779" t="s">
        <v>544</v>
      </c>
      <c r="D3" s="779" t="s">
        <v>750</v>
      </c>
      <c r="E3" s="780" t="s">
        <v>769</v>
      </c>
    </row>
    <row r="4" spans="1:5">
      <c r="A4" s="781" t="s">
        <v>576</v>
      </c>
      <c r="B4" s="502">
        <v>989000</v>
      </c>
      <c r="C4" s="502">
        <v>989000</v>
      </c>
      <c r="D4" s="795">
        <v>822728</v>
      </c>
      <c r="E4" s="782">
        <f>D4/C4*100</f>
        <v>83.187866531850347</v>
      </c>
    </row>
    <row r="5" spans="1:5">
      <c r="A5" s="781" t="s">
        <v>577</v>
      </c>
      <c r="B5" s="502"/>
      <c r="C5" s="502">
        <v>1200000</v>
      </c>
      <c r="D5" s="795">
        <v>1200000</v>
      </c>
      <c r="E5" s="782">
        <f>D5/C5*100</f>
        <v>100</v>
      </c>
    </row>
    <row r="6" spans="1:5">
      <c r="A6" s="781" t="s">
        <v>766</v>
      </c>
      <c r="B6" s="502"/>
      <c r="C6" s="502">
        <v>495000</v>
      </c>
      <c r="D6" s="795">
        <v>552850</v>
      </c>
      <c r="E6" s="782">
        <f>D6/C6*100</f>
        <v>111.68686868686868</v>
      </c>
    </row>
    <row r="7" spans="1:5">
      <c r="A7" s="781" t="s">
        <v>789</v>
      </c>
      <c r="B7" s="502"/>
      <c r="C7" s="502"/>
      <c r="D7" s="795">
        <v>131985</v>
      </c>
      <c r="E7" s="782"/>
    </row>
    <row r="8" spans="1:5" ht="15" customHeight="1">
      <c r="A8" s="781" t="s">
        <v>554</v>
      </c>
      <c r="B8" s="502">
        <v>6802000</v>
      </c>
      <c r="C8" s="502">
        <v>5802000</v>
      </c>
      <c r="D8" s="795">
        <v>4758910</v>
      </c>
      <c r="E8" s="782">
        <f>D8/C8*100</f>
        <v>82.021889003791799</v>
      </c>
    </row>
    <row r="9" spans="1:5">
      <c r="A9" s="781" t="s">
        <v>823</v>
      </c>
      <c r="B9" s="502">
        <v>16400000</v>
      </c>
      <c r="C9" s="502">
        <v>16783000</v>
      </c>
      <c r="D9" s="795">
        <v>16338263</v>
      </c>
      <c r="E9" s="782">
        <f t="shared" ref="E9:E41" si="0">D9/C9*100</f>
        <v>97.350074480128697</v>
      </c>
    </row>
    <row r="10" spans="1:5">
      <c r="A10" s="781" t="s">
        <v>584</v>
      </c>
      <c r="B10" s="502">
        <v>6532000</v>
      </c>
      <c r="C10" s="502">
        <v>7669000</v>
      </c>
      <c r="D10" s="795">
        <v>5599652</v>
      </c>
      <c r="E10" s="782">
        <f>D10/C10*100</f>
        <v>73.016716651453905</v>
      </c>
    </row>
    <row r="11" spans="1:5">
      <c r="A11" s="781" t="s">
        <v>824</v>
      </c>
      <c r="B11" s="502">
        <v>6230000</v>
      </c>
      <c r="C11" s="502">
        <v>6230000</v>
      </c>
      <c r="D11" s="795">
        <v>3748187</v>
      </c>
      <c r="E11" s="782">
        <f t="shared" si="0"/>
        <v>60.163515248796152</v>
      </c>
    </row>
    <row r="12" spans="1:5">
      <c r="A12" s="781" t="s">
        <v>555</v>
      </c>
      <c r="B12" s="502">
        <v>3000000</v>
      </c>
      <c r="C12" s="502">
        <v>3000000</v>
      </c>
      <c r="D12" s="795">
        <v>3773744</v>
      </c>
      <c r="E12" s="782">
        <f t="shared" si="0"/>
        <v>125.79146666666668</v>
      </c>
    </row>
    <row r="13" spans="1:5">
      <c r="A13" s="781" t="s">
        <v>773</v>
      </c>
      <c r="B13" s="502">
        <v>2010000</v>
      </c>
      <c r="C13" s="502">
        <v>1033000</v>
      </c>
      <c r="D13" s="795">
        <v>1904877</v>
      </c>
      <c r="E13" s="782">
        <f t="shared" si="0"/>
        <v>184.40242013552759</v>
      </c>
    </row>
    <row r="14" spans="1:5" s="816" customFormat="1">
      <c r="A14" s="816" t="s">
        <v>816</v>
      </c>
      <c r="B14" s="817">
        <f>SUM(B4:B13)</f>
        <v>41963000</v>
      </c>
      <c r="C14" s="817">
        <f>SUM(C4:C13)</f>
        <v>43201000</v>
      </c>
      <c r="D14" s="817">
        <f>SUM(D4:D13)</f>
        <v>38831196</v>
      </c>
      <c r="E14" s="818"/>
    </row>
    <row r="15" spans="1:5" s="816" customFormat="1">
      <c r="B15" s="817"/>
      <c r="C15" s="817"/>
      <c r="D15" s="817"/>
      <c r="E15" s="818"/>
    </row>
    <row r="16" spans="1:5">
      <c r="A16" s="781" t="s">
        <v>578</v>
      </c>
      <c r="B16" s="502">
        <v>88000</v>
      </c>
      <c r="C16" s="502">
        <v>88000</v>
      </c>
      <c r="D16" s="795">
        <v>189795</v>
      </c>
      <c r="E16" s="782">
        <f t="shared" si="0"/>
        <v>215.67613636363637</v>
      </c>
    </row>
    <row r="17" spans="1:5">
      <c r="A17" s="781" t="s">
        <v>579</v>
      </c>
      <c r="B17" s="502">
        <v>1156000</v>
      </c>
      <c r="C17" s="502">
        <v>1156000</v>
      </c>
      <c r="D17" s="795">
        <v>1262251</v>
      </c>
      <c r="E17" s="782">
        <f t="shared" si="0"/>
        <v>109.19126297577854</v>
      </c>
    </row>
    <row r="18" spans="1:5">
      <c r="A18" s="781" t="s">
        <v>580</v>
      </c>
      <c r="B18" s="502">
        <v>1209000</v>
      </c>
      <c r="C18" s="502">
        <v>9268000</v>
      </c>
      <c r="D18" s="795">
        <v>6296842</v>
      </c>
      <c r="E18" s="782">
        <f t="shared" si="0"/>
        <v>67.941756581786791</v>
      </c>
    </row>
    <row r="19" spans="1:5">
      <c r="A19" s="781" t="s">
        <v>650</v>
      </c>
      <c r="B19" s="502">
        <v>360000</v>
      </c>
      <c r="C19" s="502">
        <v>360000</v>
      </c>
      <c r="D19" s="795">
        <v>956630</v>
      </c>
      <c r="E19" s="782">
        <f t="shared" si="0"/>
        <v>265.73055555555555</v>
      </c>
    </row>
    <row r="20" spans="1:5">
      <c r="A20" s="781" t="s">
        <v>770</v>
      </c>
      <c r="B20" s="502"/>
      <c r="C20" s="502">
        <v>3150000</v>
      </c>
      <c r="D20" s="795">
        <v>3147800</v>
      </c>
      <c r="E20" s="782">
        <f t="shared" si="0"/>
        <v>99.930158730158723</v>
      </c>
    </row>
    <row r="21" spans="1:5">
      <c r="A21" s="781" t="s">
        <v>737</v>
      </c>
      <c r="B21" s="502"/>
      <c r="C21" s="502">
        <v>6102000</v>
      </c>
      <c r="D21" s="795">
        <v>6102118</v>
      </c>
      <c r="E21" s="782">
        <f t="shared" si="0"/>
        <v>100.00193379219928</v>
      </c>
    </row>
    <row r="22" spans="1:5">
      <c r="A22" s="781" t="s">
        <v>794</v>
      </c>
      <c r="B22" s="502"/>
      <c r="C22" s="502"/>
      <c r="D22" s="795">
        <v>508899</v>
      </c>
      <c r="E22" s="782"/>
    </row>
    <row r="23" spans="1:5">
      <c r="A23" s="781" t="s">
        <v>584</v>
      </c>
      <c r="B23" s="502">
        <v>759000</v>
      </c>
      <c r="C23" s="502">
        <v>4865000</v>
      </c>
      <c r="D23" s="795">
        <v>4822283</v>
      </c>
      <c r="E23" s="782">
        <f t="shared" si="0"/>
        <v>99.121952723535458</v>
      </c>
    </row>
    <row r="24" spans="1:5">
      <c r="A24" s="781" t="s">
        <v>651</v>
      </c>
      <c r="B24" s="502">
        <v>486000</v>
      </c>
      <c r="C24" s="502">
        <v>1047000</v>
      </c>
      <c r="D24" s="795">
        <v>1710828</v>
      </c>
      <c r="E24" s="782">
        <f t="shared" si="0"/>
        <v>163.40286532951291</v>
      </c>
    </row>
    <row r="25" spans="1:5">
      <c r="A25" s="781" t="s">
        <v>790</v>
      </c>
      <c r="B25" s="502"/>
      <c r="C25" s="502"/>
      <c r="D25" s="795">
        <v>1877</v>
      </c>
      <c r="E25" s="782"/>
    </row>
    <row r="26" spans="1:5">
      <c r="A26" s="1118" t="s">
        <v>1229</v>
      </c>
      <c r="B26" s="789">
        <f>SUM(B16:B25)</f>
        <v>4058000</v>
      </c>
      <c r="C26" s="789">
        <f t="shared" ref="C26:D26" si="1">SUM(C16:C25)</f>
        <v>26036000</v>
      </c>
      <c r="D26" s="789">
        <f t="shared" si="1"/>
        <v>24999323</v>
      </c>
      <c r="E26" s="782">
        <f t="shared" si="0"/>
        <v>96.018293900752809</v>
      </c>
    </row>
    <row r="27" spans="1:5">
      <c r="A27" s="781"/>
      <c r="B27" s="502"/>
      <c r="C27" s="502"/>
      <c r="D27" s="795"/>
      <c r="E27" s="782"/>
    </row>
    <row r="28" spans="1:5">
      <c r="A28" s="781" t="s">
        <v>797</v>
      </c>
      <c r="B28" s="502"/>
      <c r="C28" s="502">
        <v>0</v>
      </c>
      <c r="D28" s="795">
        <v>11440</v>
      </c>
      <c r="E28" s="782"/>
    </row>
    <row r="29" spans="1:5">
      <c r="A29" s="781" t="s">
        <v>795</v>
      </c>
      <c r="B29" s="502"/>
      <c r="C29" s="502">
        <v>9000</v>
      </c>
      <c r="D29" s="795">
        <v>8650</v>
      </c>
      <c r="E29" s="782">
        <f t="shared" si="0"/>
        <v>96.111111111111114</v>
      </c>
    </row>
    <row r="30" spans="1:5">
      <c r="A30" s="781" t="s">
        <v>796</v>
      </c>
      <c r="B30" s="502"/>
      <c r="C30" s="502"/>
      <c r="D30" s="795">
        <v>2239</v>
      </c>
      <c r="E30" s="782"/>
    </row>
    <row r="31" spans="1:5" s="816" customFormat="1">
      <c r="A31" s="1118" t="s">
        <v>1230</v>
      </c>
      <c r="B31" s="789">
        <f>SUM(B28:B30)</f>
        <v>0</v>
      </c>
      <c r="C31" s="789">
        <f t="shared" ref="C31:D31" si="2">SUM(C28:C30)</f>
        <v>9000</v>
      </c>
      <c r="D31" s="789">
        <f t="shared" si="2"/>
        <v>22329</v>
      </c>
      <c r="E31" s="818"/>
    </row>
    <row r="32" spans="1:5">
      <c r="A32" s="781"/>
      <c r="B32" s="502"/>
      <c r="C32" s="502"/>
      <c r="D32" s="795"/>
      <c r="E32" s="782"/>
    </row>
    <row r="33" spans="1:5">
      <c r="A33" s="781" t="s">
        <v>798</v>
      </c>
      <c r="B33" s="502">
        <v>250000</v>
      </c>
      <c r="C33" s="502">
        <v>578000</v>
      </c>
      <c r="D33" s="795">
        <v>603750</v>
      </c>
      <c r="E33" s="782">
        <f t="shared" si="0"/>
        <v>104.45501730103805</v>
      </c>
    </row>
    <row r="34" spans="1:5">
      <c r="A34" s="781" t="s">
        <v>799</v>
      </c>
      <c r="B34" s="502"/>
      <c r="C34" s="502">
        <v>44000</v>
      </c>
      <c r="D34" s="795">
        <v>44000</v>
      </c>
      <c r="E34" s="782">
        <f t="shared" si="0"/>
        <v>100</v>
      </c>
    </row>
    <row r="35" spans="1:5">
      <c r="A35" s="781" t="s">
        <v>741</v>
      </c>
      <c r="B35" s="502"/>
      <c r="C35" s="502">
        <v>138000</v>
      </c>
      <c r="D35" s="795">
        <v>150792</v>
      </c>
      <c r="E35" s="782">
        <f t="shared" si="0"/>
        <v>109.2695652173913</v>
      </c>
    </row>
    <row r="36" spans="1:5">
      <c r="A36" s="781" t="s">
        <v>738</v>
      </c>
      <c r="B36" s="502"/>
      <c r="C36" s="502">
        <v>61000</v>
      </c>
      <c r="D36" s="795">
        <v>31201</v>
      </c>
      <c r="E36" s="782">
        <f t="shared" si="0"/>
        <v>51.149180327868848</v>
      </c>
    </row>
    <row r="37" spans="1:5">
      <c r="A37" s="781" t="s">
        <v>767</v>
      </c>
      <c r="B37" s="502"/>
      <c r="C37" s="502">
        <v>125000</v>
      </c>
      <c r="D37" s="502">
        <v>84195</v>
      </c>
      <c r="E37" s="782">
        <f t="shared" si="0"/>
        <v>67.356000000000009</v>
      </c>
    </row>
    <row r="38" spans="1:5">
      <c r="A38" s="801" t="s">
        <v>800</v>
      </c>
      <c r="B38" s="800"/>
      <c r="C38" s="800"/>
      <c r="D38" s="800">
        <v>1319</v>
      </c>
      <c r="E38" s="782"/>
    </row>
    <row r="39" spans="1:5">
      <c r="A39" s="814" t="s">
        <v>1231</v>
      </c>
      <c r="B39" s="815">
        <f>SUM(B33:B38)</f>
        <v>250000</v>
      </c>
      <c r="C39" s="815">
        <f t="shared" ref="C39:D39" si="3">SUM(C33:C38)</f>
        <v>946000</v>
      </c>
      <c r="D39" s="815">
        <f t="shared" si="3"/>
        <v>915257</v>
      </c>
      <c r="E39" s="782">
        <f t="shared" si="0"/>
        <v>96.750211416490487</v>
      </c>
    </row>
    <row r="40" spans="1:5">
      <c r="A40" s="801"/>
      <c r="B40" s="800"/>
      <c r="C40" s="800"/>
      <c r="D40" s="800"/>
      <c r="E40" s="802"/>
    </row>
    <row r="41" spans="1:5" ht="13.5" thickBot="1">
      <c r="A41" s="783" t="s">
        <v>820</v>
      </c>
      <c r="B41" s="504">
        <f>+B39+B31+B26+B14</f>
        <v>46271000</v>
      </c>
      <c r="C41" s="504">
        <f t="shared" ref="C41:D41" si="4">+C39+C31+C26+C14</f>
        <v>70192000</v>
      </c>
      <c r="D41" s="504">
        <f t="shared" si="4"/>
        <v>64768105</v>
      </c>
      <c r="E41" s="784">
        <f t="shared" si="0"/>
        <v>92.27277325051287</v>
      </c>
    </row>
    <row r="43" spans="1:5" ht="16.5" thickBot="1">
      <c r="A43" s="1214" t="s">
        <v>819</v>
      </c>
      <c r="B43" s="1214"/>
      <c r="C43" s="1214"/>
      <c r="D43" s="1214"/>
      <c r="E43" s="1214"/>
    </row>
    <row r="44" spans="1:5" ht="25.5">
      <c r="A44" s="512" t="s">
        <v>285</v>
      </c>
      <c r="B44" s="785" t="s">
        <v>569</v>
      </c>
      <c r="C44" s="785" t="s">
        <v>544</v>
      </c>
      <c r="D44" s="785" t="s">
        <v>750</v>
      </c>
      <c r="E44" s="786" t="s">
        <v>769</v>
      </c>
    </row>
    <row r="45" spans="1:5">
      <c r="A45" s="501" t="s">
        <v>765</v>
      </c>
      <c r="B45" s="787"/>
      <c r="C45" s="787">
        <v>100000</v>
      </c>
      <c r="D45" s="502">
        <v>100000</v>
      </c>
      <c r="E45" s="782">
        <f>D45/C45*100</f>
        <v>100</v>
      </c>
    </row>
    <row r="46" spans="1:5">
      <c r="A46" s="798" t="s">
        <v>805</v>
      </c>
      <c r="B46" s="799"/>
      <c r="C46" s="799">
        <v>12000</v>
      </c>
      <c r="D46" s="800">
        <v>11811</v>
      </c>
      <c r="E46" s="782">
        <f t="shared" ref="E46:E52" si="5">D46/C46*100</f>
        <v>98.424999999999997</v>
      </c>
    </row>
    <row r="47" spans="1:5">
      <c r="A47" s="781" t="s">
        <v>788</v>
      </c>
      <c r="B47" s="502"/>
      <c r="C47" s="502">
        <v>30000</v>
      </c>
      <c r="D47" s="795">
        <v>62000</v>
      </c>
      <c r="E47" s="782">
        <f t="shared" si="5"/>
        <v>206.66666666666669</v>
      </c>
    </row>
    <row r="48" spans="1:5">
      <c r="A48" s="814" t="s">
        <v>816</v>
      </c>
      <c r="B48" s="815"/>
      <c r="C48" s="815">
        <f>SUM(C45:C47)</f>
        <v>142000</v>
      </c>
      <c r="D48" s="815">
        <f t="shared" ref="D48" si="6">SUM(D45:D47)</f>
        <v>173811</v>
      </c>
      <c r="E48" s="782">
        <f t="shared" si="5"/>
        <v>122.40211267605633</v>
      </c>
    </row>
    <row r="49" spans="1:5">
      <c r="A49" s="814"/>
      <c r="B49" s="815"/>
      <c r="C49" s="815"/>
      <c r="D49" s="815"/>
      <c r="E49" s="1180"/>
    </row>
    <row r="50" spans="1:5">
      <c r="A50" s="801" t="s">
        <v>801</v>
      </c>
      <c r="B50" s="800"/>
      <c r="C50" s="800">
        <v>60000</v>
      </c>
      <c r="D50" s="803">
        <v>60000</v>
      </c>
      <c r="E50" s="782">
        <f t="shared" si="5"/>
        <v>100</v>
      </c>
    </row>
    <row r="51" spans="1:5">
      <c r="A51" s="801"/>
      <c r="B51" s="800"/>
      <c r="C51" s="800"/>
      <c r="D51" s="803"/>
      <c r="E51" s="802"/>
    </row>
    <row r="52" spans="1:5" ht="13.5" thickBot="1">
      <c r="A52" s="503" t="s">
        <v>821</v>
      </c>
      <c r="B52" s="505"/>
      <c r="C52" s="504">
        <f>+C50+C48</f>
        <v>202000</v>
      </c>
      <c r="D52" s="504">
        <f>+D50+D48</f>
        <v>233811</v>
      </c>
      <c r="E52" s="784">
        <f t="shared" si="5"/>
        <v>115.74801980198019</v>
      </c>
    </row>
    <row r="58" spans="1:5">
      <c r="A58" s="500" t="s">
        <v>556</v>
      </c>
    </row>
  </sheetData>
  <mergeCells count="3">
    <mergeCell ref="A1:D1"/>
    <mergeCell ref="A2:E2"/>
    <mergeCell ref="A43:E43"/>
  </mergeCells>
  <printOptions horizontalCentered="1"/>
  <pageMargins left="0.78740157480314965" right="0.78740157480314965" top="0.98425196850393704" bottom="0.98425196850393704" header="0.51181102362204722" footer="0.51181102362204722"/>
  <pageSetup scale="85" orientation="portrait" r:id="rId1"/>
  <headerFooter alignWithMargins="0">
    <oddHeader>&amp;C&amp;"Times New Roman,Félkövér"&amp;12Martonvásár Város Önkormányzat 
működési és felhalmozási bevételeinek részletezése&amp;R&amp;"Times New Roman,Normál"&amp;10 3/b. melléklet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workbookViewId="0">
      <selection activeCell="D15" sqref="D15:E15"/>
    </sheetView>
  </sheetViews>
  <sheetFormatPr defaultRowHeight="12.75"/>
  <cols>
    <col min="1" max="1" width="39.28515625" style="500" customWidth="1"/>
    <col min="2" max="2" width="15.140625" style="500" customWidth="1"/>
    <col min="3" max="3" width="16.7109375" style="500" customWidth="1"/>
    <col min="4" max="4" width="15.7109375" style="500" customWidth="1"/>
    <col min="5" max="16384" width="9.140625" style="500"/>
  </cols>
  <sheetData>
    <row r="1" spans="1:5" ht="15.75">
      <c r="A1" s="1215"/>
      <c r="B1" s="1215"/>
      <c r="C1" s="1215"/>
      <c r="D1" s="1215"/>
    </row>
    <row r="2" spans="1:5" ht="13.5" thickBot="1"/>
    <row r="3" spans="1:5" s="511" customFormat="1" ht="25.5">
      <c r="A3" s="512" t="s">
        <v>285</v>
      </c>
      <c r="B3" s="785" t="s">
        <v>569</v>
      </c>
      <c r="C3" s="785" t="s">
        <v>544</v>
      </c>
      <c r="D3" s="785" t="s">
        <v>749</v>
      </c>
      <c r="E3" s="788" t="s">
        <v>769</v>
      </c>
    </row>
    <row r="4" spans="1:5">
      <c r="A4" s="501" t="s">
        <v>557</v>
      </c>
      <c r="B4" s="502">
        <v>15000000</v>
      </c>
      <c r="C4" s="502">
        <v>20000000</v>
      </c>
      <c r="D4" s="502">
        <v>20718575</v>
      </c>
      <c r="E4" s="782">
        <f>D4/C4*100</f>
        <v>103.59287500000001</v>
      </c>
    </row>
    <row r="5" spans="1:5">
      <c r="A5" s="501" t="s">
        <v>558</v>
      </c>
      <c r="B5" s="502">
        <v>57000000</v>
      </c>
      <c r="C5" s="502">
        <v>67000000</v>
      </c>
      <c r="D5" s="502">
        <v>93678661</v>
      </c>
      <c r="E5" s="782">
        <f t="shared" ref="E5:E21" si="0">D5/C5*100</f>
        <v>139.81889701492537</v>
      </c>
    </row>
    <row r="6" spans="1:5">
      <c r="A6" s="501" t="s">
        <v>559</v>
      </c>
      <c r="B6" s="502">
        <v>40000000</v>
      </c>
      <c r="C6" s="502">
        <v>47000000</v>
      </c>
      <c r="D6" s="502">
        <v>57562100</v>
      </c>
      <c r="E6" s="782">
        <f t="shared" si="0"/>
        <v>122.47255319148935</v>
      </c>
    </row>
    <row r="7" spans="1:5">
      <c r="A7" s="501" t="s">
        <v>560</v>
      </c>
      <c r="B7" s="502"/>
      <c r="C7" s="502"/>
      <c r="D7" s="502">
        <v>2000</v>
      </c>
      <c r="E7" s="782"/>
    </row>
    <row r="8" spans="1:5">
      <c r="A8" s="501" t="s">
        <v>561</v>
      </c>
      <c r="B8" s="502">
        <v>95000000</v>
      </c>
      <c r="C8" s="502">
        <v>110000000</v>
      </c>
      <c r="D8" s="502">
        <v>131354540</v>
      </c>
      <c r="E8" s="782">
        <f t="shared" si="0"/>
        <v>119.41321818181818</v>
      </c>
    </row>
    <row r="9" spans="1:5">
      <c r="A9" s="506" t="s">
        <v>562</v>
      </c>
      <c r="B9" s="789">
        <f>SUM(B4:B8)</f>
        <v>207000000</v>
      </c>
      <c r="C9" s="789">
        <f t="shared" ref="C9:D9" si="1">SUM(C4:C8)</f>
        <v>244000000</v>
      </c>
      <c r="D9" s="789">
        <f t="shared" si="1"/>
        <v>303315876</v>
      </c>
      <c r="E9" s="782">
        <f t="shared" si="0"/>
        <v>124.30978524590164</v>
      </c>
    </row>
    <row r="10" spans="1:5">
      <c r="A10" s="501"/>
      <c r="B10" s="502"/>
      <c r="C10" s="502"/>
      <c r="D10" s="502"/>
      <c r="E10" s="782"/>
    </row>
    <row r="11" spans="1:5">
      <c r="A11" s="501" t="s">
        <v>563</v>
      </c>
      <c r="B11" s="502">
        <v>16600000</v>
      </c>
      <c r="C11" s="502">
        <v>16600000</v>
      </c>
      <c r="D11" s="502">
        <v>19045697</v>
      </c>
      <c r="E11" s="782">
        <f t="shared" si="0"/>
        <v>114.73311445783132</v>
      </c>
    </row>
    <row r="12" spans="1:5">
      <c r="A12" s="506" t="s">
        <v>564</v>
      </c>
      <c r="B12" s="789">
        <f>+B11</f>
        <v>16600000</v>
      </c>
      <c r="C12" s="789">
        <f t="shared" ref="C12:D12" si="2">+C11</f>
        <v>16600000</v>
      </c>
      <c r="D12" s="789">
        <f t="shared" si="2"/>
        <v>19045697</v>
      </c>
      <c r="E12" s="782">
        <f t="shared" si="0"/>
        <v>114.73311445783132</v>
      </c>
    </row>
    <row r="13" spans="1:5">
      <c r="A13" s="501"/>
      <c r="B13" s="502"/>
      <c r="C13" s="502"/>
      <c r="D13" s="502"/>
      <c r="E13" s="782"/>
    </row>
    <row r="14" spans="1:5">
      <c r="A14" s="501" t="s">
        <v>585</v>
      </c>
      <c r="B14" s="502">
        <v>1700000</v>
      </c>
      <c r="C14" s="502">
        <v>1700000</v>
      </c>
      <c r="D14" s="502">
        <f>225000+79600+319978+256573+1030259</f>
        <v>1911410</v>
      </c>
      <c r="E14" s="782">
        <f t="shared" si="0"/>
        <v>112.43588235294118</v>
      </c>
    </row>
    <row r="15" spans="1:5" ht="13.5" customHeight="1">
      <c r="A15" s="501" t="s">
        <v>565</v>
      </c>
      <c r="B15" s="502">
        <v>2800000</v>
      </c>
      <c r="C15" s="502">
        <v>1800000</v>
      </c>
      <c r="D15" s="502">
        <v>2018676</v>
      </c>
      <c r="E15" s="782">
        <f t="shared" si="0"/>
        <v>112.14866666666667</v>
      </c>
    </row>
    <row r="16" spans="1:5" ht="13.5" customHeight="1">
      <c r="A16" s="501" t="s">
        <v>566</v>
      </c>
      <c r="B16" s="502"/>
      <c r="C16" s="502"/>
      <c r="D16" s="502">
        <f t="shared" ref="D16" si="3">+B16+C16</f>
        <v>0</v>
      </c>
      <c r="E16" s="782"/>
    </row>
    <row r="17" spans="1:5">
      <c r="A17" s="506" t="s">
        <v>567</v>
      </c>
      <c r="B17" s="789">
        <f>SUM(B14:B16)</f>
        <v>4500000</v>
      </c>
      <c r="C17" s="789">
        <f>SUM(C14:C16)</f>
        <v>3500000</v>
      </c>
      <c r="D17" s="789">
        <f>SUM(D14:D16)</f>
        <v>3930086</v>
      </c>
      <c r="E17" s="782">
        <f t="shared" si="0"/>
        <v>112.28817142857143</v>
      </c>
    </row>
    <row r="18" spans="1:5">
      <c r="A18" s="501"/>
      <c r="B18" s="502"/>
      <c r="C18" s="502"/>
      <c r="D18" s="502"/>
      <c r="E18" s="782"/>
    </row>
    <row r="19" spans="1:5">
      <c r="A19" s="798" t="s">
        <v>825</v>
      </c>
      <c r="B19" s="800"/>
      <c r="C19" s="800">
        <v>30000</v>
      </c>
      <c r="D19" s="800">
        <v>30000</v>
      </c>
      <c r="E19" s="782">
        <f t="shared" si="0"/>
        <v>100</v>
      </c>
    </row>
    <row r="20" spans="1:5">
      <c r="A20" s="798"/>
      <c r="B20" s="800"/>
      <c r="C20" s="800"/>
      <c r="D20" s="800"/>
      <c r="E20" s="802"/>
    </row>
    <row r="21" spans="1:5" ht="13.5" thickBot="1">
      <c r="A21" s="503" t="s">
        <v>568</v>
      </c>
      <c r="B21" s="504">
        <f>+B17+B12+B9+B19</f>
        <v>228100000</v>
      </c>
      <c r="C21" s="504">
        <f t="shared" ref="C21:D21" si="4">+C17+C12+C9+C19</f>
        <v>264130000</v>
      </c>
      <c r="D21" s="504">
        <f t="shared" si="4"/>
        <v>326321659</v>
      </c>
      <c r="E21" s="784">
        <f t="shared" si="0"/>
        <v>123.5458520425548</v>
      </c>
    </row>
    <row r="22" spans="1:5">
      <c r="D22" s="507"/>
    </row>
    <row r="23" spans="1:5">
      <c r="D23" s="507"/>
    </row>
    <row r="24" spans="1:5">
      <c r="D24" s="507"/>
    </row>
  </sheetData>
  <mergeCells count="1">
    <mergeCell ref="A1:D1"/>
  </mergeCells>
  <printOptions horizontalCentered="1"/>
  <pageMargins left="0.78740157480314965" right="0.78740157480314965" top="0.98425196850393704" bottom="0.98425196850393704" header="0.51181102362204722" footer="0.51181102362204722"/>
  <pageSetup scale="91" orientation="portrait" r:id="rId1"/>
  <headerFooter alignWithMargins="0">
    <oddHeader>&amp;C&amp;"Times New Roman,Félkövér"&amp;12Martonvásár Város Önkormányzat 
közhatalmi bevételeinek részletezése&amp;R&amp;"Times New Roman,Normál"&amp;10 3/c 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8"/>
  <sheetViews>
    <sheetView topLeftCell="A17" zoomScale="85" zoomScaleNormal="85" zoomScalePageLayoutView="70" workbookViewId="0">
      <selection activeCell="J5" sqref="J5"/>
    </sheetView>
  </sheetViews>
  <sheetFormatPr defaultRowHeight="12.75"/>
  <cols>
    <col min="1" max="1" width="35.42578125" style="452" customWidth="1"/>
    <col min="2" max="2" width="12.7109375" style="455" customWidth="1"/>
    <col min="3" max="3" width="13.42578125" style="455" customWidth="1"/>
    <col min="4" max="4" width="12.7109375" style="455" customWidth="1"/>
    <col min="5" max="5" width="12.7109375" style="452" customWidth="1"/>
    <col min="6" max="6" width="13.7109375" style="452" customWidth="1"/>
    <col min="7" max="7" width="12.7109375" style="452" customWidth="1"/>
    <col min="8" max="8" width="14.28515625" style="453" customWidth="1"/>
    <col min="9" max="16384" width="9.140625" style="452"/>
  </cols>
  <sheetData>
    <row r="1" spans="1:8" ht="42.75" customHeight="1" thickBot="1">
      <c r="A1" s="1216" t="s">
        <v>664</v>
      </c>
      <c r="B1" s="1216"/>
      <c r="C1" s="1216"/>
      <c r="D1" s="1216"/>
      <c r="E1" s="1216"/>
      <c r="F1" s="1216"/>
      <c r="G1" s="1216"/>
      <c r="H1" s="1216"/>
    </row>
    <row r="2" spans="1:8" ht="53.25" customHeight="1">
      <c r="A2" s="1219" t="s">
        <v>586</v>
      </c>
      <c r="B2" s="1221" t="s">
        <v>587</v>
      </c>
      <c r="C2" s="1222"/>
      <c r="D2" s="1223"/>
      <c r="E2" s="1224" t="s">
        <v>588</v>
      </c>
      <c r="F2" s="1222"/>
      <c r="G2" s="1225"/>
      <c r="H2" s="1217" t="s">
        <v>748</v>
      </c>
    </row>
    <row r="3" spans="1:8" s="453" customFormat="1" ht="39.75" customHeight="1" thickBot="1">
      <c r="A3" s="1220"/>
      <c r="B3" s="624" t="s">
        <v>284</v>
      </c>
      <c r="C3" s="623" t="s">
        <v>672</v>
      </c>
      <c r="D3" s="713" t="s">
        <v>745</v>
      </c>
      <c r="E3" s="624" t="s">
        <v>284</v>
      </c>
      <c r="F3" s="623" t="s">
        <v>672</v>
      </c>
      <c r="G3" s="714" t="s">
        <v>745</v>
      </c>
      <c r="H3" s="1218"/>
    </row>
    <row r="4" spans="1:8" ht="16.5" customHeight="1">
      <c r="A4" s="615" t="s">
        <v>589</v>
      </c>
      <c r="B4" s="616">
        <v>100439400</v>
      </c>
      <c r="C4" s="616">
        <v>100439400</v>
      </c>
      <c r="D4" s="616">
        <v>100439400</v>
      </c>
      <c r="E4" s="619">
        <v>0</v>
      </c>
      <c r="F4" s="620"/>
      <c r="G4" s="621">
        <f>+E4+F4</f>
        <v>0</v>
      </c>
      <c r="H4" s="622">
        <f>+D4+G4</f>
        <v>100439400</v>
      </c>
    </row>
    <row r="5" spans="1:8" ht="16.5" customHeight="1">
      <c r="A5" s="597" t="s">
        <v>590</v>
      </c>
      <c r="B5" s="593">
        <v>26279371</v>
      </c>
      <c r="C5" s="593">
        <v>26279371</v>
      </c>
      <c r="D5" s="593">
        <v>26279371</v>
      </c>
      <c r="E5" s="609">
        <v>0</v>
      </c>
      <c r="F5" s="587"/>
      <c r="G5" s="610">
        <f t="shared" ref="G5:G13" si="0">+E5+F5</f>
        <v>0</v>
      </c>
      <c r="H5" s="606">
        <f t="shared" ref="H5:H41" si="1">+D5+G5</f>
        <v>26279371</v>
      </c>
    </row>
    <row r="6" spans="1:8" s="469" customFormat="1" ht="16.5" customHeight="1">
      <c r="A6" s="598" t="s">
        <v>633</v>
      </c>
      <c r="B6" s="594">
        <v>7859309</v>
      </c>
      <c r="C6" s="594">
        <v>7859309</v>
      </c>
      <c r="D6" s="594">
        <v>7859309</v>
      </c>
      <c r="E6" s="611">
        <v>0</v>
      </c>
      <c r="F6" s="589"/>
      <c r="G6" s="610">
        <f t="shared" si="0"/>
        <v>0</v>
      </c>
      <c r="H6" s="606">
        <f t="shared" si="1"/>
        <v>7859309</v>
      </c>
    </row>
    <row r="7" spans="1:8" s="469" customFormat="1" ht="16.5" customHeight="1">
      <c r="A7" s="598" t="s">
        <v>635</v>
      </c>
      <c r="B7" s="594">
        <v>10624000</v>
      </c>
      <c r="C7" s="594">
        <v>10624000</v>
      </c>
      <c r="D7" s="594">
        <v>10624000</v>
      </c>
      <c r="E7" s="611">
        <v>0</v>
      </c>
      <c r="F7" s="589"/>
      <c r="G7" s="610">
        <f t="shared" si="0"/>
        <v>0</v>
      </c>
      <c r="H7" s="606">
        <f t="shared" si="1"/>
        <v>10624000</v>
      </c>
    </row>
    <row r="8" spans="1:8" s="469" customFormat="1" ht="16.5" customHeight="1">
      <c r="A8" s="598" t="s">
        <v>636</v>
      </c>
      <c r="B8" s="594">
        <v>1539942</v>
      </c>
      <c r="C8" s="594">
        <v>1539942</v>
      </c>
      <c r="D8" s="594">
        <v>1539942</v>
      </c>
      <c r="E8" s="611">
        <v>0</v>
      </c>
      <c r="F8" s="589"/>
      <c r="G8" s="610">
        <f t="shared" si="0"/>
        <v>0</v>
      </c>
      <c r="H8" s="606">
        <f t="shared" si="1"/>
        <v>1539942</v>
      </c>
    </row>
    <row r="9" spans="1:8" s="469" customFormat="1" ht="16.5" customHeight="1">
      <c r="A9" s="598" t="s">
        <v>634</v>
      </c>
      <c r="B9" s="594">
        <v>6256120</v>
      </c>
      <c r="C9" s="594">
        <v>6256120</v>
      </c>
      <c r="D9" s="594">
        <v>6256120</v>
      </c>
      <c r="E9" s="611">
        <v>0</v>
      </c>
      <c r="F9" s="589"/>
      <c r="G9" s="610">
        <f t="shared" si="0"/>
        <v>0</v>
      </c>
      <c r="H9" s="606">
        <f t="shared" si="1"/>
        <v>6256120</v>
      </c>
    </row>
    <row r="10" spans="1:8" ht="26.25" customHeight="1">
      <c r="A10" s="599" t="s">
        <v>591</v>
      </c>
      <c r="B10" s="593">
        <v>-20113170</v>
      </c>
      <c r="C10" s="593">
        <v>-20113170</v>
      </c>
      <c r="D10" s="593">
        <v>-20113170</v>
      </c>
      <c r="E10" s="609">
        <v>0</v>
      </c>
      <c r="F10" s="587"/>
      <c r="G10" s="610">
        <f t="shared" si="0"/>
        <v>0</v>
      </c>
      <c r="H10" s="606">
        <f t="shared" si="1"/>
        <v>-20113170</v>
      </c>
    </row>
    <row r="11" spans="1:8" ht="16.5" customHeight="1">
      <c r="A11" s="597" t="s">
        <v>592</v>
      </c>
      <c r="B11" s="593">
        <v>15303600</v>
      </c>
      <c r="C11" s="593">
        <v>15303600</v>
      </c>
      <c r="D11" s="593">
        <v>15303600</v>
      </c>
      <c r="E11" s="609">
        <v>0</v>
      </c>
      <c r="F11" s="587"/>
      <c r="G11" s="610">
        <f t="shared" si="0"/>
        <v>0</v>
      </c>
      <c r="H11" s="606">
        <f t="shared" si="1"/>
        <v>15303600</v>
      </c>
    </row>
    <row r="12" spans="1:8" s="453" customFormat="1" ht="16.5" customHeight="1">
      <c r="A12" s="599" t="s">
        <v>612</v>
      </c>
      <c r="B12" s="593">
        <v>12400</v>
      </c>
      <c r="C12" s="593">
        <v>12400</v>
      </c>
      <c r="D12" s="593">
        <v>12400</v>
      </c>
      <c r="E12" s="609">
        <v>0</v>
      </c>
      <c r="F12" s="587"/>
      <c r="G12" s="610">
        <f t="shared" si="0"/>
        <v>0</v>
      </c>
      <c r="H12" s="606">
        <f t="shared" si="1"/>
        <v>12400</v>
      </c>
    </row>
    <row r="13" spans="1:8" s="453" customFormat="1" ht="16.5" customHeight="1">
      <c r="A13" s="597" t="s">
        <v>614</v>
      </c>
      <c r="B13" s="593">
        <v>841500</v>
      </c>
      <c r="C13" s="593">
        <v>841500</v>
      </c>
      <c r="D13" s="593">
        <v>841500</v>
      </c>
      <c r="E13" s="609">
        <v>0</v>
      </c>
      <c r="F13" s="587"/>
      <c r="G13" s="610">
        <f t="shared" si="0"/>
        <v>0</v>
      </c>
      <c r="H13" s="606">
        <f t="shared" si="1"/>
        <v>841500</v>
      </c>
    </row>
    <row r="14" spans="1:8" s="453" customFormat="1" ht="16.5" customHeight="1" thickBot="1">
      <c r="A14" s="625" t="s">
        <v>728</v>
      </c>
      <c r="B14" s="626"/>
      <c r="C14" s="627">
        <v>478000</v>
      </c>
      <c r="D14" s="627">
        <v>478000</v>
      </c>
      <c r="E14" s="629"/>
      <c r="F14" s="630"/>
      <c r="G14" s="631"/>
      <c r="H14" s="606">
        <f t="shared" si="1"/>
        <v>478000</v>
      </c>
    </row>
    <row r="15" spans="1:8" s="453" customFormat="1" ht="31.5" customHeight="1" thickBot="1">
      <c r="A15" s="634" t="s">
        <v>594</v>
      </c>
      <c r="B15" s="635">
        <f>+B4+B5+B10+B11+B12+B13+B14</f>
        <v>122763101</v>
      </c>
      <c r="C15" s="462">
        <f t="shared" ref="C15" si="2">+C4+C5+C10+C11+C12+C13+C14</f>
        <v>123241101</v>
      </c>
      <c r="D15" s="463">
        <f>+D4+D5+D10+D11+D12+D13+D14</f>
        <v>123241101</v>
      </c>
      <c r="E15" s="636">
        <f t="shared" ref="E15:G15" si="3">+E4+E5+E10+E11+E12+E13</f>
        <v>0</v>
      </c>
      <c r="F15" s="462">
        <f t="shared" si="3"/>
        <v>0</v>
      </c>
      <c r="G15" s="637">
        <f t="shared" si="3"/>
        <v>0</v>
      </c>
      <c r="H15" s="638">
        <f>+H4+H5+H10+H11+H12+H13+H14</f>
        <v>123241101</v>
      </c>
    </row>
    <row r="16" spans="1:8" ht="16.5" customHeight="1">
      <c r="A16" s="633" t="s">
        <v>595</v>
      </c>
      <c r="B16" s="616">
        <v>60896000</v>
      </c>
      <c r="C16" s="616">
        <v>60896000</v>
      </c>
      <c r="D16" s="618">
        <v>60896000</v>
      </c>
      <c r="E16" s="619">
        <v>73075200</v>
      </c>
      <c r="F16" s="619">
        <v>73075200</v>
      </c>
      <c r="G16" s="621">
        <v>73075200</v>
      </c>
      <c r="H16" s="622">
        <f>+D16+G16</f>
        <v>133971200</v>
      </c>
    </row>
    <row r="17" spans="1:8" ht="16.5" customHeight="1">
      <c r="A17" s="601" t="s">
        <v>596</v>
      </c>
      <c r="B17" s="593">
        <v>28925600</v>
      </c>
      <c r="C17" s="593">
        <v>30724800</v>
      </c>
      <c r="D17" s="459">
        <v>30724800</v>
      </c>
      <c r="E17" s="609">
        <v>35153600</v>
      </c>
      <c r="F17" s="609">
        <v>33077600</v>
      </c>
      <c r="G17" s="610">
        <v>33077600</v>
      </c>
      <c r="H17" s="606">
        <f t="shared" si="1"/>
        <v>63802400</v>
      </c>
    </row>
    <row r="18" spans="1:8" ht="16.5" customHeight="1">
      <c r="A18" s="598" t="s">
        <v>597</v>
      </c>
      <c r="B18" s="593">
        <f>+B16+B17</f>
        <v>89821600</v>
      </c>
      <c r="C18" s="593">
        <v>91620800</v>
      </c>
      <c r="D18" s="593">
        <v>91620800</v>
      </c>
      <c r="E18" s="609">
        <f t="shared" ref="E18:H18" si="4">+E16+E17</f>
        <v>108228800</v>
      </c>
      <c r="F18" s="609">
        <v>106152800</v>
      </c>
      <c r="G18" s="609">
        <v>106152800</v>
      </c>
      <c r="H18" s="607">
        <f t="shared" si="4"/>
        <v>197773600</v>
      </c>
    </row>
    <row r="19" spans="1:8" ht="16.5" customHeight="1">
      <c r="A19" s="598" t="s">
        <v>598</v>
      </c>
      <c r="B19" s="593">
        <v>731500</v>
      </c>
      <c r="C19" s="593">
        <v>777000</v>
      </c>
      <c r="D19" s="459">
        <v>777000</v>
      </c>
      <c r="E19" s="609">
        <v>889000</v>
      </c>
      <c r="F19" s="609">
        <v>836500</v>
      </c>
      <c r="G19" s="591">
        <v>836500</v>
      </c>
      <c r="H19" s="606">
        <f t="shared" si="1"/>
        <v>1613500</v>
      </c>
    </row>
    <row r="20" spans="1:8" ht="33.75" customHeight="1">
      <c r="A20" s="602" t="s">
        <v>620</v>
      </c>
      <c r="B20" s="593">
        <v>1056000</v>
      </c>
      <c r="C20" s="593">
        <v>1056000</v>
      </c>
      <c r="D20" s="459">
        <v>1056000</v>
      </c>
      <c r="E20" s="609">
        <v>1760000</v>
      </c>
      <c r="F20" s="609">
        <v>1760000</v>
      </c>
      <c r="G20" s="591">
        <v>1760000</v>
      </c>
      <c r="H20" s="606">
        <f t="shared" si="1"/>
        <v>2816000</v>
      </c>
    </row>
    <row r="21" spans="1:8" ht="16.5" customHeight="1">
      <c r="A21" s="598" t="s">
        <v>595</v>
      </c>
      <c r="B21" s="593">
        <v>16800000</v>
      </c>
      <c r="C21" s="593">
        <v>16800000</v>
      </c>
      <c r="D21" s="459">
        <v>16800000</v>
      </c>
      <c r="E21" s="609">
        <v>18000000</v>
      </c>
      <c r="F21" s="609">
        <v>18000000</v>
      </c>
      <c r="G21" s="591">
        <v>18000000</v>
      </c>
      <c r="H21" s="606">
        <f t="shared" si="1"/>
        <v>34800000</v>
      </c>
    </row>
    <row r="22" spans="1:8" ht="16.5" customHeight="1">
      <c r="A22" s="601" t="s">
        <v>596</v>
      </c>
      <c r="B22" s="593">
        <v>8400000</v>
      </c>
      <c r="C22" s="593">
        <v>8400000</v>
      </c>
      <c r="D22" s="459">
        <v>8400000</v>
      </c>
      <c r="E22" s="609">
        <v>9000000</v>
      </c>
      <c r="F22" s="609">
        <v>9000000</v>
      </c>
      <c r="G22" s="591">
        <v>9000000</v>
      </c>
      <c r="H22" s="606">
        <f t="shared" si="1"/>
        <v>17400000</v>
      </c>
    </row>
    <row r="23" spans="1:8" ht="29.25" customHeight="1">
      <c r="A23" s="603" t="s">
        <v>599</v>
      </c>
      <c r="B23" s="593">
        <f>+B22+B21</f>
        <v>25200000</v>
      </c>
      <c r="C23" s="593">
        <f>+C22+C21</f>
        <v>25200000</v>
      </c>
      <c r="D23" s="593">
        <v>25200000</v>
      </c>
      <c r="E23" s="609">
        <f t="shared" ref="E23:H23" si="5">+E22+E21</f>
        <v>27000000</v>
      </c>
      <c r="F23" s="609">
        <f t="shared" ref="F23" si="6">+F22+F21</f>
        <v>27000000</v>
      </c>
      <c r="G23" s="609">
        <v>27000000</v>
      </c>
      <c r="H23" s="607">
        <f t="shared" si="5"/>
        <v>52200000</v>
      </c>
    </row>
    <row r="24" spans="1:8" ht="16.5" customHeight="1">
      <c r="A24" s="598" t="s">
        <v>595</v>
      </c>
      <c r="B24" s="593">
        <v>11526666.666666666</v>
      </c>
      <c r="C24" s="593">
        <v>11526666.666666666</v>
      </c>
      <c r="D24" s="459">
        <v>11526666.666666666</v>
      </c>
      <c r="E24" s="609">
        <v>13626666.666666664</v>
      </c>
      <c r="F24" s="609">
        <v>13626666.666666664</v>
      </c>
      <c r="G24" s="610">
        <v>13626666.666666664</v>
      </c>
      <c r="H24" s="606">
        <f t="shared" si="1"/>
        <v>25153333.333333328</v>
      </c>
    </row>
    <row r="25" spans="1:8" ht="16.5" customHeight="1">
      <c r="A25" s="601" t="s">
        <v>596</v>
      </c>
      <c r="B25" s="593">
        <v>5483333.333333333</v>
      </c>
      <c r="C25" s="593">
        <v>5646666</v>
      </c>
      <c r="D25" s="459">
        <v>5646666</v>
      </c>
      <c r="E25" s="609">
        <v>6533333.333333333</v>
      </c>
      <c r="F25" s="609">
        <v>6230000</v>
      </c>
      <c r="G25" s="610">
        <v>6230000</v>
      </c>
      <c r="H25" s="606">
        <f t="shared" si="1"/>
        <v>11876666</v>
      </c>
    </row>
    <row r="26" spans="1:8" ht="16.5" customHeight="1">
      <c r="A26" s="598" t="s">
        <v>600</v>
      </c>
      <c r="B26" s="593">
        <f>+B24+B25</f>
        <v>17010000</v>
      </c>
      <c r="C26" s="593">
        <v>17173333</v>
      </c>
      <c r="D26" s="593">
        <v>17173333</v>
      </c>
      <c r="E26" s="609">
        <f t="shared" ref="E26:H26" si="7">+E24+E25</f>
        <v>20159999.999999996</v>
      </c>
      <c r="F26" s="609">
        <v>19856667</v>
      </c>
      <c r="G26" s="609">
        <v>19856667</v>
      </c>
      <c r="H26" s="607">
        <f t="shared" si="7"/>
        <v>37029999.333333328</v>
      </c>
    </row>
    <row r="27" spans="1:8" ht="16.5" customHeight="1">
      <c r="A27" s="598" t="s">
        <v>601</v>
      </c>
      <c r="B27" s="593">
        <v>27928287.640449438</v>
      </c>
      <c r="C27" s="593">
        <v>26239523</v>
      </c>
      <c r="D27" s="459">
        <v>26239523</v>
      </c>
      <c r="E27" s="609">
        <v>2018912.359550562</v>
      </c>
      <c r="F27" s="609">
        <v>1765597</v>
      </c>
      <c r="G27" s="591">
        <v>1765597</v>
      </c>
      <c r="H27" s="606">
        <f t="shared" si="1"/>
        <v>28005120</v>
      </c>
    </row>
    <row r="28" spans="1:8" ht="16.5" customHeight="1">
      <c r="A28" s="598" t="s">
        <v>602</v>
      </c>
      <c r="B28" s="593">
        <v>24459842</v>
      </c>
      <c r="C28" s="593">
        <v>25657208</v>
      </c>
      <c r="D28" s="459">
        <v>25657208</v>
      </c>
      <c r="E28" s="609">
        <v>2439894</v>
      </c>
      <c r="F28" s="609">
        <v>2619499</v>
      </c>
      <c r="G28" s="591">
        <v>2619499</v>
      </c>
      <c r="H28" s="606">
        <f t="shared" si="1"/>
        <v>28276707</v>
      </c>
    </row>
    <row r="29" spans="1:8" ht="16.5" customHeight="1" thickBot="1">
      <c r="A29" s="639" t="s">
        <v>603</v>
      </c>
      <c r="B29" s="626">
        <f>+B28+B27</f>
        <v>52388129.640449435</v>
      </c>
      <c r="C29" s="626">
        <f>+C28+C27</f>
        <v>51896731</v>
      </c>
      <c r="D29" s="626">
        <v>51896731</v>
      </c>
      <c r="E29" s="629">
        <f t="shared" ref="E29" si="8">+E28+E27</f>
        <v>4458806.3595505618</v>
      </c>
      <c r="F29" s="629">
        <v>4385096</v>
      </c>
      <c r="G29" s="629">
        <v>4385096</v>
      </c>
      <c r="H29" s="640">
        <f>+H28+H27</f>
        <v>56281827</v>
      </c>
    </row>
    <row r="30" spans="1:8" ht="16.5" customHeight="1" thickBot="1">
      <c r="A30" s="634" t="s">
        <v>604</v>
      </c>
      <c r="B30" s="635">
        <f>+B29+B26+B23+B20+B19+B18</f>
        <v>186207229.64044943</v>
      </c>
      <c r="C30" s="462">
        <f t="shared" ref="C30:H30" si="9">+C29+C26+C23+C20+C19+C18</f>
        <v>187723864</v>
      </c>
      <c r="D30" s="463">
        <f>+D29+D26+D23+D20+D19+D18</f>
        <v>187723864</v>
      </c>
      <c r="E30" s="636">
        <f t="shared" si="9"/>
        <v>162496606.35955057</v>
      </c>
      <c r="F30" s="462">
        <f t="shared" si="9"/>
        <v>159991063</v>
      </c>
      <c r="G30" s="637">
        <f>+G29+G26+G23+G20+G19+G18</f>
        <v>159991063</v>
      </c>
      <c r="H30" s="638">
        <f t="shared" si="9"/>
        <v>347714926.33333331</v>
      </c>
    </row>
    <row r="31" spans="1:8" ht="16.5" customHeight="1">
      <c r="A31" s="641" t="s">
        <v>605</v>
      </c>
      <c r="B31" s="616">
        <v>60000</v>
      </c>
      <c r="C31" s="617">
        <v>60000</v>
      </c>
      <c r="D31" s="618">
        <v>60000</v>
      </c>
      <c r="E31" s="619">
        <v>24795530</v>
      </c>
      <c r="F31" s="620">
        <v>31748530</v>
      </c>
      <c r="G31" s="621">
        <v>31748530</v>
      </c>
      <c r="H31" s="622">
        <f t="shared" si="1"/>
        <v>31808530</v>
      </c>
    </row>
    <row r="32" spans="1:8" ht="16.5" customHeight="1">
      <c r="A32" s="597" t="s">
        <v>606</v>
      </c>
      <c r="B32" s="593"/>
      <c r="C32" s="458"/>
      <c r="D32" s="459"/>
      <c r="E32" s="609">
        <v>22431500</v>
      </c>
      <c r="F32" s="609">
        <v>21300500</v>
      </c>
      <c r="G32" s="610">
        <v>21300500</v>
      </c>
      <c r="H32" s="606">
        <f t="shared" si="1"/>
        <v>21300500</v>
      </c>
    </row>
    <row r="33" spans="1:8" ht="16.5" customHeight="1">
      <c r="A33" s="597" t="s">
        <v>607</v>
      </c>
      <c r="B33" s="593"/>
      <c r="C33" s="458"/>
      <c r="D33" s="459"/>
      <c r="E33" s="609">
        <v>2500000</v>
      </c>
      <c r="F33" s="609">
        <v>2500000</v>
      </c>
      <c r="G33" s="610">
        <v>2500000</v>
      </c>
      <c r="H33" s="606">
        <f t="shared" si="1"/>
        <v>2500000</v>
      </c>
    </row>
    <row r="34" spans="1:8" ht="16.5" customHeight="1">
      <c r="A34" s="597" t="s">
        <v>608</v>
      </c>
      <c r="B34" s="593"/>
      <c r="C34" s="458"/>
      <c r="D34" s="459"/>
      <c r="E34" s="609">
        <v>1635000</v>
      </c>
      <c r="F34" s="609">
        <v>1308000</v>
      </c>
      <c r="G34" s="610">
        <v>1308000</v>
      </c>
      <c r="H34" s="606">
        <f t="shared" si="1"/>
        <v>1308000</v>
      </c>
    </row>
    <row r="35" spans="1:8" ht="16.5" customHeight="1" thickBot="1">
      <c r="A35" s="625" t="s">
        <v>609</v>
      </c>
      <c r="B35" s="626"/>
      <c r="C35" s="627"/>
      <c r="D35" s="628"/>
      <c r="E35" s="629">
        <v>1394640</v>
      </c>
      <c r="F35" s="629">
        <v>1394640</v>
      </c>
      <c r="G35" s="631">
        <v>1394640</v>
      </c>
      <c r="H35" s="632">
        <f t="shared" si="1"/>
        <v>1394640</v>
      </c>
    </row>
    <row r="36" spans="1:8" s="453" customFormat="1" ht="16.5" customHeight="1" thickBot="1">
      <c r="A36" s="649" t="s">
        <v>610</v>
      </c>
      <c r="B36" s="635">
        <v>0</v>
      </c>
      <c r="C36" s="462">
        <f>SUM(C31:C35)</f>
        <v>60000</v>
      </c>
      <c r="D36" s="463">
        <f>SUM(D31:D35)</f>
        <v>60000</v>
      </c>
      <c r="E36" s="636">
        <f>SUM(E31:E35)</f>
        <v>52756670</v>
      </c>
      <c r="F36" s="462">
        <f t="shared" ref="F36:G36" si="10">SUM(F31:F35)</f>
        <v>58251670</v>
      </c>
      <c r="G36" s="637">
        <f t="shared" si="10"/>
        <v>58251670</v>
      </c>
      <c r="H36" s="650">
        <f>+D36+G36</f>
        <v>58311670</v>
      </c>
    </row>
    <row r="37" spans="1:8" s="453" customFormat="1" ht="29.25" customHeight="1">
      <c r="A37" s="642" t="s">
        <v>593</v>
      </c>
      <c r="B37" s="643">
        <v>17961380</v>
      </c>
      <c r="C37" s="644">
        <v>17961380</v>
      </c>
      <c r="D37" s="645">
        <v>17961380</v>
      </c>
      <c r="E37" s="646"/>
      <c r="F37" s="647"/>
      <c r="G37" s="648"/>
      <c r="H37" s="622">
        <f t="shared" si="1"/>
        <v>17961380</v>
      </c>
    </row>
    <row r="38" spans="1:8" s="453" customFormat="1" ht="16.5" customHeight="1">
      <c r="A38" s="600" t="s">
        <v>611</v>
      </c>
      <c r="B38" s="595">
        <v>6461520</v>
      </c>
      <c r="C38" s="460">
        <v>6914520</v>
      </c>
      <c r="D38" s="461">
        <v>6914520</v>
      </c>
      <c r="E38" s="612"/>
      <c r="F38" s="588"/>
      <c r="G38" s="590"/>
      <c r="H38" s="606">
        <f t="shared" si="1"/>
        <v>6914520</v>
      </c>
    </row>
    <row r="39" spans="1:8" s="453" customFormat="1" ht="16.5" customHeight="1">
      <c r="A39" s="600" t="s">
        <v>613</v>
      </c>
      <c r="B39" s="595">
        <v>3920000</v>
      </c>
      <c r="C39" s="460">
        <v>5668000</v>
      </c>
      <c r="D39" s="461">
        <v>5668000</v>
      </c>
      <c r="E39" s="612"/>
      <c r="F39" s="588"/>
      <c r="G39" s="590"/>
      <c r="H39" s="606">
        <f t="shared" si="1"/>
        <v>5668000</v>
      </c>
    </row>
    <row r="40" spans="1:8" s="453" customFormat="1" ht="16.5" customHeight="1">
      <c r="A40" s="604" t="s">
        <v>615</v>
      </c>
      <c r="B40" s="595"/>
      <c r="C40" s="460">
        <v>4708000</v>
      </c>
      <c r="D40" s="461">
        <v>4708000</v>
      </c>
      <c r="E40" s="612"/>
      <c r="F40" s="588"/>
      <c r="G40" s="590"/>
      <c r="H40" s="606">
        <f t="shared" si="1"/>
        <v>4708000</v>
      </c>
    </row>
    <row r="41" spans="1:8" s="453" customFormat="1" ht="16.5" customHeight="1">
      <c r="A41" s="604" t="s">
        <v>727</v>
      </c>
      <c r="B41" s="595"/>
      <c r="C41" s="460">
        <v>3526000</v>
      </c>
      <c r="D41" s="461">
        <v>3526000</v>
      </c>
      <c r="E41" s="612"/>
      <c r="F41" s="588"/>
      <c r="G41" s="590"/>
      <c r="H41" s="606">
        <f t="shared" si="1"/>
        <v>3526000</v>
      </c>
    </row>
    <row r="42" spans="1:8" s="453" customFormat="1" ht="16.5" customHeight="1">
      <c r="A42" s="604"/>
      <c r="B42" s="595"/>
      <c r="C42" s="460"/>
      <c r="D42" s="461"/>
      <c r="E42" s="612"/>
      <c r="F42" s="588"/>
      <c r="G42" s="590"/>
      <c r="H42" s="606"/>
    </row>
    <row r="43" spans="1:8" s="453" customFormat="1" ht="16.5" customHeight="1" thickBot="1">
      <c r="A43" s="605" t="s">
        <v>616</v>
      </c>
      <c r="B43" s="596">
        <f>+B39+B38+B37+B30+B15+B40+B41</f>
        <v>337313230.6404494</v>
      </c>
      <c r="C43" s="592">
        <f>+C39+C38+C37+C30+C15+C40+C41+C36</f>
        <v>349802865</v>
      </c>
      <c r="D43" s="592">
        <f>+D39+D38+D37+D30+D15+D40+D41+D36</f>
        <v>349802865</v>
      </c>
      <c r="E43" s="613">
        <f>+E36+E30</f>
        <v>215253276.35955057</v>
      </c>
      <c r="F43" s="592">
        <f>+F36+F30</f>
        <v>218242733</v>
      </c>
      <c r="G43" s="614">
        <f>+G36+G30</f>
        <v>218242733</v>
      </c>
      <c r="H43" s="608">
        <f>+D43+G43</f>
        <v>568045598</v>
      </c>
    </row>
    <row r="45" spans="1:8" hidden="1"/>
    <row r="46" spans="1:8" hidden="1"/>
    <row r="47" spans="1:8" hidden="1">
      <c r="B47" s="454"/>
      <c r="D47" s="454"/>
      <c r="E47" s="456"/>
      <c r="G47" s="456"/>
    </row>
    <row r="48" spans="1:8" ht="25.5" hidden="1" customHeight="1">
      <c r="B48" s="457" t="s">
        <v>621</v>
      </c>
      <c r="D48" s="457" t="s">
        <v>622</v>
      </c>
      <c r="E48" s="457" t="s">
        <v>623</v>
      </c>
      <c r="G48" s="548" t="s">
        <v>624</v>
      </c>
    </row>
    <row r="49" spans="1:8" hidden="1"/>
    <row r="50" spans="1:8" hidden="1"/>
    <row r="51" spans="1:8" hidden="1"/>
    <row r="52" spans="1:8" hidden="1"/>
    <row r="53" spans="1:8" hidden="1">
      <c r="G53" s="456"/>
    </row>
    <row r="54" spans="1:8" ht="12.75" hidden="1" customHeight="1">
      <c r="G54" s="548" t="s">
        <v>625</v>
      </c>
    </row>
    <row r="55" spans="1:8" hidden="1"/>
    <row r="56" spans="1:8" hidden="1"/>
    <row r="57" spans="1:8" hidden="1"/>
    <row r="58" spans="1:8" hidden="1"/>
    <row r="59" spans="1:8" hidden="1"/>
    <row r="60" spans="1:8" hidden="1"/>
    <row r="61" spans="1:8" hidden="1"/>
    <row r="62" spans="1:8" hidden="1">
      <c r="A62" s="452" t="s">
        <v>626</v>
      </c>
      <c r="B62" s="437">
        <v>4580000</v>
      </c>
    </row>
    <row r="63" spans="1:8" ht="38.25" hidden="1">
      <c r="B63" s="455" t="s">
        <v>627</v>
      </c>
      <c r="C63" s="455" t="s">
        <v>628</v>
      </c>
      <c r="D63" s="455" t="s">
        <v>629</v>
      </c>
      <c r="F63" s="452" t="s">
        <v>630</v>
      </c>
      <c r="G63" s="452" t="s">
        <v>631</v>
      </c>
      <c r="H63" s="453" t="s">
        <v>632</v>
      </c>
    </row>
    <row r="64" spans="1:8" hidden="1">
      <c r="B64" s="455">
        <v>5668</v>
      </c>
      <c r="C64" s="455">
        <v>5001</v>
      </c>
      <c r="D64" s="455">
        <v>10000</v>
      </c>
      <c r="E64" s="452" t="e">
        <f>+(B64-C64)/(D64-C64)*(#REF!-#REF!)</f>
        <v>#REF!</v>
      </c>
      <c r="F64" s="452">
        <v>0.93</v>
      </c>
      <c r="G64" s="452" t="e">
        <f>+F64+#REF!</f>
        <v>#REF!</v>
      </c>
      <c r="H64" s="453" t="e">
        <f>+G64+#REF!</f>
        <v>#REF!</v>
      </c>
    </row>
    <row r="65" hidden="1"/>
    <row r="66" hidden="1"/>
    <row r="67" hidden="1"/>
    <row r="68" hidden="1"/>
  </sheetData>
  <mergeCells count="5">
    <mergeCell ref="A1:H1"/>
    <mergeCell ref="H2:H3"/>
    <mergeCell ref="A2:A3"/>
    <mergeCell ref="B2:D2"/>
    <mergeCell ref="E2:G2"/>
  </mergeCells>
  <printOptions horizontalCentered="1"/>
  <pageMargins left="0.70866141732283472" right="0.70866141732283472" top="1.0236220472440944" bottom="0.74803149606299213" header="0.39370078740157483" footer="0.31496062992125984"/>
  <pageSetup paperSize="9" scale="53" orientation="portrait" r:id="rId1"/>
  <headerFooter>
    <oddHeader>&amp;R&amp;"Times New Roman,Normál"&amp;10 4. melléklet</oddHeader>
    <oddFooter>&amp;R&amp;P</oddFooter>
  </headerFooter>
  <colBreaks count="1" manualBreakCount="1">
    <brk id="10" min="1" max="37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1"/>
  <sheetViews>
    <sheetView topLeftCell="A10" workbookViewId="0">
      <selection activeCell="G35" sqref="G35"/>
    </sheetView>
  </sheetViews>
  <sheetFormatPr defaultRowHeight="15"/>
  <cols>
    <col min="1" max="1" width="6.28515625" style="429" customWidth="1"/>
    <col min="2" max="2" width="7.140625" style="199" customWidth="1"/>
    <col min="3" max="3" width="22" style="199" customWidth="1"/>
    <col min="4" max="4" width="9.5703125" style="66" customWidth="1"/>
    <col min="5" max="5" width="10.28515625" style="66" customWidth="1"/>
    <col min="6" max="6" width="9.85546875" style="66" customWidth="1"/>
    <col min="7" max="7" width="8.5703125" style="66" customWidth="1"/>
    <col min="8" max="8" width="7.140625" style="66" customWidth="1"/>
    <col min="9" max="9" width="8.7109375" style="66" customWidth="1"/>
    <col min="10" max="10" width="8.42578125" style="66" customWidth="1"/>
    <col min="11" max="11" width="10" style="66" customWidth="1"/>
    <col min="12" max="12" width="6.7109375" style="66" customWidth="1"/>
    <col min="13" max="15" width="7.7109375" style="66" hidden="1" customWidth="1"/>
    <col min="16" max="16" width="10.28515625" style="66" bestFit="1" customWidth="1"/>
    <col min="17" max="17" width="10.140625" style="66" customWidth="1"/>
    <col min="18" max="18" width="7.7109375" style="66" customWidth="1"/>
    <col min="19" max="19" width="10.28515625" style="66" bestFit="1" customWidth="1"/>
    <col min="20" max="21" width="7.7109375" style="66" customWidth="1"/>
    <col min="22" max="22" width="11.28515625" style="66" bestFit="1" customWidth="1"/>
    <col min="23" max="24" width="7.7109375" style="66" customWidth="1"/>
    <col min="25" max="25" width="11.28515625" style="66" bestFit="1" customWidth="1"/>
    <col min="26" max="27" width="7.7109375" style="66" customWidth="1"/>
    <col min="28" max="29" width="9.140625" style="431"/>
    <col min="30" max="30" width="9.140625" style="1"/>
    <col min="31" max="16384" width="9.140625" style="18"/>
  </cols>
  <sheetData>
    <row r="1" spans="1:29" ht="15.75">
      <c r="A1" s="211"/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</row>
    <row r="2" spans="1:29" ht="15.75" thickBot="1">
      <c r="Y2" s="1228" t="s">
        <v>404</v>
      </c>
      <c r="Z2" s="1228"/>
      <c r="AA2" s="1228"/>
    </row>
    <row r="3" spans="1:29" s="33" customFormat="1" ht="12.75" customHeight="1" thickBot="1">
      <c r="A3" s="1229" t="s">
        <v>0</v>
      </c>
      <c r="B3" s="1231" t="s">
        <v>181</v>
      </c>
      <c r="C3" s="1232"/>
      <c r="D3" s="1235" t="s">
        <v>179</v>
      </c>
      <c r="E3" s="1236"/>
      <c r="F3" s="1237"/>
      <c r="G3" s="1238" t="s">
        <v>266</v>
      </c>
      <c r="H3" s="1239"/>
      <c r="I3" s="1250"/>
      <c r="J3" s="1238" t="s">
        <v>532</v>
      </c>
      <c r="K3" s="1239"/>
      <c r="L3" s="1240"/>
      <c r="M3" s="1238" t="s">
        <v>533</v>
      </c>
      <c r="N3" s="1239"/>
      <c r="O3" s="1240"/>
      <c r="P3" s="1238" t="s">
        <v>534</v>
      </c>
      <c r="Q3" s="1239"/>
      <c r="R3" s="1240"/>
      <c r="S3" s="1238" t="s">
        <v>267</v>
      </c>
      <c r="T3" s="1239"/>
      <c r="U3" s="1240"/>
      <c r="V3" s="1238" t="s">
        <v>535</v>
      </c>
      <c r="W3" s="1239"/>
      <c r="X3" s="1240"/>
      <c r="Y3" s="1241" t="s">
        <v>268</v>
      </c>
      <c r="Z3" s="1239"/>
      <c r="AA3" s="1240"/>
      <c r="AB3" s="421"/>
      <c r="AC3" s="421"/>
    </row>
    <row r="4" spans="1:29" s="17" customFormat="1" ht="26.25" thickBot="1">
      <c r="A4" s="1230"/>
      <c r="B4" s="1233"/>
      <c r="C4" s="1234"/>
      <c r="D4" s="701" t="s">
        <v>178</v>
      </c>
      <c r="E4" s="701" t="s">
        <v>672</v>
      </c>
      <c r="F4" s="432" t="s">
        <v>745</v>
      </c>
      <c r="G4" s="449" t="s">
        <v>178</v>
      </c>
      <c r="H4" s="701" t="s">
        <v>672</v>
      </c>
      <c r="I4" s="432" t="s">
        <v>745</v>
      </c>
      <c r="J4" s="449" t="s">
        <v>178</v>
      </c>
      <c r="K4" s="701" t="s">
        <v>672</v>
      </c>
      <c r="L4" s="432" t="s">
        <v>745</v>
      </c>
      <c r="M4" s="449" t="s">
        <v>178</v>
      </c>
      <c r="N4" s="432" t="s">
        <v>671</v>
      </c>
      <c r="O4" s="432" t="s">
        <v>673</v>
      </c>
      <c r="P4" s="449" t="s">
        <v>178</v>
      </c>
      <c r="Q4" s="701" t="s">
        <v>672</v>
      </c>
      <c r="R4" s="432" t="s">
        <v>745</v>
      </c>
      <c r="S4" s="449" t="s">
        <v>178</v>
      </c>
      <c r="T4" s="701" t="s">
        <v>672</v>
      </c>
      <c r="U4" s="432" t="s">
        <v>745</v>
      </c>
      <c r="V4" s="449" t="s">
        <v>178</v>
      </c>
      <c r="W4" s="701" t="s">
        <v>672</v>
      </c>
      <c r="X4" s="432" t="s">
        <v>745</v>
      </c>
      <c r="Y4" s="449" t="s">
        <v>178</v>
      </c>
      <c r="Z4" s="701" t="s">
        <v>672</v>
      </c>
      <c r="AA4" s="432" t="s">
        <v>745</v>
      </c>
      <c r="AB4" s="430"/>
      <c r="AC4" s="430"/>
    </row>
    <row r="5" spans="1:29" s="46" customFormat="1" ht="12.75">
      <c r="A5" s="513" t="s">
        <v>27</v>
      </c>
      <c r="B5" s="1251" t="s">
        <v>175</v>
      </c>
      <c r="C5" s="1252"/>
      <c r="D5" s="693">
        <f>+G5+J5+M5+P5+S5+V5+Y5</f>
        <v>30949</v>
      </c>
      <c r="E5" s="697">
        <f>+H5+K5+N5+Q5+T5+W5+Z5</f>
        <v>19486</v>
      </c>
      <c r="F5" s="693">
        <f>+I5+L5+O5+R5+U5+X5+AA5</f>
        <v>19257</v>
      </c>
      <c r="G5" s="520">
        <f>+'5.a. mell. Jogalkotás'!D5</f>
        <v>0</v>
      </c>
      <c r="H5" s="521">
        <f>+'5.a. mell. Jogalkotás'!E5</f>
        <v>0</v>
      </c>
      <c r="I5" s="524">
        <f>+'5.a. mell. Jogalkotás'!F5</f>
        <v>0</v>
      </c>
      <c r="J5" s="520"/>
      <c r="K5" s="521"/>
      <c r="L5" s="522"/>
      <c r="M5" s="520">
        <f>+'5.c. mell. VF Eu forrásból'!D5</f>
        <v>0</v>
      </c>
      <c r="N5" s="521">
        <f>+'5.c. mell. VF Eu forrásból'!E5</f>
        <v>0</v>
      </c>
      <c r="O5" s="522">
        <f>+'5.c. mell. VF Eu forrásból'!F5</f>
        <v>0</v>
      </c>
      <c r="P5" s="520">
        <f>+'5.d. mell. Védőnő, EÜ'!D5</f>
        <v>8687</v>
      </c>
      <c r="Q5" s="521">
        <f>+'5.d. mell. Védőnő, EÜ'!E5</f>
        <v>7111</v>
      </c>
      <c r="R5" s="522">
        <f>+'5.d. mell. Védőnő, EÜ'!F5</f>
        <v>7101</v>
      </c>
      <c r="S5" s="520"/>
      <c r="T5" s="521"/>
      <c r="U5" s="522"/>
      <c r="V5" s="520"/>
      <c r="W5" s="521"/>
      <c r="X5" s="522"/>
      <c r="Y5" s="523">
        <f>+'5.g. mell. Egyéb tev.'!D6</f>
        <v>22262</v>
      </c>
      <c r="Z5" s="523">
        <f>+'5.g. mell. Egyéb tev.'!E6</f>
        <v>12375</v>
      </c>
      <c r="AA5" s="523">
        <f>+'5.g. mell. Egyéb tev.'!F6</f>
        <v>12156</v>
      </c>
      <c r="AB5" s="335"/>
      <c r="AC5" s="335"/>
    </row>
    <row r="6" spans="1:29" s="46" customFormat="1" ht="12.75" customHeight="1">
      <c r="A6" s="514" t="s">
        <v>34</v>
      </c>
      <c r="B6" s="1246" t="s">
        <v>174</v>
      </c>
      <c r="C6" s="1247"/>
      <c r="D6" s="693">
        <f t="shared" ref="D6:F7" si="0">+G6+J6+M6+P6+S6+V6+Y6</f>
        <v>16332</v>
      </c>
      <c r="E6" s="697">
        <f t="shared" si="0"/>
        <v>22016</v>
      </c>
      <c r="F6" s="693">
        <f t="shared" si="0"/>
        <v>19652</v>
      </c>
      <c r="G6" s="526">
        <f>+'5.a. mell. Jogalkotás'!D6</f>
        <v>16332</v>
      </c>
      <c r="H6" s="525">
        <f>+'5.a. mell. Jogalkotás'!E6</f>
        <v>19272</v>
      </c>
      <c r="I6" s="529">
        <f>+'5.a. mell. Jogalkotás'!F6</f>
        <v>16919</v>
      </c>
      <c r="J6" s="526"/>
      <c r="K6" s="525"/>
      <c r="L6" s="527"/>
      <c r="M6" s="526">
        <f>+'5.c. mell. VF Eu forrásból'!D6</f>
        <v>0</v>
      </c>
      <c r="N6" s="525">
        <f>+'5.c. mell. VF Eu forrásból'!E6</f>
        <v>0</v>
      </c>
      <c r="O6" s="527">
        <f>+'5.c. mell. VF Eu forrásból'!F6</f>
        <v>0</v>
      </c>
      <c r="P6" s="526">
        <f>+'5.d. mell. Védőnő, EÜ'!D6</f>
        <v>0</v>
      </c>
      <c r="Q6" s="525">
        <f>+'5.d. mell. Védőnő, EÜ'!E6</f>
        <v>2744</v>
      </c>
      <c r="R6" s="527">
        <f>+'5.d. mell. Védőnő, EÜ'!F6</f>
        <v>2733</v>
      </c>
      <c r="S6" s="526"/>
      <c r="T6" s="525"/>
      <c r="U6" s="527"/>
      <c r="V6" s="526"/>
      <c r="W6" s="525"/>
      <c r="X6" s="527"/>
      <c r="Y6" s="528">
        <f>+'5.g. mell. Egyéb tev.'!D7</f>
        <v>0</v>
      </c>
      <c r="Z6" s="528">
        <f>+'5.g. mell. Egyéb tev.'!E7</f>
        <v>0</v>
      </c>
      <c r="AA6" s="528">
        <f>+'5.g. mell. Egyéb tev.'!F7</f>
        <v>0</v>
      </c>
      <c r="AB6" s="335"/>
      <c r="AC6" s="335"/>
    </row>
    <row r="7" spans="1:29" s="46" customFormat="1" ht="12.75" customHeight="1">
      <c r="A7" s="515" t="s">
        <v>35</v>
      </c>
      <c r="B7" s="1226" t="s">
        <v>173</v>
      </c>
      <c r="C7" s="1227"/>
      <c r="D7" s="693">
        <f t="shared" si="0"/>
        <v>47281</v>
      </c>
      <c r="E7" s="697">
        <f t="shared" si="0"/>
        <v>42071</v>
      </c>
      <c r="F7" s="693">
        <f t="shared" si="0"/>
        <v>38909</v>
      </c>
      <c r="G7" s="526">
        <f>+G5+G6</f>
        <v>16332</v>
      </c>
      <c r="H7" s="525">
        <f t="shared" ref="H7:I7" si="1">+H5+H6</f>
        <v>19272</v>
      </c>
      <c r="I7" s="529">
        <f t="shared" si="1"/>
        <v>16919</v>
      </c>
      <c r="J7" s="526"/>
      <c r="K7" s="525"/>
      <c r="L7" s="527"/>
      <c r="M7" s="526">
        <f>+M5+M6</f>
        <v>0</v>
      </c>
      <c r="N7" s="525">
        <f t="shared" ref="N7:O7" si="2">+N5+N6</f>
        <v>0</v>
      </c>
      <c r="O7" s="527">
        <f t="shared" si="2"/>
        <v>0</v>
      </c>
      <c r="P7" s="526">
        <f>+P5+P6</f>
        <v>8687</v>
      </c>
      <c r="Q7" s="525">
        <f t="shared" ref="Q7:R7" si="3">+Q5+Q6</f>
        <v>9855</v>
      </c>
      <c r="R7" s="527">
        <f t="shared" si="3"/>
        <v>9834</v>
      </c>
      <c r="S7" s="526"/>
      <c r="T7" s="525"/>
      <c r="U7" s="527"/>
      <c r="V7" s="526"/>
      <c r="W7" s="525"/>
      <c r="X7" s="527"/>
      <c r="Y7" s="528">
        <f>+'5.g. mell. Egyéb tev.'!D8</f>
        <v>22262</v>
      </c>
      <c r="Z7" s="528">
        <f>+'5.g. mell. Egyéb tev.'!E8</f>
        <v>12944</v>
      </c>
      <c r="AA7" s="528">
        <f>+'5.g. mell. Egyéb tev.'!F8</f>
        <v>12156</v>
      </c>
      <c r="AB7" s="335"/>
      <c r="AC7" s="335"/>
    </row>
    <row r="8" spans="1:29">
      <c r="A8" s="186"/>
      <c r="B8" s="518"/>
      <c r="C8" s="433"/>
      <c r="D8" s="694"/>
      <c r="E8" s="530"/>
      <c r="F8" s="700"/>
      <c r="G8" s="531"/>
      <c r="H8" s="530"/>
      <c r="I8" s="530"/>
      <c r="J8" s="531"/>
      <c r="K8" s="530"/>
      <c r="L8" s="532"/>
      <c r="M8" s="531"/>
      <c r="N8" s="530"/>
      <c r="O8" s="532"/>
      <c r="P8" s="531"/>
      <c r="Q8" s="530"/>
      <c r="R8" s="532"/>
      <c r="S8" s="531"/>
      <c r="T8" s="530"/>
      <c r="U8" s="532"/>
      <c r="V8" s="531"/>
      <c r="W8" s="530"/>
      <c r="X8" s="532"/>
      <c r="Y8" s="530"/>
      <c r="Z8" s="530"/>
      <c r="AA8" s="532"/>
    </row>
    <row r="9" spans="1:29" s="46" customFormat="1" ht="12.75" customHeight="1">
      <c r="A9" s="515" t="s">
        <v>36</v>
      </c>
      <c r="B9" s="1226" t="s">
        <v>172</v>
      </c>
      <c r="C9" s="1227"/>
      <c r="D9" s="695">
        <f>+G9+J9+M9+P9+S9+V9+Y9</f>
        <v>9891</v>
      </c>
      <c r="E9" s="698">
        <f>+H9+K9+N9+Q9+T9+W9+Z9</f>
        <v>9727</v>
      </c>
      <c r="F9" s="695">
        <f>+I9+L9+O9+R9+U9+X9+AA9</f>
        <v>9159</v>
      </c>
      <c r="G9" s="526">
        <f>+'5.a. mell. Jogalkotás'!D9</f>
        <v>4519</v>
      </c>
      <c r="H9" s="525">
        <f>+'5.a. mell. Jogalkotás'!E9</f>
        <v>4832</v>
      </c>
      <c r="I9" s="529">
        <f>+'5.a. mell. Jogalkotás'!F9</f>
        <v>4793</v>
      </c>
      <c r="J9" s="526"/>
      <c r="K9" s="525"/>
      <c r="L9" s="527"/>
      <c r="M9" s="526">
        <f>+'5.c. mell. VF Eu forrásból'!D9</f>
        <v>0</v>
      </c>
      <c r="N9" s="525">
        <f>+'5.c. mell. VF Eu forrásból'!E9</f>
        <v>0</v>
      </c>
      <c r="O9" s="527">
        <f>+'5.c. mell. VF Eu forrásból'!F9</f>
        <v>0</v>
      </c>
      <c r="P9" s="526">
        <f>+'5.d. mell. Védőnő, EÜ'!D9</f>
        <v>2367</v>
      </c>
      <c r="Q9" s="525">
        <f>+'5.d. mell. Védőnő, EÜ'!E9</f>
        <v>2660</v>
      </c>
      <c r="R9" s="527">
        <f>+'5.d. mell. Védőnő, EÜ'!F9</f>
        <v>2620</v>
      </c>
      <c r="S9" s="526"/>
      <c r="T9" s="525"/>
      <c r="U9" s="527"/>
      <c r="V9" s="526"/>
      <c r="W9" s="525"/>
      <c r="X9" s="527"/>
      <c r="Y9" s="528">
        <f>+'5.g. mell. Egyéb tev.'!D10</f>
        <v>3005</v>
      </c>
      <c r="Z9" s="528">
        <f>+'5.g. mell. Egyéb tev.'!E10</f>
        <v>2235</v>
      </c>
      <c r="AA9" s="528">
        <f>+'5.g. mell. Egyéb tev.'!F10</f>
        <v>1746</v>
      </c>
      <c r="AB9" s="335"/>
      <c r="AC9" s="335"/>
    </row>
    <row r="10" spans="1:29">
      <c r="A10" s="186"/>
      <c r="B10" s="519"/>
      <c r="C10" s="434"/>
      <c r="D10" s="694"/>
      <c r="E10" s="530"/>
      <c r="F10" s="700"/>
      <c r="G10" s="531"/>
      <c r="H10" s="530"/>
      <c r="I10" s="530"/>
      <c r="J10" s="531"/>
      <c r="K10" s="530"/>
      <c r="L10" s="532"/>
      <c r="M10" s="531"/>
      <c r="N10" s="530"/>
      <c r="O10" s="532"/>
      <c r="P10" s="531"/>
      <c r="Q10" s="530"/>
      <c r="R10" s="532"/>
      <c r="S10" s="531"/>
      <c r="T10" s="530"/>
      <c r="U10" s="532"/>
      <c r="V10" s="531"/>
      <c r="W10" s="530"/>
      <c r="X10" s="532"/>
      <c r="Y10" s="530"/>
      <c r="Z10" s="530"/>
      <c r="AA10" s="532"/>
    </row>
    <row r="11" spans="1:29" s="46" customFormat="1" ht="12.75" customHeight="1">
      <c r="A11" s="514" t="s">
        <v>48</v>
      </c>
      <c r="B11" s="1246" t="s">
        <v>171</v>
      </c>
      <c r="C11" s="1247"/>
      <c r="D11" s="695">
        <f>+G11+J11+M11+P11+S11+V11+Y11</f>
        <v>90</v>
      </c>
      <c r="E11" s="698">
        <f t="shared" ref="E11:F16" si="4">+H11+K11+N11+Q11+T11+W11+Z11</f>
        <v>1029</v>
      </c>
      <c r="F11" s="695">
        <f>+I11+L11+O11+R11+U11+X11+AA11</f>
        <v>910</v>
      </c>
      <c r="G11" s="534">
        <f>+'5.a. mell. Jogalkotás'!D14</f>
        <v>0</v>
      </c>
      <c r="H11" s="533">
        <f>+'5.a. mell. Jogalkotás'!E14</f>
        <v>293</v>
      </c>
      <c r="I11" s="537">
        <f>+'5.a. mell. Jogalkotás'!F14</f>
        <v>341</v>
      </c>
      <c r="J11" s="534">
        <f>+'5.b. mell. VF saját forrásból'!D14</f>
        <v>0</v>
      </c>
      <c r="K11" s="536">
        <f>+'5.b. mell. VF saját forrásból'!E14</f>
        <v>0</v>
      </c>
      <c r="L11" s="691">
        <f>+'5.b. mell. VF saját forrásból'!F14</f>
        <v>0</v>
      </c>
      <c r="M11" s="534">
        <f>+'5.c. mell. VF Eu forrásból'!D14</f>
        <v>0</v>
      </c>
      <c r="N11" s="533">
        <f>+'5.c. mell. VF Eu forrásból'!E14</f>
        <v>0</v>
      </c>
      <c r="O11" s="535">
        <f>+'5.c. mell. VF Eu forrásból'!F14</f>
        <v>0</v>
      </c>
      <c r="P11" s="534">
        <f>+'5.d. mell. Védőnő, EÜ'!D14</f>
        <v>90</v>
      </c>
      <c r="Q11" s="536">
        <f>+'5.d. mell. Védőnő, EÜ'!E14</f>
        <v>244</v>
      </c>
      <c r="R11" s="535">
        <f>+'5.d. mell. Védőnő, EÜ'!F14</f>
        <v>180</v>
      </c>
      <c r="S11" s="534"/>
      <c r="T11" s="533"/>
      <c r="U11" s="535"/>
      <c r="V11" s="534"/>
      <c r="W11" s="533"/>
      <c r="X11" s="535"/>
      <c r="Y11" s="536">
        <f>+'5.g. mell. Egyéb tev.'!D15</f>
        <v>0</v>
      </c>
      <c r="Z11" s="533">
        <f>+'5.g. mell. Egyéb tev.'!E15</f>
        <v>492</v>
      </c>
      <c r="AA11" s="535">
        <f>+'5.g. mell. Egyéb tev.'!F15</f>
        <v>389</v>
      </c>
      <c r="AB11" s="335"/>
      <c r="AC11" s="335"/>
    </row>
    <row r="12" spans="1:29" s="46" customFormat="1" ht="12.75" customHeight="1">
      <c r="A12" s="514" t="s">
        <v>53</v>
      </c>
      <c r="B12" s="1246" t="s">
        <v>170</v>
      </c>
      <c r="C12" s="1247"/>
      <c r="D12" s="695">
        <f t="shared" ref="D12:D16" si="5">+G12+J12+M12+P12+S12+V12+Y12</f>
        <v>740</v>
      </c>
      <c r="E12" s="698">
        <f t="shared" si="4"/>
        <v>1082</v>
      </c>
      <c r="F12" s="695">
        <f>+I12+L12+O12+R12+U12+X12+AA12</f>
        <v>1055</v>
      </c>
      <c r="G12" s="534">
        <f>+'5.a. mell. Jogalkotás'!D17</f>
        <v>500</v>
      </c>
      <c r="H12" s="533">
        <f>+'5.a. mell. Jogalkotás'!E17</f>
        <v>875</v>
      </c>
      <c r="I12" s="537">
        <f>+'5.a. mell. Jogalkotás'!F17</f>
        <v>883</v>
      </c>
      <c r="J12" s="534">
        <f>+'5.b. mell. VF saját forrásból'!D17</f>
        <v>0</v>
      </c>
      <c r="K12" s="536">
        <f>+'5.b. mell. VF saját forrásból'!E17</f>
        <v>0</v>
      </c>
      <c r="L12" s="691">
        <f>+'5.b. mell. VF saját forrásból'!F17</f>
        <v>0</v>
      </c>
      <c r="M12" s="534">
        <f>+'5.c. mell. VF Eu forrásból'!D17</f>
        <v>0</v>
      </c>
      <c r="N12" s="533">
        <f>+'5.c. mell. VF Eu forrásból'!E17</f>
        <v>0</v>
      </c>
      <c r="O12" s="535">
        <f>+'5.c. mell. VF Eu forrásból'!F17</f>
        <v>0</v>
      </c>
      <c r="P12" s="534">
        <f>+'5.d. mell. Védőnő, EÜ'!D17</f>
        <v>240</v>
      </c>
      <c r="Q12" s="536">
        <f>+'5.d. mell. Védőnő, EÜ'!E17</f>
        <v>207</v>
      </c>
      <c r="R12" s="535">
        <f>+'5.d. mell. Védőnő, EÜ'!F17</f>
        <v>172</v>
      </c>
      <c r="S12" s="534"/>
      <c r="T12" s="533"/>
      <c r="U12" s="535"/>
      <c r="V12" s="534"/>
      <c r="W12" s="533"/>
      <c r="X12" s="535"/>
      <c r="Y12" s="536">
        <f>+'5.g. mell. Egyéb tev.'!D18</f>
        <v>0</v>
      </c>
      <c r="Z12" s="533">
        <f>+'5.g. mell. Egyéb tev.'!E18</f>
        <v>0</v>
      </c>
      <c r="AA12" s="535">
        <f>+'5.g. mell. Egyéb tev.'!F18</f>
        <v>0</v>
      </c>
      <c r="AB12" s="335"/>
      <c r="AC12" s="335"/>
    </row>
    <row r="13" spans="1:29" s="46" customFormat="1" ht="12.75" customHeight="1">
      <c r="A13" s="514" t="s">
        <v>67</v>
      </c>
      <c r="B13" s="1246" t="s">
        <v>157</v>
      </c>
      <c r="C13" s="1247"/>
      <c r="D13" s="695">
        <f t="shared" si="5"/>
        <v>54385</v>
      </c>
      <c r="E13" s="698">
        <f t="shared" si="4"/>
        <v>58731</v>
      </c>
      <c r="F13" s="695">
        <f>+I13+L13+O13+R13+U13+X13+AA13</f>
        <v>49725</v>
      </c>
      <c r="G13" s="534">
        <f>+'5.a. mell. Jogalkotás'!D25</f>
        <v>6025</v>
      </c>
      <c r="H13" s="533">
        <f>+'5.a. mell. Jogalkotás'!E25</f>
        <v>7052</v>
      </c>
      <c r="I13" s="537">
        <f>+'5.a. mell. Jogalkotás'!F25</f>
        <v>5888</v>
      </c>
      <c r="J13" s="534">
        <f>+'5.b. mell. VF saját forrásból'!D25</f>
        <v>0</v>
      </c>
      <c r="K13" s="536">
        <f>+'5.b. mell. VF saját forrásból'!E25</f>
        <v>1321</v>
      </c>
      <c r="L13" s="691">
        <f>+'5.b. mell. VF saját forrásból'!F25</f>
        <v>1321</v>
      </c>
      <c r="M13" s="534">
        <f>+'5.c. mell. VF Eu forrásból'!D25</f>
        <v>0</v>
      </c>
      <c r="N13" s="533">
        <f>+'5.c. mell. VF Eu forrásból'!E25</f>
        <v>0</v>
      </c>
      <c r="O13" s="535">
        <f>+'5.c. mell. VF Eu forrásból'!F25</f>
        <v>0</v>
      </c>
      <c r="P13" s="534">
        <f>+'5.d. mell. Védőnő, EÜ'!D25</f>
        <v>3060</v>
      </c>
      <c r="Q13" s="536">
        <f>+'5.d. mell. Védőnő, EÜ'!E25</f>
        <v>2735</v>
      </c>
      <c r="R13" s="535">
        <f>+'5.d. mell. Védőnő, EÜ'!F25</f>
        <v>1853</v>
      </c>
      <c r="S13" s="534">
        <v>1500</v>
      </c>
      <c r="T13" s="533">
        <v>1500</v>
      </c>
      <c r="U13" s="535">
        <f>'5.e. mell. Szociális ellátások'!K8</f>
        <v>1481</v>
      </c>
      <c r="V13" s="534"/>
      <c r="W13" s="533"/>
      <c r="X13" s="535"/>
      <c r="Y13" s="536">
        <f>+'5.g. mell. Egyéb tev.'!D26</f>
        <v>43800</v>
      </c>
      <c r="Z13" s="536">
        <f>+'5.g. mell. Egyéb tev.'!E26</f>
        <v>46123</v>
      </c>
      <c r="AA13" s="536">
        <f>+'5.g. mell. Egyéb tev.'!F26</f>
        <v>39182</v>
      </c>
      <c r="AB13" s="335"/>
      <c r="AC13" s="335"/>
    </row>
    <row r="14" spans="1:29" s="46" customFormat="1" ht="12.75" customHeight="1">
      <c r="A14" s="514" t="s">
        <v>72</v>
      </c>
      <c r="B14" s="1246" t="s">
        <v>156</v>
      </c>
      <c r="C14" s="1247"/>
      <c r="D14" s="695">
        <f t="shared" si="5"/>
        <v>500</v>
      </c>
      <c r="E14" s="698">
        <f t="shared" si="4"/>
        <v>1543</v>
      </c>
      <c r="F14" s="695">
        <f t="shared" si="4"/>
        <v>1271</v>
      </c>
      <c r="G14" s="534">
        <f>+'5.a. mell. Jogalkotás'!D28</f>
        <v>500</v>
      </c>
      <c r="H14" s="533">
        <f>+'5.a. mell. Jogalkotás'!E28</f>
        <v>351</v>
      </c>
      <c r="I14" s="537">
        <f>+'5.a. mell. Jogalkotás'!F28</f>
        <v>79</v>
      </c>
      <c r="J14" s="534">
        <f>+'5.b. mell. VF saját forrásból'!D28</f>
        <v>0</v>
      </c>
      <c r="K14" s="536">
        <f>+'5.b. mell. VF saját forrásból'!E28</f>
        <v>0</v>
      </c>
      <c r="L14" s="691">
        <f>+'5.b. mell. VF saját forrásból'!F28</f>
        <v>0</v>
      </c>
      <c r="M14" s="534">
        <f>+'5.c. mell. VF Eu forrásból'!D28</f>
        <v>0</v>
      </c>
      <c r="N14" s="533">
        <f>+'5.c. mell. VF Eu forrásból'!E28</f>
        <v>0</v>
      </c>
      <c r="O14" s="535">
        <f>+'5.c. mell. VF Eu forrásból'!F28</f>
        <v>0</v>
      </c>
      <c r="P14" s="534">
        <f>+'5.d. mell. Védőnő, EÜ'!D28</f>
        <v>0</v>
      </c>
      <c r="Q14" s="536">
        <f>+'5.d. mell. Védőnő, EÜ'!E28</f>
        <v>191</v>
      </c>
      <c r="R14" s="535">
        <f>+'5.d. mell. Védőnő, EÜ'!F28</f>
        <v>191</v>
      </c>
      <c r="S14" s="534"/>
      <c r="T14" s="533"/>
      <c r="U14" s="535"/>
      <c r="V14" s="534"/>
      <c r="W14" s="533"/>
      <c r="X14" s="535"/>
      <c r="Y14" s="536">
        <f>+'5.g. mell. Egyéb tev.'!D29</f>
        <v>0</v>
      </c>
      <c r="Z14" s="533">
        <f>+'5.g. mell. Egyéb tev.'!E29</f>
        <v>1001</v>
      </c>
      <c r="AA14" s="535">
        <f>+'5.g. mell. Egyéb tev.'!F29</f>
        <v>1001</v>
      </c>
      <c r="AB14" s="335"/>
      <c r="AC14" s="335"/>
    </row>
    <row r="15" spans="1:29" s="46" customFormat="1" ht="28.5" customHeight="1">
      <c r="A15" s="514" t="s">
        <v>81</v>
      </c>
      <c r="B15" s="1246" t="s">
        <v>153</v>
      </c>
      <c r="C15" s="1247"/>
      <c r="D15" s="695">
        <f t="shared" si="5"/>
        <v>60687</v>
      </c>
      <c r="E15" s="698">
        <f t="shared" si="4"/>
        <v>28979</v>
      </c>
      <c r="F15" s="695">
        <f>+I15+L15+O15+R15+U15+X15+AA15</f>
        <v>19113</v>
      </c>
      <c r="G15" s="534">
        <f>+'5.a. mell. Jogalkotás'!D34</f>
        <v>652</v>
      </c>
      <c r="H15" s="533">
        <f>+'5.a. mell. Jogalkotás'!E34</f>
        <v>1633</v>
      </c>
      <c r="I15" s="537">
        <f>+'5.a. mell. Jogalkotás'!F34</f>
        <v>5992</v>
      </c>
      <c r="J15" s="534">
        <f>+'5.b. mell. VF saját forrásból'!D34</f>
        <v>42520</v>
      </c>
      <c r="K15" s="536">
        <f>+'5.b. mell. VF saját forrásból'!E34</f>
        <v>2546</v>
      </c>
      <c r="L15" s="691">
        <f>+'5.b. mell. VF saját forrásból'!F34</f>
        <v>2803</v>
      </c>
      <c r="M15" s="534">
        <f>+'5.c. mell. VF Eu forrásból'!D34</f>
        <v>0</v>
      </c>
      <c r="N15" s="533">
        <f>+'5.c. mell. VF Eu forrásból'!E34</f>
        <v>0</v>
      </c>
      <c r="O15" s="535">
        <f>+'5.c. mell. VF Eu forrásból'!F34</f>
        <v>0</v>
      </c>
      <c r="P15" s="534">
        <f>+'5.d. mell. Védőnő, EÜ'!D34</f>
        <v>102</v>
      </c>
      <c r="Q15" s="536">
        <f>+'5.d. mell. Védőnő, EÜ'!E34</f>
        <v>117</v>
      </c>
      <c r="R15" s="535">
        <f>+'5.d. mell. Védőnő, EÜ'!F34</f>
        <v>88</v>
      </c>
      <c r="S15" s="534"/>
      <c r="T15" s="533"/>
      <c r="U15" s="535"/>
      <c r="V15" s="534"/>
      <c r="W15" s="533"/>
      <c r="X15" s="535"/>
      <c r="Y15" s="536">
        <f>+'5.g. mell. Egyéb tev.'!D35</f>
        <v>17413</v>
      </c>
      <c r="Z15" s="533">
        <f>+'5.g. mell. Egyéb tev.'!E35</f>
        <v>24683</v>
      </c>
      <c r="AA15" s="535">
        <f>+'5.g. mell. Egyéb tev.'!F35</f>
        <v>10230</v>
      </c>
      <c r="AB15" s="335"/>
      <c r="AC15" s="335"/>
    </row>
    <row r="16" spans="1:29" s="46" customFormat="1" ht="12.75" customHeight="1">
      <c r="A16" s="515" t="s">
        <v>82</v>
      </c>
      <c r="B16" s="1226" t="s">
        <v>152</v>
      </c>
      <c r="C16" s="1227"/>
      <c r="D16" s="695">
        <f t="shared" si="5"/>
        <v>116402</v>
      </c>
      <c r="E16" s="698">
        <f t="shared" si="4"/>
        <v>91364</v>
      </c>
      <c r="F16" s="695">
        <f>+I16+L16+O16+R16+U16+X16+AA16</f>
        <v>72074</v>
      </c>
      <c r="G16" s="526">
        <f>SUM(G11:G15)</f>
        <v>7677</v>
      </c>
      <c r="H16" s="525">
        <f t="shared" ref="H16" si="6">SUM(H11:H15)</f>
        <v>10204</v>
      </c>
      <c r="I16" s="529">
        <f>SUM(I11:I15)</f>
        <v>13183</v>
      </c>
      <c r="J16" s="526">
        <f>+'5.b. mell. VF saját forrásból'!D35</f>
        <v>42520</v>
      </c>
      <c r="K16" s="528">
        <f>+'5.b. mell. VF saját forrásból'!E35</f>
        <v>3867</v>
      </c>
      <c r="L16" s="692">
        <f>+'5.b. mell. VF saját forrásból'!F35</f>
        <v>4124</v>
      </c>
      <c r="M16" s="526">
        <f>SUM(M11:M15)</f>
        <v>0</v>
      </c>
      <c r="N16" s="525">
        <f t="shared" ref="N16:O16" si="7">SUM(N11:N15)</f>
        <v>0</v>
      </c>
      <c r="O16" s="527">
        <f t="shared" si="7"/>
        <v>0</v>
      </c>
      <c r="P16" s="526">
        <f>SUM(P11:P15)</f>
        <v>3492</v>
      </c>
      <c r="Q16" s="528">
        <f>SUM(Q11:Q15)</f>
        <v>3494</v>
      </c>
      <c r="R16" s="527">
        <f t="shared" ref="R16" si="8">SUM(R11:R15)</f>
        <v>2484</v>
      </c>
      <c r="S16" s="526">
        <f>+'5.e. mell. Szociális ellátások'!C10</f>
        <v>1500</v>
      </c>
      <c r="T16" s="526">
        <f>+'5.e. mell. Szociális ellátások'!D10</f>
        <v>1500</v>
      </c>
      <c r="U16" s="526">
        <f>+'5.e. mell. Szociális ellátások'!E10</f>
        <v>1481</v>
      </c>
      <c r="V16" s="526"/>
      <c r="W16" s="525"/>
      <c r="X16" s="527"/>
      <c r="Y16" s="528">
        <f>SUM(Y11:Y15)</f>
        <v>61213</v>
      </c>
      <c r="Z16" s="525">
        <f t="shared" ref="Z16:AA16" si="9">SUM(Z11:Z15)</f>
        <v>72299</v>
      </c>
      <c r="AA16" s="527">
        <f t="shared" si="9"/>
        <v>50802</v>
      </c>
      <c r="AB16" s="335"/>
      <c r="AC16" s="335"/>
    </row>
    <row r="17" spans="1:29">
      <c r="A17" s="186"/>
      <c r="B17" s="518"/>
      <c r="C17" s="433"/>
      <c r="D17" s="694"/>
      <c r="E17" s="530"/>
      <c r="F17" s="700"/>
      <c r="G17" s="531"/>
      <c r="H17" s="530"/>
      <c r="I17" s="530"/>
      <c r="J17" s="531"/>
      <c r="K17" s="530"/>
      <c r="L17" s="532"/>
      <c r="M17" s="531"/>
      <c r="N17" s="530"/>
      <c r="O17" s="532"/>
      <c r="P17" s="531"/>
      <c r="Q17" s="530"/>
      <c r="R17" s="532"/>
      <c r="S17" s="531"/>
      <c r="T17" s="530"/>
      <c r="U17" s="532"/>
      <c r="V17" s="531"/>
      <c r="W17" s="530"/>
      <c r="X17" s="532"/>
      <c r="Y17" s="530"/>
      <c r="Z17" s="530"/>
      <c r="AA17" s="532"/>
    </row>
    <row r="18" spans="1:29" s="46" customFormat="1" ht="12.75" customHeight="1">
      <c r="A18" s="515" t="s">
        <v>95</v>
      </c>
      <c r="B18" s="1242" t="s">
        <v>151</v>
      </c>
      <c r="C18" s="1243"/>
      <c r="D18" s="695">
        <f>+G18+J18+M18+P18+S18+V18+Y18</f>
        <v>21921</v>
      </c>
      <c r="E18" s="698">
        <f t="shared" ref="E18:F18" si="10">+H18+K18+N18+Q18+T18+W18+Z18</f>
        <v>23512</v>
      </c>
      <c r="F18" s="695">
        <f t="shared" si="10"/>
        <v>22933</v>
      </c>
      <c r="G18" s="526"/>
      <c r="H18" s="525"/>
      <c r="I18" s="529"/>
      <c r="J18" s="526"/>
      <c r="K18" s="525"/>
      <c r="L18" s="527"/>
      <c r="M18" s="526"/>
      <c r="N18" s="525"/>
      <c r="O18" s="527"/>
      <c r="P18" s="526"/>
      <c r="Q18" s="525"/>
      <c r="R18" s="527"/>
      <c r="S18" s="526">
        <f>+'5.e. mell. Szociális ellátások'!F10</f>
        <v>21921</v>
      </c>
      <c r="T18" s="525">
        <f>+'5.e. mell. Szociális ellátások'!G10</f>
        <v>23512</v>
      </c>
      <c r="U18" s="527">
        <f>+'5.e. mell. Szociális ellátások'!H10</f>
        <v>22933</v>
      </c>
      <c r="V18" s="526"/>
      <c r="W18" s="525"/>
      <c r="X18" s="527"/>
      <c r="Y18" s="528"/>
      <c r="Z18" s="525"/>
      <c r="AA18" s="527"/>
      <c r="AB18" s="335"/>
      <c r="AC18" s="335"/>
    </row>
    <row r="19" spans="1:29">
      <c r="A19" s="186"/>
      <c r="B19" s="1244"/>
      <c r="C19" s="1245"/>
      <c r="D19" s="694"/>
      <c r="E19" s="530"/>
      <c r="F19" s="700"/>
      <c r="G19" s="531"/>
      <c r="H19" s="530"/>
      <c r="I19" s="530"/>
      <c r="J19" s="531"/>
      <c r="K19" s="530"/>
      <c r="L19" s="532"/>
      <c r="M19" s="531"/>
      <c r="N19" s="530"/>
      <c r="O19" s="532"/>
      <c r="P19" s="531"/>
      <c r="Q19" s="530"/>
      <c r="R19" s="532"/>
      <c r="S19" s="531"/>
      <c r="T19" s="530"/>
      <c r="U19" s="532"/>
      <c r="V19" s="531"/>
      <c r="W19" s="530"/>
      <c r="X19" s="532"/>
      <c r="Y19" s="530"/>
      <c r="Z19" s="530"/>
      <c r="AA19" s="532"/>
    </row>
    <row r="20" spans="1:29" s="46" customFormat="1" ht="12.75" customHeight="1">
      <c r="A20" s="515" t="s">
        <v>109</v>
      </c>
      <c r="B20" s="1226" t="s">
        <v>164</v>
      </c>
      <c r="C20" s="1227"/>
      <c r="D20" s="695">
        <f>+G20+J20+M20+P20+S20+V20+Y20</f>
        <v>829233</v>
      </c>
      <c r="E20" s="698">
        <f t="shared" ref="E20:F21" si="11">+H20+K20+N20+Q20+T20+W20+Z20</f>
        <v>718000</v>
      </c>
      <c r="F20" s="695">
        <f t="shared" si="11"/>
        <v>401140</v>
      </c>
      <c r="G20" s="526"/>
      <c r="H20" s="525"/>
      <c r="I20" s="529"/>
      <c r="J20" s="526"/>
      <c r="K20" s="525"/>
      <c r="L20" s="527"/>
      <c r="M20" s="526"/>
      <c r="N20" s="525"/>
      <c r="O20" s="527"/>
      <c r="P20" s="526"/>
      <c r="Q20" s="525"/>
      <c r="R20" s="527"/>
      <c r="S20" s="526"/>
      <c r="T20" s="525"/>
      <c r="U20" s="527"/>
      <c r="V20" s="526">
        <f>+'5.f. mell. Műk és felh. tám'!C41+'5.f. mell. Műk és felh. tám'!F41</f>
        <v>361021</v>
      </c>
      <c r="W20" s="525">
        <f>+'5.f. mell. Műk és felh. tám'!D41+'5.f. mell. Műk és felh. tám'!G41+'5.f. mell. Műk és felh. tám'!J41</f>
        <v>399930</v>
      </c>
      <c r="X20" s="527">
        <f>+'5.f. mell. Műk és felh. tám'!E41+'5.f. mell. Műk és felh. tám'!H41+'5.f. mell. Műk és felh. tám'!K41</f>
        <v>397880</v>
      </c>
      <c r="Y20" s="528">
        <f>+'5.g. mell. Egyéb tev.'!D68</f>
        <v>468212</v>
      </c>
      <c r="Z20" s="525">
        <f>+'5.g. mell. Egyéb tev.'!E68</f>
        <v>318070</v>
      </c>
      <c r="AA20" s="527">
        <f>+'5.g. mell. Egyéb tev.'!F68</f>
        <v>3260</v>
      </c>
      <c r="AB20" s="335"/>
      <c r="AC20" s="335"/>
    </row>
    <row r="21" spans="1:29" s="46" customFormat="1" ht="12.75" customHeight="1">
      <c r="A21" s="515"/>
      <c r="B21" s="1246" t="s">
        <v>619</v>
      </c>
      <c r="C21" s="1247"/>
      <c r="D21" s="695">
        <f>+G21+J21+M21+P21+S21+V21+Y21</f>
        <v>468212</v>
      </c>
      <c r="E21" s="698">
        <f t="shared" si="11"/>
        <v>314810</v>
      </c>
      <c r="F21" s="695">
        <f t="shared" si="11"/>
        <v>0</v>
      </c>
      <c r="G21" s="526"/>
      <c r="H21" s="525"/>
      <c r="I21" s="529"/>
      <c r="J21" s="526"/>
      <c r="K21" s="525"/>
      <c r="L21" s="527"/>
      <c r="M21" s="526"/>
      <c r="N21" s="525"/>
      <c r="O21" s="527"/>
      <c r="P21" s="526"/>
      <c r="Q21" s="525"/>
      <c r="R21" s="527"/>
      <c r="S21" s="526"/>
      <c r="T21" s="525"/>
      <c r="U21" s="527"/>
      <c r="V21" s="526"/>
      <c r="W21" s="525"/>
      <c r="X21" s="527"/>
      <c r="Y21" s="528">
        <f>+'5.g. mell. Egyéb tev.'!D63</f>
        <v>468212</v>
      </c>
      <c r="Z21" s="528">
        <f>+'5.g. mell. Egyéb tev.'!E63</f>
        <v>314810</v>
      </c>
      <c r="AA21" s="528">
        <f>+'5.g. mell. Egyéb tev.'!F63</f>
        <v>0</v>
      </c>
      <c r="AB21" s="335"/>
      <c r="AC21" s="335"/>
    </row>
    <row r="22" spans="1:29">
      <c r="A22" s="186"/>
      <c r="B22" s="518"/>
      <c r="C22" s="433"/>
      <c r="D22" s="694"/>
      <c r="E22" s="530"/>
      <c r="F22" s="700"/>
      <c r="G22" s="531"/>
      <c r="H22" s="530"/>
      <c r="I22" s="530"/>
      <c r="J22" s="531"/>
      <c r="K22" s="530"/>
      <c r="L22" s="532"/>
      <c r="M22" s="531"/>
      <c r="N22" s="530"/>
      <c r="O22" s="532"/>
      <c r="P22" s="531"/>
      <c r="Q22" s="530"/>
      <c r="R22" s="532"/>
      <c r="S22" s="531"/>
      <c r="T22" s="530"/>
      <c r="U22" s="532"/>
      <c r="V22" s="531"/>
      <c r="W22" s="530"/>
      <c r="X22" s="532"/>
      <c r="Y22" s="530"/>
      <c r="Z22" s="530"/>
      <c r="AA22" s="532"/>
    </row>
    <row r="23" spans="1:29" s="46" customFormat="1" ht="12.75" customHeight="1">
      <c r="A23" s="515" t="s">
        <v>124</v>
      </c>
      <c r="B23" s="1226" t="s">
        <v>162</v>
      </c>
      <c r="C23" s="1227"/>
      <c r="D23" s="695">
        <f>+G23+J23+M23+P23+S23+V23+Y23</f>
        <v>157860</v>
      </c>
      <c r="E23" s="698">
        <f t="shared" ref="E23:F23" si="12">+H23+K23+N23+Q23+T23+W23+Z23</f>
        <v>229147</v>
      </c>
      <c r="F23" s="695">
        <f t="shared" si="12"/>
        <v>225888</v>
      </c>
      <c r="G23" s="526">
        <f>+'5.a. mell. Jogalkotás'!D52</f>
        <v>0</v>
      </c>
      <c r="H23" s="526">
        <f>+'5.a. mell. Jogalkotás'!E52</f>
        <v>201276</v>
      </c>
      <c r="I23" s="690">
        <f>+'5.a. mell. Jogalkotás'!F52</f>
        <v>200977</v>
      </c>
      <c r="J23" s="526">
        <f>+'5.b. mell. VF saját forrásból'!D53</f>
        <v>157480</v>
      </c>
      <c r="K23" s="528">
        <f>+'5.b. mell. VF saját forrásból'!E53</f>
        <v>26131</v>
      </c>
      <c r="L23" s="692">
        <f>+'5.b. mell. VF saját forrásból'!F53</f>
        <v>23453</v>
      </c>
      <c r="M23" s="526">
        <f>+'5.c. mell. VF Eu forrásból'!D53</f>
        <v>0</v>
      </c>
      <c r="N23" s="525">
        <f>+'5.c. mell. VF Eu forrásból'!E53</f>
        <v>0</v>
      </c>
      <c r="O23" s="527">
        <f>+'5.c. mell. VF Eu forrásból'!F53</f>
        <v>0</v>
      </c>
      <c r="P23" s="526">
        <f>+'5.d. mell. Védőnő, EÜ'!D45</f>
        <v>380</v>
      </c>
      <c r="Q23" s="528">
        <f>+'5.d. mell. Védőnő, EÜ'!E45</f>
        <v>352</v>
      </c>
      <c r="R23" s="527">
        <f>+'5.d. mell. Védőnő, EÜ'!F45</f>
        <v>349</v>
      </c>
      <c r="S23" s="526"/>
      <c r="T23" s="525"/>
      <c r="U23" s="527"/>
      <c r="V23" s="526"/>
      <c r="W23" s="525"/>
      <c r="X23" s="527"/>
      <c r="Y23" s="528"/>
      <c r="Z23" s="525">
        <f>'5.g. mell. Egyéb tev.'!E78</f>
        <v>1388</v>
      </c>
      <c r="AA23" s="525">
        <f>'5.g. mell. Egyéb tev.'!F78</f>
        <v>1109</v>
      </c>
      <c r="AB23" s="335"/>
      <c r="AC23" s="335"/>
    </row>
    <row r="24" spans="1:29">
      <c r="A24" s="186"/>
      <c r="B24" s="518"/>
      <c r="C24" s="433"/>
      <c r="D24" s="694"/>
      <c r="E24" s="530"/>
      <c r="F24" s="700"/>
      <c r="G24" s="531"/>
      <c r="H24" s="530"/>
      <c r="I24" s="530"/>
      <c r="J24" s="531"/>
      <c r="K24" s="530"/>
      <c r="L24" s="532"/>
      <c r="M24" s="531"/>
      <c r="N24" s="530"/>
      <c r="O24" s="532"/>
      <c r="P24" s="531"/>
      <c r="Q24" s="530"/>
      <c r="R24" s="532"/>
      <c r="S24" s="531"/>
      <c r="T24" s="530"/>
      <c r="U24" s="532"/>
      <c r="V24" s="531"/>
      <c r="W24" s="530"/>
      <c r="X24" s="532"/>
      <c r="Y24" s="530"/>
      <c r="Z24" s="530"/>
      <c r="AA24" s="532"/>
    </row>
    <row r="25" spans="1:29" s="46" customFormat="1" ht="12.75" customHeight="1">
      <c r="A25" s="515" t="s">
        <v>133</v>
      </c>
      <c r="B25" s="1226" t="s">
        <v>161</v>
      </c>
      <c r="C25" s="1227"/>
      <c r="D25" s="695">
        <f>+G25+J25+M25+P25+S25+V25+Y25</f>
        <v>0</v>
      </c>
      <c r="E25" s="698">
        <f t="shared" ref="E25:F25" si="13">+H25+K25+N25+Q25+T25+W25+Z25</f>
        <v>8732</v>
      </c>
      <c r="F25" s="695">
        <f t="shared" si="13"/>
        <v>8732</v>
      </c>
      <c r="G25" s="526"/>
      <c r="H25" s="525"/>
      <c r="I25" s="529"/>
      <c r="J25" s="526">
        <f>+'5.b. mell. VF saját forrásból'!D59</f>
        <v>0</v>
      </c>
      <c r="K25" s="528">
        <f>+'5.b. mell. VF saját forrásból'!E59</f>
        <v>8732</v>
      </c>
      <c r="L25" s="692">
        <f>+'5.b. mell. VF saját forrásból'!F59</f>
        <v>8732</v>
      </c>
      <c r="M25" s="526">
        <f>+'5.c. mell. VF Eu forrásból'!D59</f>
        <v>0</v>
      </c>
      <c r="N25" s="525">
        <f>+'5.c. mell. VF Eu forrásból'!E59</f>
        <v>0</v>
      </c>
      <c r="O25" s="527">
        <f>+'5.c. mell. VF Eu forrásból'!F59</f>
        <v>0</v>
      </c>
      <c r="P25" s="526"/>
      <c r="Q25" s="525"/>
      <c r="R25" s="527"/>
      <c r="S25" s="526"/>
      <c r="T25" s="525"/>
      <c r="U25" s="527"/>
      <c r="V25" s="526"/>
      <c r="W25" s="525"/>
      <c r="X25" s="527"/>
      <c r="Y25" s="528"/>
      <c r="Z25" s="525"/>
      <c r="AA25" s="527"/>
      <c r="AB25" s="335"/>
      <c r="AC25" s="335"/>
    </row>
    <row r="26" spans="1:29">
      <c r="A26" s="186"/>
      <c r="B26" s="518"/>
      <c r="C26" s="433"/>
      <c r="D26" s="694"/>
      <c r="E26" s="530"/>
      <c r="F26" s="700"/>
      <c r="G26" s="531"/>
      <c r="H26" s="530"/>
      <c r="I26" s="530"/>
      <c r="J26" s="531"/>
      <c r="K26" s="530"/>
      <c r="L26" s="532"/>
      <c r="M26" s="531"/>
      <c r="N26" s="530"/>
      <c r="O26" s="532"/>
      <c r="P26" s="531"/>
      <c r="Q26" s="530"/>
      <c r="R26" s="532"/>
      <c r="S26" s="531"/>
      <c r="T26" s="530"/>
      <c r="U26" s="532"/>
      <c r="V26" s="531"/>
      <c r="W26" s="530"/>
      <c r="X26" s="532"/>
      <c r="Y26" s="530"/>
      <c r="Z26" s="530"/>
      <c r="AA26" s="532"/>
    </row>
    <row r="27" spans="1:29" s="46" customFormat="1" ht="12.75" customHeight="1">
      <c r="A27" s="515" t="s">
        <v>135</v>
      </c>
      <c r="B27" s="1226" t="s">
        <v>159</v>
      </c>
      <c r="C27" s="1227"/>
      <c r="D27" s="695">
        <f>+G27+J27+M27+P27+S27+V27+Y27</f>
        <v>0</v>
      </c>
      <c r="E27" s="698">
        <f t="shared" ref="E27:F27" si="14">+H27+K27+N27+Q27+T27+W27+Z27</f>
        <v>28132</v>
      </c>
      <c r="F27" s="695">
        <f t="shared" si="14"/>
        <v>27271</v>
      </c>
      <c r="G27" s="526"/>
      <c r="H27" s="525"/>
      <c r="I27" s="529"/>
      <c r="J27" s="526"/>
      <c r="K27" s="525"/>
      <c r="L27" s="527"/>
      <c r="M27" s="526"/>
      <c r="N27" s="525"/>
      <c r="O27" s="527"/>
      <c r="P27" s="526"/>
      <c r="Q27" s="525"/>
      <c r="R27" s="527"/>
      <c r="S27" s="526"/>
      <c r="T27" s="525"/>
      <c r="U27" s="527"/>
      <c r="V27" s="526">
        <f>+'5.f. mell. Műk és felh. tám'!L41</f>
        <v>0</v>
      </c>
      <c r="W27" s="525">
        <f>+'5.f. mell. Műk és felh. tám'!M41</f>
        <v>28132</v>
      </c>
      <c r="X27" s="527">
        <f>+'5.f. mell. Műk és felh. tám'!N41</f>
        <v>27271</v>
      </c>
      <c r="Y27" s="528"/>
      <c r="Z27" s="525"/>
      <c r="AA27" s="527"/>
      <c r="AB27" s="335"/>
      <c r="AC27" s="335"/>
    </row>
    <row r="28" spans="1:29">
      <c r="A28" s="186"/>
      <c r="B28" s="518"/>
      <c r="C28" s="433"/>
      <c r="D28" s="694"/>
      <c r="E28" s="530"/>
      <c r="F28" s="700"/>
      <c r="G28" s="531"/>
      <c r="H28" s="530"/>
      <c r="I28" s="530"/>
      <c r="J28" s="531"/>
      <c r="K28" s="530"/>
      <c r="L28" s="532"/>
      <c r="M28" s="531"/>
      <c r="N28" s="530"/>
      <c r="O28" s="532"/>
      <c r="P28" s="531"/>
      <c r="Q28" s="530"/>
      <c r="R28" s="532"/>
      <c r="S28" s="531"/>
      <c r="T28" s="530"/>
      <c r="U28" s="532"/>
      <c r="V28" s="531"/>
      <c r="W28" s="530"/>
      <c r="X28" s="532"/>
      <c r="Y28" s="530"/>
      <c r="Z28" s="530"/>
      <c r="AA28" s="532"/>
    </row>
    <row r="29" spans="1:29" s="46" customFormat="1" ht="12.75" customHeight="1">
      <c r="A29" s="516" t="s">
        <v>136</v>
      </c>
      <c r="B29" s="1226" t="s">
        <v>158</v>
      </c>
      <c r="C29" s="1227"/>
      <c r="D29" s="695">
        <f>+G29+J29+M29+P29+S29+V29+Y29</f>
        <v>1182588</v>
      </c>
      <c r="E29" s="698">
        <f t="shared" ref="E29:F29" si="15">+E27+E25+E23+E20+E18+E16+E9+E7</f>
        <v>1150685</v>
      </c>
      <c r="F29" s="695">
        <f t="shared" si="15"/>
        <v>806106</v>
      </c>
      <c r="G29" s="526">
        <f>+G27+G25+G23+G20+G18+G16+G9+G7</f>
        <v>28528</v>
      </c>
      <c r="H29" s="525">
        <f t="shared" ref="H29:AA29" si="16">+H27+H25+H23+H20+H18+H16+H9+H7</f>
        <v>235584</v>
      </c>
      <c r="I29" s="529">
        <f t="shared" si="16"/>
        <v>235872</v>
      </c>
      <c r="J29" s="526">
        <f>+J27+J25+J23+J20+J18+J16+J9+J7</f>
        <v>200000</v>
      </c>
      <c r="K29" s="525">
        <f t="shared" si="16"/>
        <v>38730</v>
      </c>
      <c r="L29" s="527">
        <f>+L27+L25+L23+L20+L18+L16+L9+L7</f>
        <v>36309</v>
      </c>
      <c r="M29" s="526">
        <f t="shared" si="16"/>
        <v>0</v>
      </c>
      <c r="N29" s="525">
        <f t="shared" si="16"/>
        <v>0</v>
      </c>
      <c r="O29" s="527">
        <f t="shared" si="16"/>
        <v>0</v>
      </c>
      <c r="P29" s="526">
        <f t="shared" si="16"/>
        <v>14926</v>
      </c>
      <c r="Q29" s="525">
        <f t="shared" si="16"/>
        <v>16361</v>
      </c>
      <c r="R29" s="527">
        <f t="shared" si="16"/>
        <v>15287</v>
      </c>
      <c r="S29" s="526">
        <f t="shared" si="16"/>
        <v>23421</v>
      </c>
      <c r="T29" s="525">
        <f t="shared" si="16"/>
        <v>25012</v>
      </c>
      <c r="U29" s="527">
        <f t="shared" si="16"/>
        <v>24414</v>
      </c>
      <c r="V29" s="526">
        <f t="shared" si="16"/>
        <v>361021</v>
      </c>
      <c r="W29" s="525">
        <f t="shared" si="16"/>
        <v>428062</v>
      </c>
      <c r="X29" s="527">
        <f t="shared" si="16"/>
        <v>425151</v>
      </c>
      <c r="Y29" s="528">
        <f t="shared" si="16"/>
        <v>554692</v>
      </c>
      <c r="Z29" s="525">
        <f>+Z27+Z25+Z23+Z20+Z18+Z16+Z9+Z7</f>
        <v>406936</v>
      </c>
      <c r="AA29" s="525">
        <f t="shared" si="16"/>
        <v>69073</v>
      </c>
      <c r="AB29" s="335"/>
      <c r="AC29" s="335"/>
    </row>
    <row r="30" spans="1:29">
      <c r="A30" s="187"/>
      <c r="B30" s="519"/>
      <c r="C30" s="435"/>
      <c r="D30" s="694"/>
      <c r="E30" s="530"/>
      <c r="F30" s="700"/>
      <c r="G30" s="531"/>
      <c r="H30" s="530"/>
      <c r="I30" s="530"/>
      <c r="J30" s="531"/>
      <c r="K30" s="530"/>
      <c r="L30" s="532"/>
      <c r="M30" s="531"/>
      <c r="N30" s="530"/>
      <c r="O30" s="532"/>
      <c r="P30" s="531"/>
      <c r="Q30" s="530"/>
      <c r="R30" s="532"/>
      <c r="S30" s="531"/>
      <c r="T30" s="530"/>
      <c r="U30" s="532"/>
      <c r="V30" s="531"/>
      <c r="W30" s="530"/>
      <c r="X30" s="532"/>
      <c r="Y30" s="530"/>
      <c r="Z30" s="530"/>
      <c r="AA30" s="532"/>
    </row>
    <row r="31" spans="1:29" s="46" customFormat="1" ht="13.5" thickBot="1">
      <c r="A31" s="517" t="s">
        <v>273</v>
      </c>
      <c r="B31" s="1248" t="s">
        <v>279</v>
      </c>
      <c r="C31" s="1249"/>
      <c r="D31" s="696">
        <f>+G31+J31+M31+P31+S31+V31+Y31</f>
        <v>341918</v>
      </c>
      <c r="E31" s="699">
        <f t="shared" ref="E31:F31" si="17">+H31+K31+N31+Q31+T31+W31+Z31</f>
        <v>373335</v>
      </c>
      <c r="F31" s="696">
        <f t="shared" si="17"/>
        <v>827501</v>
      </c>
      <c r="G31" s="540"/>
      <c r="H31" s="541"/>
      <c r="I31" s="544"/>
      <c r="J31" s="538"/>
      <c r="K31" s="539"/>
      <c r="L31" s="542"/>
      <c r="M31" s="538"/>
      <c r="N31" s="539"/>
      <c r="O31" s="542"/>
      <c r="P31" s="538"/>
      <c r="Q31" s="539"/>
      <c r="R31" s="542"/>
      <c r="S31" s="538"/>
      <c r="T31" s="539"/>
      <c r="U31" s="542"/>
      <c r="V31" s="538"/>
      <c r="W31" s="539"/>
      <c r="X31" s="542"/>
      <c r="Y31" s="543">
        <f>+'5.g. mell. Egyéb tev.'!AB100</f>
        <v>341918</v>
      </c>
      <c r="Z31" s="543">
        <f>+'5.g. mell. Egyéb tev.'!AC100</f>
        <v>373335</v>
      </c>
      <c r="AA31" s="543">
        <f>+'5.g. mell. Egyéb tev.'!AD100</f>
        <v>827501</v>
      </c>
      <c r="AB31" s="335"/>
      <c r="AC31" s="335"/>
    </row>
  </sheetData>
  <mergeCells count="30">
    <mergeCell ref="B31:C31"/>
    <mergeCell ref="S3:U3"/>
    <mergeCell ref="B9:C9"/>
    <mergeCell ref="B29:C29"/>
    <mergeCell ref="J3:L3"/>
    <mergeCell ref="M3:O3"/>
    <mergeCell ref="B13:C13"/>
    <mergeCell ref="B14:C14"/>
    <mergeCell ref="B15:C15"/>
    <mergeCell ref="G3:I3"/>
    <mergeCell ref="B5:C5"/>
    <mergeCell ref="B7:C7"/>
    <mergeCell ref="B6:C6"/>
    <mergeCell ref="B11:C11"/>
    <mergeCell ref="B12:C12"/>
    <mergeCell ref="B27:C27"/>
    <mergeCell ref="B20:C20"/>
    <mergeCell ref="B18:C18"/>
    <mergeCell ref="B19:C19"/>
    <mergeCell ref="B23:C23"/>
    <mergeCell ref="B25:C25"/>
    <mergeCell ref="B21:C21"/>
    <mergeCell ref="B16:C16"/>
    <mergeCell ref="Y2:AA2"/>
    <mergeCell ref="A3:A4"/>
    <mergeCell ref="B3:C4"/>
    <mergeCell ref="D3:F3"/>
    <mergeCell ref="V3:X3"/>
    <mergeCell ref="Y3:AA3"/>
    <mergeCell ref="P3:R3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87" fitToWidth="2" orientation="landscape" r:id="rId1"/>
  <headerFooter>
    <oddHeader>&amp;C&amp;"Times New Roman,Félkövér"&amp;12Martonvásár Város Önkormányzatának kiadása 2015.&amp;R&amp;"Times New Roman,Normál"&amp;10 5.melléklet</oddHead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36</vt:i4>
      </vt:variant>
      <vt:variant>
        <vt:lpstr>Névvel ellátott tartományok</vt:lpstr>
      </vt:variant>
      <vt:variant>
        <vt:i4>14</vt:i4>
      </vt:variant>
    </vt:vector>
  </HeadingPairs>
  <TitlesOfParts>
    <vt:vector size="50" baseType="lpstr">
      <vt:lpstr>Tart.</vt:lpstr>
      <vt:lpstr>1.mell. Mérleg</vt:lpstr>
      <vt:lpstr>2.mell. Mérleg</vt:lpstr>
      <vt:lpstr>3.mell. Bevétel</vt:lpstr>
      <vt:lpstr>3.a Támogatások</vt:lpstr>
      <vt:lpstr>3.b mell. Műk, felh. bevételek</vt:lpstr>
      <vt:lpstr>3.c. mell. Közhatalmi bevételek</vt:lpstr>
      <vt:lpstr>4.mell. Normatíva</vt:lpstr>
      <vt:lpstr>5. mell. Önk.össz kiadás</vt:lpstr>
      <vt:lpstr>5.a. mell. Jogalkotás</vt:lpstr>
      <vt:lpstr>5.b. mell. VF saját forrásból</vt:lpstr>
      <vt:lpstr>5.c. mell. VF Eu forrásból</vt:lpstr>
      <vt:lpstr>5.d. mell. Védőnő, EÜ</vt:lpstr>
      <vt:lpstr>5.e. mell. Szociális ellátások</vt:lpstr>
      <vt:lpstr>5.f. mell. Műk és felh. tám</vt:lpstr>
      <vt:lpstr>5.g. mell. Egyéb tev.</vt:lpstr>
      <vt:lpstr>6. mell. Int.összesen</vt:lpstr>
      <vt:lpstr>6.a. mell. PH</vt:lpstr>
      <vt:lpstr>6.b. mell. Óvoda</vt:lpstr>
      <vt:lpstr>6.c. mell. BBKP</vt:lpstr>
      <vt:lpstr>7.mell. Beruházás</vt:lpstr>
      <vt:lpstr>8.mell. Felújítás</vt:lpstr>
      <vt:lpstr>9.mell. Létszámok</vt:lpstr>
      <vt:lpstr>10. mell. Több éves kihat</vt:lpstr>
      <vt:lpstr>11.sz Műk. tám részl.</vt:lpstr>
      <vt:lpstr>12.sz Pénzeszk.vált</vt:lpstr>
      <vt:lpstr>13.sz Pénzmaradvány 2015</vt:lpstr>
      <vt:lpstr>14.sz Pénzm.feloszt.</vt:lpstr>
      <vt:lpstr>15.sz Közvetett tám</vt:lpstr>
      <vt:lpstr>16.sz Egysz.mérleg</vt:lpstr>
      <vt:lpstr>17.sz Eredménykimutatás</vt:lpstr>
      <vt:lpstr>18.a Vagyonkimutatás 1</vt:lpstr>
      <vt:lpstr>18.b Vagyonkimutatás 2</vt:lpstr>
      <vt:lpstr>18.c Vagyonkimutatás 3</vt:lpstr>
      <vt:lpstr>19.sz Részesedések</vt:lpstr>
      <vt:lpstr>20.sz. MG Kft elszámolás</vt:lpstr>
      <vt:lpstr>'20.sz. MG Kft elszámolás'!Nyomtatási_cím</vt:lpstr>
      <vt:lpstr>'4.mell. Normatíva'!Nyomtatási_cím</vt:lpstr>
      <vt:lpstr>'5. mell. Önk.össz kiadás'!Nyomtatási_cím</vt:lpstr>
      <vt:lpstr>'5.a. mell. Jogalkotás'!Nyomtatási_cím</vt:lpstr>
      <vt:lpstr>'5.b. mell. VF saját forrásból'!Nyomtatási_cím</vt:lpstr>
      <vt:lpstr>'5.c. mell. VF Eu forrásból'!Nyomtatási_cím</vt:lpstr>
      <vt:lpstr>'5.d. mell. Védőnő, EÜ'!Nyomtatási_cím</vt:lpstr>
      <vt:lpstr>'5.g. mell. Egyéb tev.'!Nyomtatási_cím</vt:lpstr>
      <vt:lpstr>'6.a. mell. PH'!Nyomtatási_cím</vt:lpstr>
      <vt:lpstr>'6.b. mell. Óvoda'!Nyomtatási_cím</vt:lpstr>
      <vt:lpstr>'6.c. mell. BBKP'!Nyomtatási_cím</vt:lpstr>
      <vt:lpstr>'12.sz Pénzeszk.vált'!Nyomtatási_terület</vt:lpstr>
      <vt:lpstr>'13.sz Pénzmaradvány 2015'!Nyomtatási_terület</vt:lpstr>
      <vt:lpstr>'20.sz. MG Kft elszámolás'!Nyomtatási_terület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lbiro</cp:lastModifiedBy>
  <cp:lastPrinted>2016-04-18T11:50:19Z</cp:lastPrinted>
  <dcterms:created xsi:type="dcterms:W3CDTF">2014-01-29T08:39:20Z</dcterms:created>
  <dcterms:modified xsi:type="dcterms:W3CDTF">2016-04-20T09:07:53Z</dcterms:modified>
</cp:coreProperties>
</file>