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485" activeTab="0"/>
  </bookViews>
  <sheets>
    <sheet name="Költségvetési főösszesítő" sheetId="1" r:id="rId1"/>
    <sheet name="01-03" sheetId="2" r:id="rId2"/>
    <sheet name="02-04" sheetId="3" r:id="rId3"/>
    <sheet name="Dsz.Önk." sheetId="4" r:id="rId4"/>
    <sheet name="KÖH" sheetId="5" r:id="rId5"/>
    <sheet name="Óv. és Ko." sheetId="6" r:id="rId6"/>
    <sheet name="07 A" sheetId="7" r:id="rId7"/>
    <sheet name="08" sheetId="8" r:id="rId8"/>
    <sheet name="09 A" sheetId="9" r:id="rId9"/>
    <sheet name="11 A" sheetId="10" r:id="rId10"/>
    <sheet name="11 B" sheetId="11" r:id="rId11"/>
    <sheet name="11 C" sheetId="12" r:id="rId12"/>
    <sheet name="11 E" sheetId="13" r:id="rId13"/>
    <sheet name="11 F" sheetId="14" r:id="rId14"/>
    <sheet name="11 L" sheetId="15" r:id="rId15"/>
    <sheet name="12 A" sheetId="16" r:id="rId16"/>
    <sheet name="13 A" sheetId="17" r:id="rId17"/>
    <sheet name="15 A" sheetId="18" r:id="rId18"/>
    <sheet name="16 A" sheetId="19" r:id="rId19"/>
  </sheets>
  <externalReferences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<sst xmlns="http://schemas.openxmlformats.org/spreadsheetml/2006/main" count="1446" uniqueCount="816">
  <si>
    <t>01</t>
  </si>
  <si>
    <t>02</t>
  </si>
  <si>
    <t>03</t>
  </si>
  <si>
    <t>K9. Finanszírozási kiadások</t>
  </si>
  <si>
    <t>04</t>
  </si>
  <si>
    <t>B8. Finanszírozási bevételek</t>
  </si>
  <si>
    <t>08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</si>
  <si>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</si>
  <si>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</si>
  <si>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</si>
  <si>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</si>
  <si>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</si>
  <si>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 végleges</t>
  </si>
  <si>
    <t>Teljesítés</t>
  </si>
  <si>
    <t>Törvény szerinti illetmények, munkabérek (K1101)</t>
  </si>
  <si>
    <t>Céljuttatás, projektprémium (K1103)</t>
  </si>
  <si>
    <t>Készenléti, ügyeleti, helyettesítési díj, túlóra, túlszolgálat (K1104)</t>
  </si>
  <si>
    <t>06</t>
  </si>
  <si>
    <t>Jubileumi jutalom (K1106)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</si>
  <si>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</si>
  <si>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</si>
  <si>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</si>
  <si>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</si>
  <si>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</si>
  <si>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</si>
  <si>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</si>
  <si>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</si>
  <si>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</si>
  <si>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</si>
  <si>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</si>
  <si>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</si>
  <si>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</si>
  <si>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</si>
  <si>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</si>
  <si>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</si>
  <si>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</si>
  <si>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</si>
  <si>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</si>
  <si>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</si>
  <si>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</si>
  <si>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</si>
  <si>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</si>
  <si>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</si>
  <si>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</si>
  <si>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</si>
  <si>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26</t>
  </si>
  <si>
    <t>ebből: munkaadót a foglalkoztatottak részére történő kifizetésekkel kapcsolatban terhelő más járulék jellegű kötelezettségek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</si>
  <si>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</si>
  <si>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</si>
  <si>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</si>
  <si>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</si>
  <si>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</si>
  <si>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</si>
  <si>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</si>
  <si>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</si>
  <si>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</si>
  <si>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</si>
  <si>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</si>
  <si>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</si>
  <si>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</si>
  <si>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</si>
  <si>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</si>
  <si>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</si>
  <si>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</si>
  <si>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</si>
  <si>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</si>
  <si>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</si>
  <si>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</si>
  <si>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</si>
  <si>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</si>
  <si>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</si>
  <si>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</si>
  <si>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</si>
  <si>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</si>
  <si>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</si>
  <si>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</si>
  <si>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</si>
  <si>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</si>
  <si>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</si>
  <si>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</si>
  <si>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</si>
  <si>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</si>
  <si>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</si>
  <si>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</si>
  <si>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</si>
  <si>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</si>
  <si>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</si>
  <si>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</si>
  <si>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</si>
  <si>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</si>
  <si>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</si>
  <si>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</si>
  <si>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</si>
  <si>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</si>
  <si>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</si>
  <si>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</si>
  <si>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</si>
  <si>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</si>
  <si>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</si>
  <si>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115</t>
  </si>
  <si>
    <t>ebből: köztemetés [Szoctv. 48.§] (K48)</t>
  </si>
  <si>
    <t>116</t>
  </si>
  <si>
    <t>ebből: települési támogatás [Szoctv. 45. §], (K48)</t>
  </si>
  <si>
    <t>118</t>
  </si>
  <si>
    <t>ebből: önkormányzat által saját hatáskörben (nem szociális és gyermekvédelmi előírások alapján) adott más ellátás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</si>
  <si>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</si>
  <si>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</si>
  <si>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</si>
  <si>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</si>
  <si>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</si>
  <si>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</si>
  <si>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</si>
  <si>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</si>
  <si>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150</t>
  </si>
  <si>
    <t>ebből: központi költségvetési szervek (K506)</t>
  </si>
  <si>
    <t>157</t>
  </si>
  <si>
    <t>ebből: társulások és költségvetési szerveik (K506)</t>
  </si>
  <si>
    <t>177</t>
  </si>
  <si>
    <t>Egyéb működési célú támogatások államháztartáson kívülre (=178+…+187) (K512)</t>
  </si>
  <si>
    <t>180</t>
  </si>
  <si>
    <t>ebből: egyéb civil szervezetek (K512)</t>
  </si>
  <si>
    <t>185</t>
  </si>
  <si>
    <t>ebből: egyéb vállalkozások (K512)</t>
  </si>
  <si>
    <t>188</t>
  </si>
  <si>
    <t>Tartalékok (K513)</t>
  </si>
  <si>
    <t>189</t>
  </si>
  <si>
    <t>Egyéb működési célú kiadások (=120+125+126+127+138+149+160+162+174+175+176+177+188) (K5)</t>
  </si>
  <si>
    <t>190</t>
  </si>
  <si>
    <t>Immateriális javak beszerzése, létesítése (K61)</t>
  </si>
  <si>
    <t>191</t>
  </si>
  <si>
    <t>Ingatlanok beszerzése, létesítése (&gt;=192) (K62)</t>
  </si>
  <si>
    <t>193</t>
  </si>
  <si>
    <t>Informatikai eszközök beszerzése, létesítése (K63)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</si>
  <si>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</si>
  <si>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</si>
  <si>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</si>
  <si>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</si>
  <si>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</si>
  <si>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</si>
  <si>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</si>
  <si>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</si>
  <si>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201</t>
  </si>
  <si>
    <t>Egyéb tárgyi eszközök felújítása  (K73)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</si>
  <si>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</si>
  <si>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</si>
  <si>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</si>
  <si>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</si>
  <si>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</si>
  <si>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</si>
  <si>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02 - Beszámoló a B1. - B7. költségvetési bevételek előirányzatának teljesítéséről</t>
  </si>
  <si>
    <t>Követelés - Költségvetési évben esedékes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</si>
  <si>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</si>
  <si>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</si>
  <si>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</si>
  <si>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</si>
  <si>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</si>
  <si>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</si>
  <si>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</si>
  <si>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</si>
  <si>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</si>
  <si>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egyéb fejezeti kezelésű előirányzatok (B16)</t>
  </si>
  <si>
    <t>38</t>
  </si>
  <si>
    <t>ebből: elkülönített állami pénzalapok (B16)</t>
  </si>
  <si>
    <t>ebből: helyi önkormányzatok és költségvetési szerveik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</si>
  <si>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</si>
  <si>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</si>
  <si>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</si>
  <si>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</si>
  <si>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69</t>
  </si>
  <si>
    <t>ebből: központi költségvetési szervek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</si>
  <si>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</si>
  <si>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</si>
  <si>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</si>
  <si>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</si>
  <si>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80</t>
  </si>
  <si>
    <t>Magánszemélyek jövedelemadói (=81+82) (B311)</t>
  </si>
  <si>
    <t>82</t>
  </si>
  <si>
    <t>ebből: termőföld bérbeadásából származó jövedelem utáni személyi jövedelemadó (B311)</t>
  </si>
  <si>
    <t>92</t>
  </si>
  <si>
    <t>Jövedelemadók (=80+83) (B31)</t>
  </si>
  <si>
    <t>108</t>
  </si>
  <si>
    <t>Vagyoni tipusú adók (=109+…+114) (B34)</t>
  </si>
  <si>
    <t>109</t>
  </si>
  <si>
    <t>ebből: építményadó  (B34)</t>
  </si>
  <si>
    <t>110</t>
  </si>
  <si>
    <t>ebből: magánszemélyek kommunális adója (B34)</t>
  </si>
  <si>
    <t>Értékesítési és forgalmi adók (=116+…+136) (B351)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</si>
  <si>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</si>
  <si>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</si>
  <si>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</si>
  <si>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</si>
  <si>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</si>
  <si>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147</t>
  </si>
  <si>
    <t>Egyéb áruhasználati és szolgáltatási adók  (=148+…+163) (B355)</t>
  </si>
  <si>
    <t>154</t>
  </si>
  <si>
    <t>ebből: tartózkodás után fizetett idegenforgalmi adó  (B355)</t>
  </si>
  <si>
    <t>164</t>
  </si>
  <si>
    <t>Termékek és szolgáltatások adói (=115+137+141+142+147)  (B35)</t>
  </si>
  <si>
    <t>165</t>
  </si>
  <si>
    <t>Egyéb közhatalmi bevételek (&gt;=166+…+183) (B36)</t>
  </si>
  <si>
    <t>181</t>
  </si>
  <si>
    <t>ebből: önkormányzat által beszedett talajterhelési díj (B36)</t>
  </si>
  <si>
    <t>184</t>
  </si>
  <si>
    <t>Közhatalmi bevételek (=92+93+103+108+164+165) (B3)</t>
  </si>
  <si>
    <t>186</t>
  </si>
  <si>
    <t>Szolgáltatások ellenértéke (&gt;=187+188) (B402)</t>
  </si>
  <si>
    <t>187</t>
  </si>
  <si>
    <t>ebből:tárgyi eszközök bérbeadásából származó bevétel (B402)</t>
  </si>
  <si>
    <t>Közvetített szolgáltatások ellenértéke  (&gt;=190) (B403)</t>
  </si>
  <si>
    <t>Tulajdonosi bevételek (&gt;=192+…+197)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</si>
  <si>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</si>
  <si>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</si>
  <si>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</si>
  <si>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</si>
  <si>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</si>
  <si>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</si>
  <si>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</si>
  <si>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216</t>
  </si>
  <si>
    <t>Biztosító által fizetett kártérítés (B410)</t>
  </si>
  <si>
    <t>217</t>
  </si>
  <si>
    <t>Egyéb működési bevételek (&gt;=218+219) (B411)</t>
  </si>
  <si>
    <t>219</t>
  </si>
  <si>
    <t>ebből: kiadások visszatérítései (B411)</t>
  </si>
  <si>
    <t>220</t>
  </si>
  <si>
    <t>Működési bevételek (=185+186+189+191+198+…+200+207+215+216+217) (B4)</t>
  </si>
  <si>
    <t>243</t>
  </si>
  <si>
    <t>Egyéb működési célú átvett pénzeszközök (=244…+254) (B65)</t>
  </si>
  <si>
    <t>247</t>
  </si>
  <si>
    <t>ebből: háztartások (B65)</t>
  </si>
  <si>
    <t>251</t>
  </si>
  <si>
    <t>ebből: egyéb vállalkozások (B65)</t>
  </si>
  <si>
    <t>255</t>
  </si>
  <si>
    <t>Működési célú átvett pénzeszközök (=230+...+233+243) (B6)</t>
  </si>
  <si>
    <t>269</t>
  </si>
  <si>
    <t>Egyéb felhalmozási célú átvett pénzeszközök (=270+…+280) (B75)</t>
  </si>
  <si>
    <t>273</t>
  </si>
  <si>
    <t>ebből: háztartások (B75)</t>
  </si>
  <si>
    <t>281</t>
  </si>
  <si>
    <t>Felhalmozási célú átvett pénzeszközök (=256+…+259+269) (B7)</t>
  </si>
  <si>
    <t>282</t>
  </si>
  <si>
    <t>Költségvetési bevételek (=43+79+184+220+229+255+281) (B1-B7)</t>
  </si>
  <si>
    <t>03 - K9. Finanszírozási kiadások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</si>
  <si>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</si>
  <si>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</si>
  <si>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</si>
  <si>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40</t>
  </si>
  <si>
    <t>Finanszírozási kiadások (=29+37+38+39) (K9)</t>
  </si>
  <si>
    <t>04 - B8. Finanszírozási bevételek</t>
  </si>
  <si>
    <t>Követelés  - Költségvetési évben esedékes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</si>
  <si>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</si>
  <si>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</si>
  <si>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</si>
  <si>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</si>
  <si>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</si>
  <si>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</si>
  <si>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</si>
  <si>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</si>
  <si>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</si>
  <si>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Összesen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</si>
  <si>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</si>
  <si>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</si>
  <si>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</si>
  <si>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</si>
  <si>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</si>
  <si>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</si>
  <si>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</si>
  <si>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</si>
  <si>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</si>
  <si>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</si>
  <si>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</si>
  <si>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08 - Adatszolgáltatás a személyi juttatások és a foglalkoztatottak, választott tisztségviselők összetételéréről</t>
  </si>
  <si>
    <t>Létszám fő (Tervezett átlagos statisztikai állományi létszám, éves)</t>
  </si>
  <si>
    <t>Törvény szerinti illetmények, munkabérek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</si>
  <si>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</si>
  <si>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</si>
  <si>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</si>
  <si>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</si>
  <si>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</si>
  <si>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</si>
  <si>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</si>
  <si>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</si>
  <si>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>főjegyző, jegyző, aljegyző, címzetes főjegyző, körjegyző</t>
  </si>
  <si>
    <t>II.  besorolási osztály összesen</t>
  </si>
  <si>
    <t>KÖZTISZTVISELŐK, KORMÁNYTISZTVISELŐK, ÁLLAMI TISZTVISELŐK ÖSSZESEN (=01+…+25)</t>
  </si>
  <si>
    <t>"C", "D" fizetési osztály összesen</t>
  </si>
  <si>
    <t>gyakornok (pedagógus)</t>
  </si>
  <si>
    <t>pedagógus I.</t>
  </si>
  <si>
    <t>pedagógus II.</t>
  </si>
  <si>
    <t>pedagógus (magasabb) vezetői megbízással</t>
  </si>
  <si>
    <t>KÖZALKALMAZOTTAK ÖSSZESEN (=27+...+39)</t>
  </si>
  <si>
    <t>77</t>
  </si>
  <si>
    <t>fizikai alkalmazott, a költségvetési szerveknél foglalkoztatott egyéb munkavállaló  (fizikai alkalmazott)</t>
  </si>
  <si>
    <t>közfoglalkoztatott</t>
  </si>
  <si>
    <t>81</t>
  </si>
  <si>
    <t>EGYÉB BÉRRENDSZER ÖSSZESEN (=74+…+80)</t>
  </si>
  <si>
    <t>90</t>
  </si>
  <si>
    <t>polgármester, főpolgármester</t>
  </si>
  <si>
    <t>93</t>
  </si>
  <si>
    <t>VÁLASZTOTT TISZTSÉGVISELŐK ÖSSZESEN (=82+...+92)</t>
  </si>
  <si>
    <t>94</t>
  </si>
  <si>
    <t>FOGLALKOZTATOTTAK ÖSSZESEN (=26+40+51+57+62+67+73+81+93)</t>
  </si>
  <si>
    <t>95</t>
  </si>
  <si>
    <t>Zárólétszám (az időszak végén munkavégzésre irányuló jogviszonyban állók statisztikai állományi létszáma) (fő)</t>
  </si>
  <si>
    <t>96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</si>
  <si>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</si>
  <si>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</si>
  <si>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09/A - A létszám funkciócsoportonkénti megoszlása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</si>
  <si>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</si>
  <si>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</si>
  <si>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</si>
  <si>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</si>
  <si>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</si>
  <si>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</si>
  <si>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</si>
  <si>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</si>
  <si>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</si>
  <si>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b) csoport</t>
  </si>
  <si>
    <t>Összesen (01+02)</t>
  </si>
  <si>
    <t>Gazdálkodási-költségvetési</t>
  </si>
  <si>
    <t>Egyéb (…)</t>
  </si>
  <si>
    <t>Összesen (04+…+12)</t>
  </si>
  <si>
    <t>Üzemeltetési</t>
  </si>
  <si>
    <t>Összesen (14+18+…+25)</t>
  </si>
  <si>
    <t>Összesen (03+13+26)</t>
  </si>
  <si>
    <t>Köztisztviselők, kormánytisztviselők, állami tisztviselők (29+30+31)</t>
  </si>
  <si>
    <t>I. funkció csoport</t>
  </si>
  <si>
    <t>30</t>
  </si>
  <si>
    <t>II. funkció csoport</t>
  </si>
  <si>
    <t>Közalkalmazottak (33+34+35)</t>
  </si>
  <si>
    <t>III. funkció csoport</t>
  </si>
  <si>
    <t>56</t>
  </si>
  <si>
    <t>Munka Törvénykönyve hatálya alá tartozók (57+58+59)</t>
  </si>
  <si>
    <t>- ebből: közfoglalkoztatottak (61+62+63)</t>
  </si>
  <si>
    <t>63</t>
  </si>
  <si>
    <t>64</t>
  </si>
  <si>
    <t>Választott tisztségviselők (65+66+67)</t>
  </si>
  <si>
    <t>65</t>
  </si>
  <si>
    <t>Megbízási szerződés alapján foglalkoztatottak (69+70+71)</t>
  </si>
  <si>
    <t>70</t>
  </si>
  <si>
    <t>11/A - A helyi önkormányzatok kiegészítő támogatásainak és egyéb kötött felhasználású támogatásainak elszámolása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</si>
  <si>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</si>
  <si>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</si>
  <si>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</si>
  <si>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</si>
  <si>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2. melléklet I.5. A költségvetési szerveknél foglalkoztatottak 2018. évi áthúzódó és 2019. évi kompenzációja</t>
  </si>
  <si>
    <t>2. melléklet I.6. Polgármesteri illetmény támogatása</t>
  </si>
  <si>
    <t>2. melléklet III.2. A települési önkormányzatok szociális feladatainak egyéb támogatása</t>
  </si>
  <si>
    <t>2. melléklet IV.1.d) Települési önkormányzatok nyilvános könyvtári és közművelődési feladatainak támogatása</t>
  </si>
  <si>
    <t>2. melléklet IV.1. Könyvtári, közművelődési és múzeumi feladatok támogatása (5+…+13)</t>
  </si>
  <si>
    <t>3. melléklet I.1. Lakossági víz- és csatornaszolgáltatás támogatása</t>
  </si>
  <si>
    <t>3. melléklet I.12. Kiegyenlítő bérrendezési alap</t>
  </si>
  <si>
    <t>3. melléklet I. Helyi önkormányzatok működési célú költségvetési támogatásai összesen (20+….+ 34)</t>
  </si>
  <si>
    <t>37. cím A minimálbér és a garantált bérminimum emelés hatásának kompenzációja</t>
  </si>
  <si>
    <t>106</t>
  </si>
  <si>
    <t>Mindösszesen (=1+2+3+4+14+18+19+35+60+…+105)</t>
  </si>
  <si>
    <t>11/B - A helyi önkormányzatok kiegészítő támogatásainak és egyéb kötött felhasználású támogatásainak elszámolása</t>
  </si>
  <si>
    <t>Az önkormányzat által a 2018. évben fel nem használt, de 2019. évben jogszerűen felhasználható összeg</t>
  </si>
  <si>
    <t>Ebből 2019. évben az előirt határidőig ténylegesen felhasznált</t>
  </si>
  <si>
    <t>Eltérés (fel nem használt) (=3-4)</t>
  </si>
  <si>
    <t>75</t>
  </si>
  <si>
    <t>29. cím Az önkormányzati ASP rendszer működtetésének támogatása</t>
  </si>
  <si>
    <t>123</t>
  </si>
  <si>
    <t>81. cím A téli rezsicsökkentésben korábban nem részesült, a vezetékes gáz- vagy távfűtéstől eltérő fűtőanyagot használó háztartások egyszeri támogatása</t>
  </si>
  <si>
    <t>Mindösszesen (=1+2+3+4+14+18+19+36+52+…+124)</t>
  </si>
  <si>
    <t>11/C - Az önkormányzatok általános, köznevelési és szociális feladataihoz kapcsolódó támogatások elszámolása</t>
  </si>
  <si>
    <t>Költségvetési törvény szerint igényelt támogatás</t>
  </si>
  <si>
    <t>Támogatás évközi változása - Május 15.</t>
  </si>
  <si>
    <t>Támogatás évközi változása - Október 7.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</si>
  <si>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</si>
  <si>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</si>
  <si>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</si>
  <si>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 (6. és 8. oszlop közül a kisebb érték)</t>
  </si>
  <si>
    <t>Többlettámogatás (ha a 7-6+9 &gt;0, akkor 7-6+9; egyébként 0)</t>
  </si>
  <si>
    <t>Visszafizetési kötelezettség (ha a 7-6+9 &lt;0, akkor 7-6+9 abszolútértéke; egyébként 0)</t>
  </si>
  <si>
    <t>11/A 92. sor szerinti 37. A minimálbér és a garantált bérminimum emelés hatásának kompenzációja címen nyújtott támogatás</t>
  </si>
  <si>
    <t>12. oszlop szerinti támogatásból az adott célra december 31-ig ténylegesen felhasznált összeg</t>
  </si>
  <si>
    <t>I.1. A települési  önkormányzatok működésének támogatása 09 01 01 01 00</t>
  </si>
  <si>
    <t>I.2. Nem közművel összegyűjtött háztartási szennyvíz ártalmatlanítása 09 01 01 02 00</t>
  </si>
  <si>
    <t>I.3. Határátkelőhelyek fenntartásának támogatása 09 01 01 03 00</t>
  </si>
  <si>
    <t>II. A települési önkormányzatok egyes köznevelési feladatainak támogatása 09 01 02 00 00</t>
  </si>
  <si>
    <t>III.3. Egyes szociális és gyermekjóléti feladatok támogatása - család és gyermekjóléti szolgálat/központ kivételével 09 01 03 03 02</t>
  </si>
  <si>
    <t>III.5.a Intézményi gyermekétkeztetés támogatása 09 01 03 05 01</t>
  </si>
  <si>
    <t>III.5.b Rászoruló gyermekek szünidei étkeztetése 09 01 03 05 02</t>
  </si>
  <si>
    <t>Összesen  (=1+…+11)</t>
  </si>
  <si>
    <t>11/E - A 11/C. űrlap 9. sorának elszámolása</t>
  </si>
  <si>
    <t>III.5. Intézményi gyermekétkeztetés támogatása</t>
  </si>
  <si>
    <t>III.5. Intézményi gyermekétkeztetés támogatása terhére elszámolt kiadások</t>
  </si>
  <si>
    <t>Intézményi gyermekétkeztetési térítési díj bevételek összege</t>
  </si>
  <si>
    <t>Az önkormányzat által elszámolható intézményi gyermekétkeztetési támogatás összege</t>
  </si>
  <si>
    <t>A 11/A 92. sor 3. oszlopból a III.5. feladatra kapott támogatásra elszámolható összeg</t>
  </si>
  <si>
    <t>Az önkormányzat által egyéb (szociális és köznevelési) támogatással szemben elszámolható kiadás összege</t>
  </si>
  <si>
    <t>- ebből a települési önkormányzatok szociális feladatainak egyéb támogatására elszámolni kívánt összeg</t>
  </si>
  <si>
    <t>11/F - A helyi önkormányzatok vis maior támogatásának elszámolása</t>
  </si>
  <si>
    <t>Folyósított támogatás önkormányzatnál 2019. évet követően jogszerűen felhasználható része (előleg)</t>
  </si>
  <si>
    <t>Az adott célra jogszerűen felhasznált összeg</t>
  </si>
  <si>
    <t>Előírt visszafizetési kötelezettség összege (=3-4-5)</t>
  </si>
  <si>
    <t>9/2011. (II.15.) Korm.r. alapján 2019. évben folyósított támogatás</t>
  </si>
  <si>
    <t>173</t>
  </si>
  <si>
    <t>175</t>
  </si>
  <si>
    <t>176</t>
  </si>
  <si>
    <t>244</t>
  </si>
  <si>
    <t>11</t>
  </si>
  <si>
    <t>11/L - A helyi önkormányzatok visszafizetési kötelezettsége, pótlólagos támogatása (Ávr. 111. §), és a jogtalan igénybevétele után fizetendő ügyleti kamata (Ávr. 112. §)</t>
  </si>
  <si>
    <t>Ávr. 111. § a) szerinti valamennyi támogatás visszafizetendő összege (11/C űrlap 12. sor 10. és 11. oszlopok, 11/A űrlap 2 és 19. sor 3. oszlop)</t>
  </si>
  <si>
    <t>A költségvetési támogatások és a vis maior támogatások visszafizetendő összege (Ávr. 111. § e)</t>
  </si>
  <si>
    <t>A 11.c űrlap 5. során elszámolt 2. melléklet II.4. a pedagógusok minősítéséhez kapcsolódó támogatásból a lemondás összege az elszámolás alapján</t>
  </si>
  <si>
    <t>A 11.c űrlap 5. során elszámolt 2. melléklet II.4. a pedagógusok minősítéséhez kapcsolódó támogatásból változás összege májusi felmérés alapján</t>
  </si>
  <si>
    <t>A 11.c űrlap 5. során elszámolt 2. melléklet II.4. a pedagógusok minősítéséhez kapcsolódó támogatás (11/C. 5. sor 3. oszlop)</t>
  </si>
  <si>
    <t>Kamat alapba számító együttes eltérés összege a 2018. L. törvény 40. § (3) bekezdése alapján (a 11/C űrlap 2,5,6,7,8,9,10 és 11. sor 11. oszlop értékeinek összege csökkentve ugyanezen sorok 10. oszlopának értékével, növelve a 11/L. űrlap 11. sor 3. oszlopával és csökkentve  a 11/L. űrlap 10. sor 3. oszlopával</t>
  </si>
  <si>
    <t>Kamatalapba számító rendelkezésre bocsátott támogatások összege (a 11.c űrlap 2,5,6,7,8,9,10 és 11. sorban a 3. oszlop - 11/L. űrlap 14. sor 3. oszlop) és a (a 11.c űrlap 2,5,6,7,8,9,10 és 11. sorban a 3+4+5. oszlop összege - 11/L. űrlap 14. sor 3. oszlop + 11/L. űrlap 13. sor 3. oszlop + 11/L. űrlap 12. sor 3. oszlop)  közül a nagyobbat kell figyelembe venni</t>
  </si>
  <si>
    <t>Önkormányzat tőketartozása összesen (1+3+…+9)</t>
  </si>
  <si>
    <t>A 22. sor szerinti tőketartozás 10032000-01031496 számlára fizetendő része (1+3+4+5+6-visszafizetendő vis maior támogatás+7+8+9):</t>
  </si>
  <si>
    <t>Önkormányzat visszafizetési kötelezettsége és fizetendő kamat összesen (21+22)</t>
  </si>
  <si>
    <t>12/A - Mérleg</t>
  </si>
  <si>
    <t>Előző időszak</t>
  </si>
  <si>
    <t>Tárgyi időszak</t>
  </si>
  <si>
    <t>A/I/1 Vagyoni értékű jogok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</si>
  <si>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</si>
  <si>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</si>
  <si>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</si>
  <si>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</si>
  <si>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</si>
  <si>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</si>
  <si>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</si>
  <si>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</si>
  <si>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</si>
  <si>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</si>
  <si>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</si>
  <si>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</si>
  <si>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</si>
  <si>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</si>
  <si>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</si>
  <si>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</si>
  <si>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</si>
  <si>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</si>
  <si>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</si>
  <si>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</si>
  <si>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57</t>
  </si>
  <si>
    <t>C) PÉNZESZKÖZÖK (=C/I+…+C/IV)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</si>
  <si>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</si>
  <si>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</si>
  <si>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</si>
  <si>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</si>
  <si>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</si>
  <si>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</si>
  <si>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</si>
  <si>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</si>
  <si>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</si>
  <si>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</si>
  <si>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85</t>
  </si>
  <si>
    <t>D/I/6 Költségvetési évben esedékes követelések működési célú átvett pénzeszközre (&gt;=D/I/6a+D/I/6b+D/I/6c)</t>
  </si>
  <si>
    <t>89</t>
  </si>
  <si>
    <t>D/I/7 Költségvetési évben esedékes követelések felhalmozási célú átvett pénzeszközre (&gt;=D/I/7a+D/I/7b+D/I/7c)</t>
  </si>
  <si>
    <t>101</t>
  </si>
  <si>
    <t>D/I Költségvetési évben esedékes követelések (=D/I/1+…+D/I/8)</t>
  </si>
  <si>
    <t>143</t>
  </si>
  <si>
    <t>D/III/1 Adott előlegek (=D/III/1a+…+D/III/1f)</t>
  </si>
  <si>
    <t>145</t>
  </si>
  <si>
    <t>D/III/1b - ebből: beruházásokra, felújításokra adott előlegek</t>
  </si>
  <si>
    <t>D/III/1d - ebből: igénybe vett szolgáltatásra adott előlegek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</si>
  <si>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</si>
  <si>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</si>
  <si>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</si>
  <si>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</si>
  <si>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</si>
  <si>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</si>
  <si>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</si>
  <si>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</si>
  <si>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</si>
  <si>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</si>
  <si>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</si>
  <si>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</si>
  <si>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</si>
  <si>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</si>
  <si>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</si>
  <si>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</si>
  <si>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</si>
  <si>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</si>
  <si>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</si>
  <si>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</si>
  <si>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</si>
  <si>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</si>
  <si>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179</t>
  </si>
  <si>
    <t>G/III Egyéb eszközök induláskori értéke és változásai</t>
  </si>
  <si>
    <t>G/IV Felhalmozott eredmény</t>
  </si>
  <si>
    <t>182</t>
  </si>
  <si>
    <t>G/VI Mérleg szerinti eredmény</t>
  </si>
  <si>
    <t>183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</si>
  <si>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</si>
  <si>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</si>
  <si>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</si>
  <si>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</si>
  <si>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</si>
  <si>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</si>
  <si>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</si>
  <si>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</si>
  <si>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</si>
  <si>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</si>
  <si>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</si>
  <si>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</si>
  <si>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</si>
  <si>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</si>
  <si>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</si>
  <si>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</si>
  <si>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</si>
  <si>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</si>
  <si>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</si>
  <si>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</si>
  <si>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</si>
  <si>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</si>
  <si>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</si>
  <si>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</si>
  <si>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</si>
  <si>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</si>
  <si>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</si>
  <si>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</si>
  <si>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</si>
  <si>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</si>
  <si>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</si>
  <si>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</si>
  <si>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</si>
  <si>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</si>
  <si>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</si>
  <si>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</si>
  <si>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</si>
  <si>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</si>
  <si>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</si>
  <si>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</si>
  <si>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</si>
  <si>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</si>
  <si>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</si>
  <si>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</si>
  <si>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</si>
  <si>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18 Részesedésekből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</si>
  <si>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</si>
  <si>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</si>
  <si>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</si>
  <si>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</si>
  <si>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</si>
  <si>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</si>
  <si>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</si>
  <si>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</si>
  <si>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</si>
  <si>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</si>
  <si>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</si>
  <si>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</si>
  <si>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</si>
  <si>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</si>
  <si>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</si>
  <si>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Egyéb növekedés</t>
  </si>
  <si>
    <t>Összes növekedés  (=02+…+07)</t>
  </si>
  <si>
    <t>Hiány, selejtezés, megsemmisülés</t>
  </si>
  <si>
    <t>Térítésmentes átadás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</si>
  <si>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</si>
  <si>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</si>
  <si>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</si>
  <si>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</si>
  <si>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</si>
  <si>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</si>
  <si>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</si>
  <si>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</si>
  <si>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</si>
  <si>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</si>
  <si>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16/A - Az eszközök értékvesztésének alakulása</t>
  </si>
  <si>
    <t>Nyitó adatok, bekerülési érték</t>
  </si>
  <si>
    <t>Nyitó adatok, értékvesztés</t>
  </si>
  <si>
    <t>Tárgyidőszakban visszaírt értékvesztés</t>
  </si>
  <si>
    <t>Záró adatok, bekerülési érték</t>
  </si>
  <si>
    <t>Záró adatok, értékvesztés</t>
  </si>
  <si>
    <t>Adott előlegek</t>
  </si>
  <si>
    <t>Tartós részesedések</t>
  </si>
  <si>
    <t>Készletek</t>
  </si>
  <si>
    <t>Kincstáron kívüli forintszámlák</t>
  </si>
  <si>
    <t>Követelések a követelés jellegű sajátos elszámolások kivételével</t>
  </si>
  <si>
    <t>Összesen (=01+…+10)</t>
  </si>
  <si>
    <t>Összevont költségvetési mérleg kiemelt kiadási és bevételi jogcímek szerint</t>
  </si>
  <si>
    <t>(adatok Ft-ban)</t>
  </si>
  <si>
    <t>Községi Önk.</t>
  </si>
  <si>
    <t>KÖH</t>
  </si>
  <si>
    <t>Óvoda</t>
  </si>
  <si>
    <t>Módosított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</si>
  <si>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</si>
  <si>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</si>
  <si>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</si>
  <si>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</si>
  <si>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</si>
  <si>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Beruházások</t>
  </si>
  <si>
    <t>K7. Felújítások</t>
  </si>
  <si>
    <t>K8. Egyéb felhalmozási célú kiadások</t>
  </si>
  <si>
    <t>K1-8. Költségvetési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</si>
  <si>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</si>
  <si>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</si>
  <si>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</si>
  <si>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</si>
  <si>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</si>
  <si>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</si>
  <si>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</si>
  <si>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</si>
  <si>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</si>
  <si>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BEVÉTELEK ÖSSZESEN (B1-8)</t>
  </si>
  <si>
    <t>Dunaszekcső Községi Önkormányzat 2019. évi módosított költségvetése teljesítéssel</t>
  </si>
  <si>
    <t>MARADVÁNY</t>
  </si>
  <si>
    <t>Dunaszekcsői Közös Önkormányzati Hivatal 2019. évi költségvetése</t>
  </si>
  <si>
    <t>Sor-szám</t>
  </si>
  <si>
    <t>Rovat megnevezése</t>
  </si>
  <si>
    <t>Rovat-szám</t>
  </si>
  <si>
    <t>Dunaszekcső előirányzat</t>
  </si>
  <si>
    <t>Dunaszekcső módosíttt ei.</t>
  </si>
  <si>
    <t>Dunaszekcső teljesítés</t>
  </si>
  <si>
    <t>Bár előirányzat</t>
  </si>
  <si>
    <t>Bár módosított ei.</t>
  </si>
  <si>
    <t>Bár teljesítés</t>
  </si>
  <si>
    <t>Választás módosított</t>
  </si>
  <si>
    <t>Választás teljesítés</t>
  </si>
  <si>
    <t>Eredeti ei. összesen</t>
  </si>
  <si>
    <t>Módosított ei. összesen</t>
  </si>
  <si>
    <t>Teljesítés összesen</t>
  </si>
  <si>
    <t>Egyéb működési célú támogatások bevételei államháztartáson belülről</t>
  </si>
  <si>
    <t>B16</t>
  </si>
  <si>
    <t>ebből: fejezeti kezelésű előirányzatok - választás</t>
  </si>
  <si>
    <t>B1603</t>
  </si>
  <si>
    <t>ebből: helyi önkormányzatok és költségvetési szerveik - Bár</t>
  </si>
  <si>
    <t>B1607</t>
  </si>
  <si>
    <t xml:space="preserve"> - 2017. évi</t>
  </si>
  <si>
    <t xml:space="preserve"> - 2018. évi</t>
  </si>
  <si>
    <t xml:space="preserve"> - 2019. évi dologi</t>
  </si>
  <si>
    <t xml:space="preserve"> - 2019. évi bér</t>
  </si>
  <si>
    <t>Működési célú támogatások államháztartáson belülről</t>
  </si>
  <si>
    <t>B1</t>
  </si>
  <si>
    <t>Kamatbevételek</t>
  </si>
  <si>
    <t>B408</t>
  </si>
  <si>
    <t>Egyéb működési bevételek</t>
  </si>
  <si>
    <t>B411</t>
  </si>
  <si>
    <t>ebből: kerekítési különbözet + járulék kül.</t>
  </si>
  <si>
    <t>ebből: kiadások visszatérítései</t>
  </si>
  <si>
    <t>Működési bevételek</t>
  </si>
  <si>
    <t>B4</t>
  </si>
  <si>
    <t>Költségvetési bevételek</t>
  </si>
  <si>
    <t>B1-B7</t>
  </si>
  <si>
    <t>Előző év költségvetési maradványának igénybevétele - beruházási maradvány (Dunaszekcsői)</t>
  </si>
  <si>
    <t>B8131</t>
  </si>
  <si>
    <t>Maradvány igénybevétele</t>
  </si>
  <si>
    <t>B813</t>
  </si>
  <si>
    <t>Központi, irányító szervi támogatás</t>
  </si>
  <si>
    <t xml:space="preserve"> + kiegyenlítő bérrendezési alap pályázat támogatása</t>
  </si>
  <si>
    <t xml:space="preserve"> + bérkompenzáció</t>
  </si>
  <si>
    <t xml:space="preserve"> + Dunaszekcső önrész</t>
  </si>
  <si>
    <t>Központi, irányító szervi támogatás együtt</t>
  </si>
  <si>
    <t>Belföldi finanszírozás bevételei</t>
  </si>
  <si>
    <t>B81</t>
  </si>
  <si>
    <t>Finanszírozási bevételek</t>
  </si>
  <si>
    <t>B8</t>
  </si>
  <si>
    <t>Bevételek összesen</t>
  </si>
  <si>
    <t>B1-B8</t>
  </si>
  <si>
    <t>K1101</t>
  </si>
  <si>
    <t>K1103</t>
  </si>
  <si>
    <t>Jubileumi jutalmak</t>
  </si>
  <si>
    <t>K1106</t>
  </si>
  <si>
    <t>K1107</t>
  </si>
  <si>
    <t>Közlekedési költségtérítés</t>
  </si>
  <si>
    <t>K1109</t>
  </si>
  <si>
    <t>Egyéb költségtérítések</t>
  </si>
  <si>
    <t>K1110</t>
  </si>
  <si>
    <t>K1113</t>
  </si>
  <si>
    <t>Foglalkoztatottak személyi juttatásai</t>
  </si>
  <si>
    <t>K11</t>
  </si>
  <si>
    <t>Munkavégzésre irányuló egyéb jogviszonyban nem saját foglalkoztatottnak fizetett juttatások</t>
  </si>
  <si>
    <t>K122</t>
  </si>
  <si>
    <t>Egyéb külső személyi juttatások</t>
  </si>
  <si>
    <t>K1237</t>
  </si>
  <si>
    <t>Külső személyi juttatások</t>
  </si>
  <si>
    <t>K12</t>
  </si>
  <si>
    <t>Személyi juttatások összesen</t>
  </si>
  <si>
    <t>K1</t>
  </si>
  <si>
    <t xml:space="preserve">Munkaadókat terhelő járulékok és szociális hozzájárulási adó                                                                          </t>
  </si>
  <si>
    <t>K2</t>
  </si>
  <si>
    <t>ebből: szociális hozzájárulási adó</t>
  </si>
  <si>
    <t>K21</t>
  </si>
  <si>
    <t>ebből: egészségügyi hozzájárulás</t>
  </si>
  <si>
    <t>K24</t>
  </si>
  <si>
    <t>ebből: táppénz hozzájárulás</t>
  </si>
  <si>
    <t>K25</t>
  </si>
  <si>
    <t>ebből: munkáltatót terhelő személyi jövedelemadó</t>
  </si>
  <si>
    <t>K27</t>
  </si>
  <si>
    <t>SZEMÉLYI JELLEGŰ KIADÁSOK ÖSSZESEN</t>
  </si>
  <si>
    <t>K1+K2</t>
  </si>
  <si>
    <t>Szakmai anyagok beszerzése</t>
  </si>
  <si>
    <t>K311</t>
  </si>
  <si>
    <t>könyv, folyóirat</t>
  </si>
  <si>
    <t>egyéb szakmai anyag</t>
  </si>
  <si>
    <t>Üzemeltetési anyagok beszerzése</t>
  </si>
  <si>
    <t>K312</t>
  </si>
  <si>
    <t>irodaszer, nyomtatvány</t>
  </si>
  <si>
    <t>munkaruha</t>
  </si>
  <si>
    <t>nyomtatást segítő anyagok (tintapatron)</t>
  </si>
  <si>
    <t>anyagok, készletek (tüzelőanyag)</t>
  </si>
  <si>
    <t>Készletbeszerzés</t>
  </si>
  <si>
    <t>K31</t>
  </si>
  <si>
    <t>Informatikai szolgáltatások igénybevétele</t>
  </si>
  <si>
    <t>K321</t>
  </si>
  <si>
    <t>internet</t>
  </si>
  <si>
    <t>szoftverek kölcsönzése, bérlése</t>
  </si>
  <si>
    <t>számítógépes oktatás</t>
  </si>
  <si>
    <t>informatikai eszközök karbantartása, javítása</t>
  </si>
  <si>
    <t>Egyéb kommunikációs szolgáltatások</t>
  </si>
  <si>
    <t>K322</t>
  </si>
  <si>
    <t>telefon</t>
  </si>
  <si>
    <t>Kommunikációs szolgáltatások</t>
  </si>
  <si>
    <t>K32</t>
  </si>
  <si>
    <t>Közüzemi díjak</t>
  </si>
  <si>
    <t>K331</t>
  </si>
  <si>
    <t>áram</t>
  </si>
  <si>
    <t>gáz</t>
  </si>
  <si>
    <t>víz-csatorna</t>
  </si>
  <si>
    <t>Karbantartási, kisjavítási szolgáltatások</t>
  </si>
  <si>
    <t>K334</t>
  </si>
  <si>
    <t xml:space="preserve">Szakmai tevékenységet segítő szolgáltatások </t>
  </si>
  <si>
    <t>K336</t>
  </si>
  <si>
    <t xml:space="preserve">Egyéb szolgáltatások </t>
  </si>
  <si>
    <t>K337</t>
  </si>
  <si>
    <t>postaköltség</t>
  </si>
  <si>
    <t>kéményseprés, szemétszállítás</t>
  </si>
  <si>
    <t>pénzügyi, befektetési díj (bankköltség, jutalék)</t>
  </si>
  <si>
    <t>más egyéb szolgáltatások</t>
  </si>
  <si>
    <t>közigazgatási továbbképzés díja</t>
  </si>
  <si>
    <t>Szolgáltatási kiadások</t>
  </si>
  <si>
    <t>K33</t>
  </si>
  <si>
    <t>Kiküldetések kiadásai</t>
  </si>
  <si>
    <t>K341</t>
  </si>
  <si>
    <t>Kiküldetések, reklám- és propagandakiadások</t>
  </si>
  <si>
    <t>K34</t>
  </si>
  <si>
    <t>Működési célú előzetesen felszámított általános forgalmi adó</t>
  </si>
  <si>
    <t>K351</t>
  </si>
  <si>
    <t>Egyéb dologi kiadások</t>
  </si>
  <si>
    <t>K355</t>
  </si>
  <si>
    <t>Különféle befizetések és egyéb dologi kiadások</t>
  </si>
  <si>
    <t>K35</t>
  </si>
  <si>
    <t>Dologi kiadások</t>
  </si>
  <si>
    <t>K3</t>
  </si>
  <si>
    <t>MŰKÖDÉSI CÉLÚ KIADÁSOK ÖSSZESEN</t>
  </si>
  <si>
    <t>K1-K3</t>
  </si>
  <si>
    <t>Tárgyi eszköz beszerzés</t>
  </si>
  <si>
    <t>Beruházások</t>
  </si>
  <si>
    <t>Ingatlanok felújítása</t>
  </si>
  <si>
    <t>K71</t>
  </si>
  <si>
    <t>Felhalmozási célú előzetesen felszámított általános forgalmi adó</t>
  </si>
  <si>
    <t>K74</t>
  </si>
  <si>
    <t>Felújítások</t>
  </si>
  <si>
    <t>K6</t>
  </si>
  <si>
    <t>Költségvetési kiadások</t>
  </si>
  <si>
    <t>K1-K8</t>
  </si>
  <si>
    <t>KIADÁSOK ÖSSZESEN</t>
  </si>
  <si>
    <t>K1-K9</t>
  </si>
  <si>
    <t>Év végi jutalom</t>
  </si>
  <si>
    <t>Kieg. bérrendezési alap jutalom (2019. I. n. év visszamenőleges)</t>
  </si>
  <si>
    <t>Foglalkoztatottak egyéb személyi juttatásai (betegszabi+többletfel.)</t>
  </si>
  <si>
    <t>Állami támogatás: 36 209 600 Ft</t>
  </si>
  <si>
    <t>Óvoda és Konyha 2019. évi költségvetése</t>
  </si>
  <si>
    <t>Konyha</t>
  </si>
  <si>
    <t>1</t>
  </si>
  <si>
    <t>Szolgáltatások ellenértéke</t>
  </si>
  <si>
    <t>B402</t>
  </si>
  <si>
    <t>2</t>
  </si>
  <si>
    <t>Ellátási díjak</t>
  </si>
  <si>
    <t>B405</t>
  </si>
  <si>
    <t>3</t>
  </si>
  <si>
    <t>Kiszámlázott ÁFA</t>
  </si>
  <si>
    <t>B406</t>
  </si>
  <si>
    <t>4</t>
  </si>
  <si>
    <t>5</t>
  </si>
  <si>
    <t>Kerekítési különbözet</t>
  </si>
  <si>
    <t>Kiadások visszatérítései</t>
  </si>
  <si>
    <t>6</t>
  </si>
  <si>
    <t>7</t>
  </si>
  <si>
    <t>8</t>
  </si>
  <si>
    <t>Előző év költségvetési maradványának igénybevétele</t>
  </si>
  <si>
    <t>9</t>
  </si>
  <si>
    <t xml:space="preserve"> + önerős finanszírzás - ÁFA</t>
  </si>
  <si>
    <t>B816</t>
  </si>
  <si>
    <t>Túlóradíj</t>
  </si>
  <si>
    <t>K1104</t>
  </si>
  <si>
    <t>Jubileumi jutalom</t>
  </si>
  <si>
    <t>Munkavégzésre irányulóü egyéb jogviszonyban nem saját foglalkoztatottaknak fizetett juttatások</t>
  </si>
  <si>
    <t>K123</t>
  </si>
  <si>
    <t xml:space="preserve">Munkaadókat terhelő járulékok és szociális hozzájárulási adó                                      </t>
  </si>
  <si>
    <t>ebből: munkkadót terhelő más járulék jellegű kötelezettségek</t>
  </si>
  <si>
    <t>Vásárolt élelmezés</t>
  </si>
  <si>
    <t>K332</t>
  </si>
  <si>
    <t>Bérleti és lízingdíjak</t>
  </si>
  <si>
    <t>K333</t>
  </si>
  <si>
    <t>Karbantartás, kisjavítás</t>
  </si>
  <si>
    <t>Egyéb szolgáltatások</t>
  </si>
  <si>
    <t>Reklám- és propagandakiadások</t>
  </si>
  <si>
    <t>K342</t>
  </si>
  <si>
    <t>Fizetendő ÁFA</t>
  </si>
  <si>
    <t>K352</t>
  </si>
  <si>
    <t>Egyéb dologi kiadások (kerekítés)</t>
  </si>
  <si>
    <t>Informatikai eszközök beszerzése, létesítése</t>
  </si>
  <si>
    <t>Egyéb tárgyi eszközök beszerzése, létesítése</t>
  </si>
  <si>
    <t>K64</t>
  </si>
  <si>
    <t>Beruházási célú előzetesen felszámított általános forgalmi adó</t>
  </si>
  <si>
    <t>K67</t>
  </si>
  <si>
    <t>K7</t>
  </si>
  <si>
    <t>FELHALMOZÁSI CÉLÚ KIADÁSOK ÖSSZESEN</t>
  </si>
  <si>
    <t>K6+K7</t>
  </si>
  <si>
    <t>Felhalmozási célú támogatások bevételei</t>
  </si>
  <si>
    <t>B25</t>
  </si>
  <si>
    <t xml:space="preserve"> központi költségvetési szervtől kapott</t>
  </si>
  <si>
    <t>B2</t>
  </si>
  <si>
    <t>Felhalmozási bevételek</t>
  </si>
  <si>
    <t xml:space="preserve"> ebből működési tartalék</t>
  </si>
  <si>
    <t>Dunaszekcső Községi Önkormányzat 2019. évi költségvetése</t>
  </si>
  <si>
    <t>Kiadások/ Bevételek</t>
  </si>
  <si>
    <t>ÖSSZESEN</t>
  </si>
  <si>
    <t>Bevételek - kiadások = MARADVÁNY</t>
  </si>
  <si>
    <t>Óv. és Ko.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</si>
</sst>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0__"/>
    <numFmt numFmtId="174" formatCode="0.0%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Arial CE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4"/>
      <color indexed="9"/>
      <name val="Arial"/>
      <family val="2"/>
    </font>
    <font>
      <b/>
      <i/>
      <sz val="10"/>
      <name val="Arial CE"/>
      <family val="0"/>
    </font>
    <font>
      <sz val="11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i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 CE"/>
      <family val="0"/>
    </font>
    <font>
      <b/>
      <sz val="14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n"/>
      <top style="thick"/>
      <bottom style="thin"/>
    </border>
    <border>
      <left style="medium"/>
      <right style="thin"/>
      <top style="thick"/>
      <bottom style="thin"/>
    </border>
    <border>
      <left style="medium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n"/>
      <top style="thin"/>
      <bottom style="medium"/>
    </border>
    <border>
      <left style="medium"/>
      <right style="thick"/>
      <top style="thin"/>
      <bottom style="medium"/>
    </border>
    <border>
      <left style="thin"/>
      <right style="thick"/>
      <top style="thin"/>
      <bottom style="medium"/>
    </border>
    <border>
      <left style="medium"/>
      <right/>
      <top style="thin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 style="medium"/>
      <right/>
      <top style="thin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/>
      <top style="medium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thick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ck"/>
      <right style="thick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ck"/>
      <top style="medium"/>
      <bottom style="thick"/>
    </border>
    <border>
      <left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1" applyNumberFormat="0" applyAlignment="0" applyProtection="0"/>
    <xf numFmtId="0" fontId="4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4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1" fillId="20" borderId="7" applyNumberFormat="0" applyFont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8" applyNumberFormat="0" applyAlignment="0" applyProtection="0"/>
    <xf numFmtId="0" fontId="5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0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1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6" borderId="1" applyNumberFormat="0" applyAlignment="0" applyProtection="0"/>
    <xf numFmtId="9" fontId="1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22" fillId="29" borderId="10" xfId="54" applyFont="1" applyFill="1" applyBorder="1" applyAlignment="1">
      <alignment horizontal="center" vertical="center" wrapText="1"/>
      <protection/>
    </xf>
    <xf numFmtId="0" fontId="23" fillId="29" borderId="10" xfId="54" applyFont="1" applyFill="1" applyBorder="1" applyAlignment="1">
      <alignment vertical="center"/>
      <protection/>
    </xf>
    <xf numFmtId="0" fontId="22" fillId="29" borderId="10" xfId="54" applyFont="1" applyFill="1" applyBorder="1" applyAlignment="1">
      <alignment horizontal="center" vertical="center" wrapText="1"/>
      <protection/>
    </xf>
    <xf numFmtId="0" fontId="22" fillId="29" borderId="10" xfId="54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4" fillId="29" borderId="10" xfId="0" applyFont="1" applyFill="1" applyBorder="1" applyAlignment="1">
      <alignment horizontal="center" vertical="top" wrapText="1"/>
    </xf>
    <xf numFmtId="0" fontId="25" fillId="29" borderId="10" xfId="0" applyFont="1" applyFill="1" applyBorder="1" applyAlignment="1">
      <alignment/>
    </xf>
    <xf numFmtId="0" fontId="24" fillId="29" borderId="10" xfId="0" applyFont="1" applyFill="1" applyBorder="1" applyAlignment="1">
      <alignment horizontal="center" vertical="top" wrapText="1"/>
    </xf>
    <xf numFmtId="0" fontId="24" fillId="29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22" fillId="29" borderId="10" xfId="0" applyFont="1" applyFill="1" applyBorder="1" applyAlignment="1">
      <alignment horizontal="center" vertical="top" wrapText="1"/>
    </xf>
    <xf numFmtId="0" fontId="28" fillId="29" borderId="10" xfId="0" applyFont="1" applyFill="1" applyBorder="1" applyAlignment="1">
      <alignment/>
    </xf>
    <xf numFmtId="0" fontId="22" fillId="29" borderId="10" xfId="0" applyFont="1" applyFill="1" applyBorder="1" applyAlignment="1">
      <alignment horizontal="center" vertical="top" wrapText="1"/>
    </xf>
    <xf numFmtId="0" fontId="5" fillId="30" borderId="10" xfId="0" applyFont="1" applyFill="1" applyBorder="1" applyAlignment="1">
      <alignment horizontal="center" vertical="top" wrapText="1"/>
    </xf>
    <xf numFmtId="0" fontId="0" fillId="30" borderId="10" xfId="0" applyFill="1" applyBorder="1" applyAlignment="1">
      <alignment/>
    </xf>
    <xf numFmtId="0" fontId="5" fillId="30" borderId="10" xfId="0" applyFont="1" applyFill="1" applyBorder="1" applyAlignment="1">
      <alignment horizontal="center" vertical="top" wrapText="1"/>
    </xf>
    <xf numFmtId="0" fontId="22" fillId="30" borderId="10" xfId="0" applyFont="1" applyFill="1" applyBorder="1" applyAlignment="1">
      <alignment horizontal="center" vertical="top" wrapText="1"/>
    </xf>
    <xf numFmtId="0" fontId="23" fillId="30" borderId="10" xfId="0" applyFont="1" applyFill="1" applyBorder="1" applyAlignment="1">
      <alignment/>
    </xf>
    <xf numFmtId="0" fontId="22" fillId="30" borderId="10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31" fillId="0" borderId="0" xfId="0" applyFont="1" applyAlignment="1">
      <alignment horizontal="right" wrapText="1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3" fontId="33" fillId="0" borderId="18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3" fontId="33" fillId="0" borderId="20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0" fontId="33" fillId="0" borderId="23" xfId="0" applyFont="1" applyBorder="1" applyAlignment="1">
      <alignment/>
    </xf>
    <xf numFmtId="3" fontId="33" fillId="0" borderId="10" xfId="0" applyNumberFormat="1" applyFont="1" applyBorder="1" applyAlignment="1">
      <alignment/>
    </xf>
    <xf numFmtId="3" fontId="33" fillId="0" borderId="24" xfId="0" applyNumberFormat="1" applyFont="1" applyBorder="1" applyAlignment="1">
      <alignment/>
    </xf>
    <xf numFmtId="3" fontId="33" fillId="0" borderId="25" xfId="0" applyNumberFormat="1" applyFont="1" applyBorder="1" applyAlignment="1">
      <alignment/>
    </xf>
    <xf numFmtId="3" fontId="33" fillId="0" borderId="26" xfId="0" applyNumberFormat="1" applyFont="1" applyBorder="1" applyAlignment="1">
      <alignment/>
    </xf>
    <xf numFmtId="0" fontId="34" fillId="0" borderId="23" xfId="0" applyFont="1" applyBorder="1" applyAlignment="1">
      <alignment/>
    </xf>
    <xf numFmtId="3" fontId="34" fillId="0" borderId="10" xfId="0" applyNumberFormat="1" applyFont="1" applyBorder="1" applyAlignment="1">
      <alignment/>
    </xf>
    <xf numFmtId="3" fontId="34" fillId="0" borderId="24" xfId="0" applyNumberFormat="1" applyFont="1" applyBorder="1" applyAlignment="1">
      <alignment/>
    </xf>
    <xf numFmtId="3" fontId="34" fillId="0" borderId="25" xfId="0" applyNumberFormat="1" applyFont="1" applyBorder="1" applyAlignment="1">
      <alignment/>
    </xf>
    <xf numFmtId="3" fontId="34" fillId="0" borderId="26" xfId="0" applyNumberFormat="1" applyFont="1" applyBorder="1" applyAlignment="1">
      <alignment/>
    </xf>
    <xf numFmtId="3" fontId="34" fillId="0" borderId="22" xfId="0" applyNumberFormat="1" applyFont="1" applyBorder="1" applyAlignment="1">
      <alignment/>
    </xf>
    <xf numFmtId="0" fontId="34" fillId="0" borderId="27" xfId="0" applyFont="1" applyBorder="1" applyAlignment="1">
      <alignment/>
    </xf>
    <xf numFmtId="3" fontId="34" fillId="0" borderId="28" xfId="0" applyNumberFormat="1" applyFont="1" applyBorder="1" applyAlignment="1">
      <alignment/>
    </xf>
    <xf numFmtId="3" fontId="34" fillId="0" borderId="29" xfId="0" applyNumberFormat="1" applyFont="1" applyBorder="1" applyAlignment="1">
      <alignment/>
    </xf>
    <xf numFmtId="3" fontId="34" fillId="0" borderId="30" xfId="0" applyNumberFormat="1" applyFont="1" applyBorder="1" applyAlignment="1">
      <alignment/>
    </xf>
    <xf numFmtId="3" fontId="34" fillId="0" borderId="31" xfId="0" applyNumberFormat="1" applyFont="1" applyBorder="1" applyAlignment="1">
      <alignment/>
    </xf>
    <xf numFmtId="0" fontId="34" fillId="31" borderId="11" xfId="0" applyFont="1" applyFill="1" applyBorder="1" applyAlignment="1">
      <alignment/>
    </xf>
    <xf numFmtId="3" fontId="34" fillId="31" borderId="12" xfId="0" applyNumberFormat="1" applyFont="1" applyFill="1" applyBorder="1" applyAlignment="1">
      <alignment/>
    </xf>
    <xf numFmtId="3" fontId="34" fillId="31" borderId="13" xfId="0" applyNumberFormat="1" applyFont="1" applyFill="1" applyBorder="1" applyAlignment="1">
      <alignment/>
    </xf>
    <xf numFmtId="3" fontId="34" fillId="31" borderId="14" xfId="0" applyNumberFormat="1" applyFont="1" applyFill="1" applyBorder="1" applyAlignment="1">
      <alignment/>
    </xf>
    <xf numFmtId="3" fontId="34" fillId="31" borderId="15" xfId="0" applyNumberFormat="1" applyFont="1" applyFill="1" applyBorder="1" applyAlignment="1">
      <alignment/>
    </xf>
    <xf numFmtId="3" fontId="34" fillId="31" borderId="16" xfId="0" applyNumberFormat="1" applyFont="1" applyFill="1" applyBorder="1" applyAlignment="1">
      <alignment/>
    </xf>
    <xf numFmtId="3" fontId="33" fillId="0" borderId="32" xfId="0" applyNumberFormat="1" applyFont="1" applyBorder="1" applyAlignment="1">
      <alignment/>
    </xf>
    <xf numFmtId="3" fontId="34" fillId="0" borderId="32" xfId="0" applyNumberFormat="1" applyFont="1" applyBorder="1" applyAlignment="1">
      <alignment/>
    </xf>
    <xf numFmtId="3" fontId="34" fillId="0" borderId="33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34" xfId="55" applyFont="1" applyBorder="1" applyAlignment="1">
      <alignment horizontal="center" vertical="center"/>
      <protection/>
    </xf>
    <xf numFmtId="0" fontId="37" fillId="0" borderId="35" xfId="55" applyFont="1" applyBorder="1" applyAlignment="1">
      <alignment horizontal="center" vertical="center"/>
      <protection/>
    </xf>
    <xf numFmtId="0" fontId="38" fillId="0" borderId="36" xfId="55" applyFont="1" applyBorder="1" applyAlignment="1">
      <alignment horizontal="center" vertical="center" wrapText="1"/>
      <protection/>
    </xf>
    <xf numFmtId="0" fontId="38" fillId="0" borderId="37" xfId="55" applyFont="1" applyBorder="1" applyAlignment="1">
      <alignment horizontal="center" vertical="center"/>
      <protection/>
    </xf>
    <xf numFmtId="0" fontId="38" fillId="0" borderId="38" xfId="55" applyFont="1" applyBorder="1" applyAlignment="1">
      <alignment horizontal="center" vertical="center" wrapText="1"/>
      <protection/>
    </xf>
    <xf numFmtId="49" fontId="38" fillId="0" borderId="39" xfId="0" applyNumberFormat="1" applyFont="1" applyBorder="1" applyAlignment="1">
      <alignment horizontal="center" vertical="center" wrapText="1"/>
    </xf>
    <xf numFmtId="49" fontId="38" fillId="0" borderId="40" xfId="0" applyNumberFormat="1" applyFont="1" applyBorder="1" applyAlignment="1">
      <alignment horizontal="center" vertical="center" wrapText="1"/>
    </xf>
    <xf numFmtId="49" fontId="38" fillId="0" borderId="41" xfId="0" applyNumberFormat="1" applyFont="1" applyBorder="1" applyAlignment="1">
      <alignment horizontal="center" vertical="center" wrapText="1"/>
    </xf>
    <xf numFmtId="49" fontId="38" fillId="0" borderId="42" xfId="0" applyNumberFormat="1" applyFont="1" applyBorder="1" applyAlignment="1">
      <alignment horizontal="center" vertical="center" wrapText="1"/>
    </xf>
    <xf numFmtId="49" fontId="38" fillId="0" borderId="43" xfId="0" applyNumberFormat="1" applyFont="1" applyBorder="1" applyAlignment="1">
      <alignment horizontal="center" vertical="center" wrapText="1"/>
    </xf>
    <xf numFmtId="49" fontId="38" fillId="0" borderId="44" xfId="0" applyNumberFormat="1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38" fillId="0" borderId="45" xfId="55" applyFont="1" applyBorder="1" applyAlignment="1">
      <alignment horizontal="center" vertical="center" wrapText="1"/>
      <protection/>
    </xf>
    <xf numFmtId="0" fontId="38" fillId="0" borderId="46" xfId="55" applyFont="1" applyBorder="1" applyAlignment="1">
      <alignment horizontal="center" vertical="center"/>
      <protection/>
    </xf>
    <xf numFmtId="0" fontId="38" fillId="0" borderId="47" xfId="55" applyFont="1" applyBorder="1" applyAlignment="1">
      <alignment horizontal="center" vertical="center" wrapText="1"/>
      <protection/>
    </xf>
    <xf numFmtId="49" fontId="38" fillId="0" borderId="48" xfId="0" applyNumberFormat="1" applyFont="1" applyBorder="1" applyAlignment="1">
      <alignment horizontal="center" vertical="center" wrapText="1"/>
    </xf>
    <xf numFmtId="49" fontId="38" fillId="0" borderId="45" xfId="0" applyNumberFormat="1" applyFont="1" applyBorder="1" applyAlignment="1">
      <alignment horizontal="center" vertical="center" wrapText="1"/>
    </xf>
    <xf numFmtId="49" fontId="38" fillId="0" borderId="49" xfId="0" applyNumberFormat="1" applyFont="1" applyBorder="1" applyAlignment="1">
      <alignment horizontal="center" vertical="center" wrapText="1"/>
    </xf>
    <xf numFmtId="49" fontId="38" fillId="0" borderId="46" xfId="0" applyNumberFormat="1" applyFont="1" applyBorder="1" applyAlignment="1">
      <alignment horizontal="center" vertical="center" wrapText="1"/>
    </xf>
    <xf numFmtId="49" fontId="38" fillId="0" borderId="50" xfId="0" applyNumberFormat="1" applyFont="1" applyBorder="1" applyAlignment="1">
      <alignment horizontal="center" vertical="center" wrapText="1"/>
    </xf>
    <xf numFmtId="49" fontId="38" fillId="0" borderId="51" xfId="0" applyNumberFormat="1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39" fillId="0" borderId="17" xfId="55" applyFont="1" applyBorder="1" applyAlignment="1">
      <alignment horizontal="center" vertical="center"/>
      <protection/>
    </xf>
    <xf numFmtId="0" fontId="39" fillId="0" borderId="18" xfId="55" applyFont="1" applyBorder="1" applyAlignment="1">
      <alignment horizontal="center" vertical="center"/>
      <protection/>
    </xf>
    <xf numFmtId="0" fontId="39" fillId="0" borderId="21" xfId="55" applyFont="1" applyBorder="1" applyAlignment="1">
      <alignment horizontal="center" vertical="center"/>
      <protection/>
    </xf>
    <xf numFmtId="0" fontId="39" fillId="0" borderId="52" xfId="55" applyFont="1" applyBorder="1" applyAlignment="1">
      <alignment horizontal="center" vertical="center"/>
      <protection/>
    </xf>
    <xf numFmtId="0" fontId="39" fillId="0" borderId="53" xfId="55" applyFont="1" applyBorder="1" applyAlignment="1">
      <alignment horizontal="center" vertical="center"/>
      <protection/>
    </xf>
    <xf numFmtId="0" fontId="65" fillId="0" borderId="52" xfId="55" applyFont="1" applyBorder="1" applyAlignment="1">
      <alignment horizontal="center" vertical="center"/>
      <protection/>
    </xf>
    <xf numFmtId="0" fontId="65" fillId="0" borderId="18" xfId="55" applyFont="1" applyBorder="1" applyAlignment="1">
      <alignment horizontal="center" vertical="center"/>
      <protection/>
    </xf>
    <xf numFmtId="0" fontId="65" fillId="0" borderId="53" xfId="55" applyFont="1" applyBorder="1" applyAlignment="1">
      <alignment horizontal="center" vertical="center"/>
      <protection/>
    </xf>
    <xf numFmtId="0" fontId="39" fillId="0" borderId="23" xfId="55" applyFont="1" applyBorder="1" applyAlignment="1">
      <alignment horizontal="right" vertical="center"/>
      <protection/>
    </xf>
    <xf numFmtId="0" fontId="39" fillId="0" borderId="10" xfId="55" applyFont="1" applyBorder="1" applyAlignment="1">
      <alignment horizontal="left" vertical="center" wrapText="1"/>
      <protection/>
    </xf>
    <xf numFmtId="0" fontId="39" fillId="0" borderId="26" xfId="55" applyFont="1" applyBorder="1" applyAlignment="1">
      <alignment horizontal="left" vertical="center"/>
      <protection/>
    </xf>
    <xf numFmtId="3" fontId="39" fillId="0" borderId="54" xfId="55" applyNumberFormat="1" applyFont="1" applyBorder="1" applyAlignment="1">
      <alignment vertical="center"/>
      <protection/>
    </xf>
    <xf numFmtId="3" fontId="39" fillId="0" borderId="10" xfId="55" applyNumberFormat="1" applyFont="1" applyBorder="1" applyAlignment="1">
      <alignment vertical="center"/>
      <protection/>
    </xf>
    <xf numFmtId="3" fontId="39" fillId="0" borderId="55" xfId="55" applyNumberFormat="1" applyFont="1" applyBorder="1" applyAlignment="1">
      <alignment vertical="center"/>
      <protection/>
    </xf>
    <xf numFmtId="3" fontId="39" fillId="0" borderId="26" xfId="55" applyNumberFormat="1" applyFont="1" applyBorder="1" applyAlignment="1">
      <alignment vertical="center"/>
      <protection/>
    </xf>
    <xf numFmtId="0" fontId="40" fillId="0" borderId="23" xfId="55" applyFont="1" applyBorder="1" applyAlignment="1">
      <alignment horizontal="right" vertical="center"/>
      <protection/>
    </xf>
    <xf numFmtId="0" fontId="40" fillId="0" borderId="10" xfId="55" applyFont="1" applyBorder="1" applyAlignment="1">
      <alignment horizontal="left" vertical="center"/>
      <protection/>
    </xf>
    <xf numFmtId="0" fontId="40" fillId="0" borderId="26" xfId="55" applyFont="1" applyBorder="1" applyAlignment="1">
      <alignment horizontal="left" vertical="center"/>
      <protection/>
    </xf>
    <xf numFmtId="3" fontId="40" fillId="0" borderId="54" xfId="55" applyNumberFormat="1" applyFont="1" applyBorder="1" applyAlignment="1">
      <alignment vertical="center"/>
      <protection/>
    </xf>
    <xf numFmtId="3" fontId="40" fillId="0" borderId="10" xfId="55" applyNumberFormat="1" applyFont="1" applyBorder="1" applyAlignment="1">
      <alignment vertical="center"/>
      <protection/>
    </xf>
    <xf numFmtId="3" fontId="40" fillId="0" borderId="55" xfId="55" applyNumberFormat="1" applyFont="1" applyBorder="1" applyAlignment="1">
      <alignment vertical="center"/>
      <protection/>
    </xf>
    <xf numFmtId="3" fontId="40" fillId="32" borderId="54" xfId="55" applyNumberFormat="1" applyFont="1" applyFill="1" applyBorder="1" applyAlignment="1">
      <alignment vertical="center"/>
      <protection/>
    </xf>
    <xf numFmtId="3" fontId="40" fillId="0" borderId="26" xfId="55" applyNumberFormat="1" applyFont="1" applyBorder="1" applyAlignment="1">
      <alignment vertical="center"/>
      <protection/>
    </xf>
    <xf numFmtId="3" fontId="40" fillId="0" borderId="56" xfId="55" applyNumberFormat="1" applyFont="1" applyBorder="1" applyAlignment="1">
      <alignment vertical="center"/>
      <protection/>
    </xf>
    <xf numFmtId="3" fontId="40" fillId="32" borderId="10" xfId="55" applyNumberFormat="1" applyFont="1" applyFill="1" applyBorder="1" applyAlignment="1">
      <alignment vertical="center"/>
      <protection/>
    </xf>
    <xf numFmtId="0" fontId="41" fillId="0" borderId="23" xfId="55" applyFont="1" applyBorder="1" applyAlignment="1">
      <alignment horizontal="right" vertical="center"/>
      <protection/>
    </xf>
    <xf numFmtId="0" fontId="41" fillId="0" borderId="10" xfId="55" applyFont="1" applyBorder="1" applyAlignment="1">
      <alignment horizontal="left" vertical="center" wrapText="1"/>
      <protection/>
    </xf>
    <xf numFmtId="0" fontId="41" fillId="0" borderId="26" xfId="55" applyFont="1" applyBorder="1" applyAlignment="1">
      <alignment horizontal="left" vertical="center"/>
      <protection/>
    </xf>
    <xf numFmtId="3" fontId="41" fillId="33" borderId="54" xfId="55" applyNumberFormat="1" applyFont="1" applyFill="1" applyBorder="1" applyAlignment="1">
      <alignment vertical="center"/>
      <protection/>
    </xf>
    <xf numFmtId="3" fontId="41" fillId="33" borderId="10" xfId="55" applyNumberFormat="1" applyFont="1" applyFill="1" applyBorder="1" applyAlignment="1">
      <alignment vertical="center"/>
      <protection/>
    </xf>
    <xf numFmtId="3" fontId="41" fillId="33" borderId="55" xfId="55" applyNumberFormat="1" applyFont="1" applyFill="1" applyBorder="1" applyAlignment="1">
      <alignment vertical="center"/>
      <protection/>
    </xf>
    <xf numFmtId="3" fontId="41" fillId="33" borderId="26" xfId="55" applyNumberFormat="1" applyFont="1" applyFill="1" applyBorder="1" applyAlignment="1">
      <alignment vertical="center"/>
      <protection/>
    </xf>
    <xf numFmtId="0" fontId="39" fillId="0" borderId="23" xfId="55" applyFont="1" applyBorder="1" applyAlignment="1" quotePrefix="1">
      <alignment horizontal="right" vertical="center"/>
      <protection/>
    </xf>
    <xf numFmtId="0" fontId="26" fillId="0" borderId="10" xfId="55" applyFont="1" applyBorder="1" applyAlignment="1">
      <alignment horizontal="left" vertical="center" wrapText="1"/>
      <protection/>
    </xf>
    <xf numFmtId="3" fontId="39" fillId="0" borderId="54" xfId="55" applyNumberFormat="1" applyFont="1" applyBorder="1" applyAlignment="1" quotePrefix="1">
      <alignment horizontal="right" vertical="center"/>
      <protection/>
    </xf>
    <xf numFmtId="3" fontId="39" fillId="0" borderId="10" xfId="55" applyNumberFormat="1" applyFont="1" applyBorder="1" applyAlignment="1" quotePrefix="1">
      <alignment horizontal="right" vertical="center"/>
      <protection/>
    </xf>
    <xf numFmtId="3" fontId="39" fillId="0" borderId="55" xfId="55" applyNumberFormat="1" applyFont="1" applyBorder="1" applyAlignment="1" quotePrefix="1">
      <alignment horizontal="right" vertical="center"/>
      <protection/>
    </xf>
    <xf numFmtId="3" fontId="39" fillId="0" borderId="26" xfId="55" applyNumberFormat="1" applyFont="1" applyBorder="1" applyAlignment="1" quotePrefix="1">
      <alignment horizontal="right" vertical="center"/>
      <protection/>
    </xf>
    <xf numFmtId="3" fontId="26" fillId="0" borderId="54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3" fontId="26" fillId="0" borderId="55" xfId="0" applyNumberFormat="1" applyFont="1" applyBorder="1" applyAlignment="1">
      <alignment horizontal="right" vertical="center"/>
    </xf>
    <xf numFmtId="0" fontId="40" fillId="0" borderId="23" xfId="55" applyFont="1" applyBorder="1" applyAlignment="1" quotePrefix="1">
      <alignment horizontal="right" vertical="center"/>
      <protection/>
    </xf>
    <xf numFmtId="0" fontId="42" fillId="0" borderId="10" xfId="55" applyFont="1" applyBorder="1" applyAlignment="1">
      <alignment horizontal="left" vertical="center" wrapText="1"/>
      <protection/>
    </xf>
    <xf numFmtId="3" fontId="40" fillId="0" borderId="54" xfId="55" applyNumberFormat="1" applyFont="1" applyBorder="1" applyAlignment="1" quotePrefix="1">
      <alignment horizontal="right" vertical="center"/>
      <protection/>
    </xf>
    <xf numFmtId="3" fontId="40" fillId="0" borderId="55" xfId="55" applyNumberFormat="1" applyFont="1" applyBorder="1" applyAlignment="1" quotePrefix="1">
      <alignment horizontal="right" vertical="center"/>
      <protection/>
    </xf>
    <xf numFmtId="3" fontId="40" fillId="0" borderId="10" xfId="55" applyNumberFormat="1" applyFont="1" applyBorder="1" applyAlignment="1" quotePrefix="1">
      <alignment horizontal="right" vertical="center"/>
      <protection/>
    </xf>
    <xf numFmtId="3" fontId="40" fillId="0" borderId="26" xfId="55" applyNumberFormat="1" applyFont="1" applyBorder="1" applyAlignment="1" quotePrefix="1">
      <alignment horizontal="right" vertical="center"/>
      <protection/>
    </xf>
    <xf numFmtId="3" fontId="42" fillId="0" borderId="54" xfId="0" applyNumberFormat="1" applyFont="1" applyBorder="1" applyAlignment="1">
      <alignment horizontal="right" vertical="center"/>
    </xf>
    <xf numFmtId="3" fontId="42" fillId="0" borderId="10" xfId="0" applyNumberFormat="1" applyFont="1" applyBorder="1" applyAlignment="1">
      <alignment horizontal="right" vertical="center"/>
    </xf>
    <xf numFmtId="3" fontId="42" fillId="0" borderId="55" xfId="0" applyNumberFormat="1" applyFont="1" applyBorder="1" applyAlignment="1">
      <alignment horizontal="right" vertical="center"/>
    </xf>
    <xf numFmtId="0" fontId="41" fillId="0" borderId="23" xfId="55" applyFont="1" applyBorder="1" applyAlignment="1" quotePrefix="1">
      <alignment horizontal="right" vertical="center"/>
      <protection/>
    </xf>
    <xf numFmtId="0" fontId="27" fillId="0" borderId="10" xfId="55" applyFont="1" applyBorder="1" applyAlignment="1">
      <alignment horizontal="left" vertical="center" wrapText="1"/>
      <protection/>
    </xf>
    <xf numFmtId="3" fontId="41" fillId="33" borderId="54" xfId="55" applyNumberFormat="1" applyFont="1" applyFill="1" applyBorder="1" applyAlignment="1">
      <alignment horizontal="right" vertical="center"/>
      <protection/>
    </xf>
    <xf numFmtId="3" fontId="41" fillId="33" borderId="10" xfId="55" applyNumberFormat="1" applyFont="1" applyFill="1" applyBorder="1" applyAlignment="1">
      <alignment horizontal="right" vertical="center"/>
      <protection/>
    </xf>
    <xf numFmtId="3" fontId="41" fillId="33" borderId="55" xfId="55" applyNumberFormat="1" applyFont="1" applyFill="1" applyBorder="1" applyAlignment="1">
      <alignment horizontal="right" vertical="center"/>
      <protection/>
    </xf>
    <xf numFmtId="3" fontId="41" fillId="33" borderId="26" xfId="55" applyNumberFormat="1" applyFont="1" applyFill="1" applyBorder="1" applyAlignment="1">
      <alignment horizontal="right" vertical="center"/>
      <protection/>
    </xf>
    <xf numFmtId="3" fontId="27" fillId="33" borderId="54" xfId="0" applyNumberFormat="1" applyFont="1" applyFill="1" applyBorder="1" applyAlignment="1">
      <alignment horizontal="right" vertical="center"/>
    </xf>
    <xf numFmtId="3" fontId="27" fillId="33" borderId="10" xfId="0" applyNumberFormat="1" applyFont="1" applyFill="1" applyBorder="1" applyAlignment="1">
      <alignment horizontal="right" vertical="center"/>
    </xf>
    <xf numFmtId="3" fontId="27" fillId="33" borderId="55" xfId="0" applyNumberFormat="1" applyFont="1" applyFill="1" applyBorder="1" applyAlignment="1">
      <alignment horizontal="right" vertical="center"/>
    </xf>
    <xf numFmtId="0" fontId="38" fillId="34" borderId="23" xfId="0" applyFont="1" applyFill="1" applyBorder="1" applyAlignment="1" quotePrefix="1">
      <alignment horizontal="right" vertical="center"/>
    </xf>
    <xf numFmtId="0" fontId="22" fillId="34" borderId="10" xfId="0" applyFont="1" applyFill="1" applyBorder="1" applyAlignment="1">
      <alignment vertical="center" wrapText="1"/>
    </xf>
    <xf numFmtId="0" fontId="38" fillId="34" borderId="26" xfId="0" applyFont="1" applyFill="1" applyBorder="1" applyAlignment="1">
      <alignment vertical="center" wrapText="1"/>
    </xf>
    <xf numFmtId="3" fontId="38" fillId="34" borderId="54" xfId="0" applyNumberFormat="1" applyFont="1" applyFill="1" applyBorder="1" applyAlignment="1">
      <alignment horizontal="right" vertical="center"/>
    </xf>
    <xf numFmtId="3" fontId="38" fillId="34" borderId="10" xfId="0" applyNumberFormat="1" applyFont="1" applyFill="1" applyBorder="1" applyAlignment="1">
      <alignment horizontal="right" vertical="center"/>
    </xf>
    <xf numFmtId="3" fontId="38" fillId="34" borderId="55" xfId="0" applyNumberFormat="1" applyFont="1" applyFill="1" applyBorder="1" applyAlignment="1">
      <alignment horizontal="right" vertical="center"/>
    </xf>
    <xf numFmtId="3" fontId="38" fillId="34" borderId="26" xfId="0" applyNumberFormat="1" applyFont="1" applyFill="1" applyBorder="1" applyAlignment="1">
      <alignment horizontal="right" vertical="center"/>
    </xf>
    <xf numFmtId="3" fontId="38" fillId="34" borderId="54" xfId="0" applyNumberFormat="1" applyFont="1" applyFill="1" applyBorder="1" applyAlignment="1" quotePrefix="1">
      <alignment horizontal="right" vertical="center"/>
    </xf>
    <xf numFmtId="3" fontId="38" fillId="34" borderId="10" xfId="0" applyNumberFormat="1" applyFont="1" applyFill="1" applyBorder="1" applyAlignment="1" quotePrefix="1">
      <alignment horizontal="right" vertical="center"/>
    </xf>
    <xf numFmtId="3" fontId="38" fillId="34" borderId="55" xfId="0" applyNumberFormat="1" applyFont="1" applyFill="1" applyBorder="1" applyAlignment="1" quotePrefix="1">
      <alignment horizontal="right" vertical="center"/>
    </xf>
    <xf numFmtId="0" fontId="39" fillId="0" borderId="57" xfId="55" applyFont="1" applyBorder="1" applyAlignment="1" quotePrefix="1">
      <alignment horizontal="right" vertical="center"/>
      <protection/>
    </xf>
    <xf numFmtId="0" fontId="39" fillId="0" borderId="26" xfId="55" applyFont="1" applyBorder="1" applyAlignment="1">
      <alignment horizontal="left" vertical="center" wrapText="1"/>
      <protection/>
    </xf>
    <xf numFmtId="3" fontId="26" fillId="0" borderId="26" xfId="0" applyNumberFormat="1" applyFont="1" applyBorder="1" applyAlignment="1">
      <alignment horizontal="right" vertical="center"/>
    </xf>
    <xf numFmtId="0" fontId="43" fillId="0" borderId="57" xfId="55" applyFont="1" applyBorder="1" applyAlignment="1" quotePrefix="1">
      <alignment horizontal="right" vertical="center"/>
      <protection/>
    </xf>
    <xf numFmtId="0" fontId="44" fillId="0" borderId="10" xfId="55" applyFont="1" applyBorder="1" applyAlignment="1">
      <alignment vertical="center" wrapText="1"/>
      <protection/>
    </xf>
    <xf numFmtId="0" fontId="43" fillId="0" borderId="26" xfId="55" applyFont="1" applyBorder="1" applyAlignment="1">
      <alignment horizontal="left" vertical="center" wrapText="1"/>
      <protection/>
    </xf>
    <xf numFmtId="3" fontId="44" fillId="0" borderId="54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3" fontId="44" fillId="0" borderId="55" xfId="0" applyNumberFormat="1" applyFont="1" applyBorder="1" applyAlignment="1">
      <alignment horizontal="right" vertical="center"/>
    </xf>
    <xf numFmtId="3" fontId="44" fillId="0" borderId="26" xfId="0" applyNumberFormat="1" applyFont="1" applyBorder="1" applyAlignment="1">
      <alignment horizontal="right" vertical="center"/>
    </xf>
    <xf numFmtId="0" fontId="42" fillId="0" borderId="10" xfId="55" applyFont="1" applyBorder="1" applyAlignment="1">
      <alignment vertical="center" wrapText="1"/>
      <protection/>
    </xf>
    <xf numFmtId="3" fontId="42" fillId="0" borderId="26" xfId="0" applyNumberFormat="1" applyFont="1" applyBorder="1" applyAlignment="1">
      <alignment horizontal="right" vertical="center"/>
    </xf>
    <xf numFmtId="0" fontId="40" fillId="0" borderId="57" xfId="55" applyFont="1" applyBorder="1" applyAlignment="1" quotePrefix="1">
      <alignment horizontal="right" vertical="center"/>
      <protection/>
    </xf>
    <xf numFmtId="0" fontId="42" fillId="0" borderId="26" xfId="55" applyFont="1" applyBorder="1" applyAlignment="1">
      <alignment vertical="center" wrapText="1"/>
      <protection/>
    </xf>
    <xf numFmtId="0" fontId="40" fillId="0" borderId="26" xfId="55" applyFont="1" applyBorder="1" applyAlignment="1">
      <alignment horizontal="left" vertical="center" wrapText="1"/>
      <protection/>
    </xf>
    <xf numFmtId="3" fontId="66" fillId="0" borderId="54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3" fontId="66" fillId="0" borderId="55" xfId="0" applyNumberFormat="1" applyFont="1" applyBorder="1" applyAlignment="1">
      <alignment horizontal="right" vertical="center"/>
    </xf>
    <xf numFmtId="0" fontId="27" fillId="0" borderId="26" xfId="55" applyFont="1" applyBorder="1" applyAlignment="1">
      <alignment vertical="center" wrapText="1"/>
      <protection/>
    </xf>
    <xf numFmtId="0" fontId="41" fillId="0" borderId="26" xfId="55" applyFont="1" applyBorder="1" applyAlignment="1">
      <alignment horizontal="left" vertical="center" wrapText="1"/>
      <protection/>
    </xf>
    <xf numFmtId="3" fontId="41" fillId="0" borderId="54" xfId="55" applyNumberFormat="1" applyFont="1" applyBorder="1" applyAlignment="1" quotePrefix="1">
      <alignment horizontal="right" vertical="center"/>
      <protection/>
    </xf>
    <xf numFmtId="3" fontId="41" fillId="0" borderId="10" xfId="55" applyNumberFormat="1" applyFont="1" applyBorder="1" applyAlignment="1" quotePrefix="1">
      <alignment horizontal="right" vertical="center"/>
      <protection/>
    </xf>
    <xf numFmtId="3" fontId="41" fillId="0" borderId="55" xfId="55" applyNumberFormat="1" applyFont="1" applyBorder="1" applyAlignment="1" quotePrefix="1">
      <alignment horizontal="right" vertical="center"/>
      <protection/>
    </xf>
    <xf numFmtId="3" fontId="41" fillId="0" borderId="26" xfId="55" applyNumberFormat="1" applyFont="1" applyBorder="1" applyAlignment="1" quotePrefix="1">
      <alignment horizontal="right" vertical="center"/>
      <protection/>
    </xf>
    <xf numFmtId="0" fontId="41" fillId="0" borderId="57" xfId="55" applyFont="1" applyBorder="1" applyAlignment="1" quotePrefix="1">
      <alignment horizontal="right" vertical="center"/>
      <protection/>
    </xf>
    <xf numFmtId="3" fontId="27" fillId="0" borderId="54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right" vertical="center"/>
    </xf>
    <xf numFmtId="3" fontId="27" fillId="0" borderId="55" xfId="0" applyNumberFormat="1" applyFont="1" applyBorder="1" applyAlignment="1">
      <alignment horizontal="right" vertical="center"/>
    </xf>
    <xf numFmtId="0" fontId="45" fillId="35" borderId="11" xfId="55" applyFont="1" applyFill="1" applyBorder="1" applyAlignment="1" quotePrefix="1">
      <alignment horizontal="right" vertical="center"/>
      <protection/>
    </xf>
    <xf numFmtId="0" fontId="45" fillId="35" borderId="12" xfId="55" applyFont="1" applyFill="1" applyBorder="1" applyAlignment="1">
      <alignment horizontal="left" vertical="center" wrapText="1"/>
      <protection/>
    </xf>
    <xf numFmtId="0" fontId="45" fillId="35" borderId="15" xfId="55" applyFont="1" applyFill="1" applyBorder="1" applyAlignment="1">
      <alignment horizontal="left" vertical="center" wrapText="1"/>
      <protection/>
    </xf>
    <xf numFmtId="3" fontId="45" fillId="35" borderId="58" xfId="55" applyNumberFormat="1" applyFont="1" applyFill="1" applyBorder="1" applyAlignment="1" quotePrefix="1">
      <alignment horizontal="right" vertical="center"/>
      <protection/>
    </xf>
    <xf numFmtId="3" fontId="45" fillId="35" borderId="59" xfId="55" applyNumberFormat="1" applyFont="1" applyFill="1" applyBorder="1" applyAlignment="1" quotePrefix="1">
      <alignment horizontal="right" vertical="center"/>
      <protection/>
    </xf>
    <xf numFmtId="3" fontId="45" fillId="35" borderId="60" xfId="55" applyNumberFormat="1" applyFont="1" applyFill="1" applyBorder="1" applyAlignment="1" quotePrefix="1">
      <alignment horizontal="right" vertical="center"/>
      <protection/>
    </xf>
    <xf numFmtId="3" fontId="45" fillId="35" borderId="61" xfId="55" applyNumberFormat="1" applyFont="1" applyFill="1" applyBorder="1" applyAlignment="1" quotePrefix="1">
      <alignment horizontal="right" vertical="center"/>
      <protection/>
    </xf>
    <xf numFmtId="3" fontId="45" fillId="35" borderId="62" xfId="55" applyNumberFormat="1" applyFont="1" applyFill="1" applyBorder="1" applyAlignment="1" quotePrefix="1">
      <alignment horizontal="right" vertical="center"/>
      <protection/>
    </xf>
    <xf numFmtId="3" fontId="45" fillId="35" borderId="63" xfId="55" applyNumberFormat="1" applyFont="1" applyFill="1" applyBorder="1" applyAlignment="1" quotePrefix="1">
      <alignment horizontal="right" vertical="center"/>
      <protection/>
    </xf>
    <xf numFmtId="3" fontId="45" fillId="35" borderId="64" xfId="55" applyNumberFormat="1" applyFont="1" applyFill="1" applyBorder="1" applyAlignment="1" quotePrefix="1">
      <alignment horizontal="right" vertical="center"/>
      <protection/>
    </xf>
    <xf numFmtId="0" fontId="39" fillId="0" borderId="65" xfId="0" applyFont="1" applyBorder="1" applyAlignment="1" quotePrefix="1">
      <alignment horizontal="center" vertical="center"/>
    </xf>
    <xf numFmtId="0" fontId="39" fillId="0" borderId="66" xfId="0" applyFont="1" applyBorder="1" applyAlignment="1" quotePrefix="1">
      <alignment horizontal="center" vertical="center"/>
    </xf>
    <xf numFmtId="0" fontId="39" fillId="0" borderId="0" xfId="0" applyFont="1" applyAlignment="1" quotePrefix="1">
      <alignment horizontal="center" vertical="center"/>
    </xf>
    <xf numFmtId="0" fontId="39" fillId="0" borderId="67" xfId="0" applyFont="1" applyBorder="1" applyAlignment="1" quotePrefix="1">
      <alignment horizontal="center" vertical="center"/>
    </xf>
    <xf numFmtId="0" fontId="39" fillId="0" borderId="0" xfId="0" applyFont="1" applyAlignment="1" quotePrefix="1">
      <alignment horizontal="center" vertical="center"/>
    </xf>
    <xf numFmtId="0" fontId="39" fillId="0" borderId="17" xfId="0" applyFont="1" applyBorder="1" applyAlignment="1" quotePrefix="1">
      <alignment horizontal="right" vertical="center"/>
    </xf>
    <xf numFmtId="0" fontId="39" fillId="0" borderId="18" xfId="0" applyFont="1" applyBorder="1" applyAlignment="1">
      <alignment/>
    </xf>
    <xf numFmtId="0" fontId="39" fillId="0" borderId="21" xfId="0" applyFont="1" applyBorder="1" applyAlignment="1">
      <alignment vertical="center"/>
    </xf>
    <xf numFmtId="3" fontId="39" fillId="0" borderId="39" xfId="0" applyNumberFormat="1" applyFont="1" applyBorder="1" applyAlignment="1" quotePrefix="1">
      <alignment horizontal="right" vertical="center"/>
    </xf>
    <xf numFmtId="3" fontId="39" fillId="32" borderId="42" xfId="0" applyNumberFormat="1" applyFont="1" applyFill="1" applyBorder="1" applyAlignment="1" quotePrefix="1">
      <alignment horizontal="right" vertical="center"/>
    </xf>
    <xf numFmtId="3" fontId="39" fillId="0" borderId="68" xfId="0" applyNumberFormat="1" applyFont="1" applyBorder="1" applyAlignment="1" quotePrefix="1">
      <alignment horizontal="right" vertical="center"/>
    </xf>
    <xf numFmtId="3" fontId="39" fillId="0" borderId="69" xfId="0" applyNumberFormat="1" applyFont="1" applyBorder="1" applyAlignment="1" quotePrefix="1">
      <alignment horizontal="right" vertical="center"/>
    </xf>
    <xf numFmtId="3" fontId="39" fillId="0" borderId="70" xfId="0" applyNumberFormat="1" applyFont="1" applyBorder="1" applyAlignment="1" quotePrefix="1">
      <alignment horizontal="right" vertical="center"/>
    </xf>
    <xf numFmtId="3" fontId="39" fillId="0" borderId="43" xfId="0" applyNumberFormat="1" applyFont="1" applyBorder="1" applyAlignment="1" quotePrefix="1">
      <alignment horizontal="right" vertical="center"/>
    </xf>
    <xf numFmtId="3" fontId="26" fillId="0" borderId="39" xfId="0" applyNumberFormat="1" applyFont="1" applyBorder="1" applyAlignment="1">
      <alignment horizontal="right" vertical="center"/>
    </xf>
    <xf numFmtId="3" fontId="26" fillId="0" borderId="42" xfId="0" applyNumberFormat="1" applyFont="1" applyBorder="1" applyAlignment="1">
      <alignment horizontal="right" vertical="center"/>
    </xf>
    <xf numFmtId="3" fontId="26" fillId="0" borderId="43" xfId="0" applyNumberFormat="1" applyFont="1" applyBorder="1" applyAlignment="1">
      <alignment horizontal="right" vertical="center"/>
    </xf>
    <xf numFmtId="0" fontId="39" fillId="0" borderId="23" xfId="0" applyFont="1" applyBorder="1" applyAlignment="1" quotePrefix="1">
      <alignment horizontal="right" vertical="center"/>
    </xf>
    <xf numFmtId="0" fontId="39" fillId="0" borderId="10" xfId="0" applyFont="1" applyBorder="1" applyAlignment="1">
      <alignment vertical="center" wrapText="1"/>
    </xf>
    <xf numFmtId="0" fontId="39" fillId="0" borderId="26" xfId="0" applyFont="1" applyBorder="1" applyAlignment="1">
      <alignment vertical="center"/>
    </xf>
    <xf numFmtId="3" fontId="39" fillId="0" borderId="54" xfId="0" applyNumberFormat="1" applyFont="1" applyBorder="1" applyAlignment="1" quotePrefix="1">
      <alignment horizontal="right" vertical="center"/>
    </xf>
    <xf numFmtId="3" fontId="39" fillId="0" borderId="10" xfId="0" applyNumberFormat="1" applyFont="1" applyBorder="1" applyAlignment="1" quotePrefix="1">
      <alignment horizontal="right" vertical="center"/>
    </xf>
    <xf numFmtId="3" fontId="39" fillId="0" borderId="26" xfId="0" applyNumberFormat="1" applyFont="1" applyBorder="1" applyAlignment="1" quotePrefix="1">
      <alignment horizontal="right" vertical="center"/>
    </xf>
    <xf numFmtId="3" fontId="39" fillId="0" borderId="52" xfId="0" applyNumberFormat="1" applyFont="1" applyBorder="1" applyAlignment="1" quotePrefix="1">
      <alignment horizontal="right" vertical="center"/>
    </xf>
    <xf numFmtId="3" fontId="39" fillId="0" borderId="20" xfId="0" applyNumberFormat="1" applyFont="1" applyBorder="1" applyAlignment="1" quotePrefix="1">
      <alignment horizontal="right" vertical="center"/>
    </xf>
    <xf numFmtId="3" fontId="39" fillId="0" borderId="71" xfId="0" applyNumberFormat="1" applyFont="1" applyBorder="1" applyAlignment="1" quotePrefix="1">
      <alignment horizontal="right" vertical="center"/>
    </xf>
    <xf numFmtId="3" fontId="39" fillId="0" borderId="55" xfId="0" applyNumberFormat="1" applyFont="1" applyBorder="1" applyAlignment="1" quotePrefix="1">
      <alignment horizontal="right" vertical="center"/>
    </xf>
    <xf numFmtId="49" fontId="39" fillId="0" borderId="23" xfId="0" applyNumberFormat="1" applyFont="1" applyBorder="1" applyAlignment="1" quotePrefix="1">
      <alignment horizontal="right" vertical="center"/>
    </xf>
    <xf numFmtId="3" fontId="39" fillId="32" borderId="10" xfId="0" applyNumberFormat="1" applyFont="1" applyFill="1" applyBorder="1" applyAlignment="1" quotePrefix="1">
      <alignment horizontal="right" vertical="center"/>
    </xf>
    <xf numFmtId="3" fontId="39" fillId="32" borderId="10" xfId="55" applyNumberFormat="1" applyFont="1" applyFill="1" applyBorder="1" applyAlignment="1">
      <alignment vertical="center"/>
      <protection/>
    </xf>
    <xf numFmtId="0" fontId="41" fillId="0" borderId="23" xfId="0" applyFont="1" applyBorder="1" applyAlignment="1" quotePrefix="1">
      <alignment horizontal="right" vertical="center"/>
    </xf>
    <xf numFmtId="0" fontId="41" fillId="0" borderId="10" xfId="0" applyFont="1" applyBorder="1" applyAlignment="1">
      <alignment vertical="center" wrapText="1"/>
    </xf>
    <xf numFmtId="0" fontId="41" fillId="0" borderId="26" xfId="0" applyFont="1" applyBorder="1" applyAlignment="1">
      <alignment vertical="center"/>
    </xf>
    <xf numFmtId="3" fontId="41" fillId="0" borderId="54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horizontal="right" vertical="center"/>
    </xf>
    <xf numFmtId="3" fontId="41" fillId="0" borderId="26" xfId="0" applyNumberFormat="1" applyFont="1" applyBorder="1" applyAlignment="1">
      <alignment horizontal="right" vertical="center"/>
    </xf>
    <xf numFmtId="3" fontId="41" fillId="0" borderId="55" xfId="0" applyNumberFormat="1" applyFont="1" applyBorder="1" applyAlignment="1">
      <alignment horizontal="right" vertical="center"/>
    </xf>
    <xf numFmtId="3" fontId="41" fillId="0" borderId="54" xfId="0" applyNumberFormat="1" applyFont="1" applyBorder="1" applyAlignment="1" quotePrefix="1">
      <alignment horizontal="right" vertical="center"/>
    </xf>
    <xf numFmtId="3" fontId="41" fillId="0" borderId="10" xfId="0" applyNumberFormat="1" applyFont="1" applyBorder="1" applyAlignment="1" quotePrefix="1">
      <alignment horizontal="right" vertical="center"/>
    </xf>
    <xf numFmtId="3" fontId="41" fillId="0" borderId="55" xfId="0" applyNumberFormat="1" applyFont="1" applyBorder="1" applyAlignment="1" quotePrefix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72" xfId="0" applyNumberFormat="1" applyFont="1" applyBorder="1" applyAlignment="1">
      <alignment horizontal="right" vertical="center"/>
    </xf>
    <xf numFmtId="3" fontId="41" fillId="33" borderId="54" xfId="0" applyNumberFormat="1" applyFont="1" applyFill="1" applyBorder="1" applyAlignment="1">
      <alignment horizontal="right" vertical="center"/>
    </xf>
    <xf numFmtId="3" fontId="41" fillId="33" borderId="10" xfId="0" applyNumberFormat="1" applyFont="1" applyFill="1" applyBorder="1" applyAlignment="1">
      <alignment horizontal="right" vertical="center"/>
    </xf>
    <xf numFmtId="3" fontId="41" fillId="33" borderId="26" xfId="0" applyNumberFormat="1" applyFont="1" applyFill="1" applyBorder="1" applyAlignment="1">
      <alignment horizontal="right" vertical="center"/>
    </xf>
    <xf numFmtId="3" fontId="41" fillId="33" borderId="55" xfId="0" applyNumberFormat="1" applyFont="1" applyFill="1" applyBorder="1" applyAlignment="1">
      <alignment horizontal="right" vertical="center"/>
    </xf>
    <xf numFmtId="3" fontId="41" fillId="33" borderId="54" xfId="0" applyNumberFormat="1" applyFont="1" applyFill="1" applyBorder="1" applyAlignment="1" quotePrefix="1">
      <alignment horizontal="right" vertical="center"/>
    </xf>
    <xf numFmtId="3" fontId="41" fillId="33" borderId="10" xfId="0" applyNumberFormat="1" applyFont="1" applyFill="1" applyBorder="1" applyAlignment="1" quotePrefix="1">
      <alignment horizontal="right" vertical="center"/>
    </xf>
    <xf numFmtId="3" fontId="41" fillId="33" borderId="55" xfId="0" applyNumberFormat="1" applyFont="1" applyFill="1" applyBorder="1" applyAlignment="1" quotePrefix="1">
      <alignment horizontal="right" vertical="center"/>
    </xf>
    <xf numFmtId="173" fontId="40" fillId="0" borderId="10" xfId="0" applyNumberFormat="1" applyFont="1" applyBorder="1" applyAlignment="1">
      <alignment vertical="center" wrapText="1"/>
    </xf>
    <xf numFmtId="0" fontId="40" fillId="0" borderId="26" xfId="0" applyFont="1" applyBorder="1" applyAlignment="1">
      <alignment vertical="center"/>
    </xf>
    <xf numFmtId="3" fontId="40" fillId="0" borderId="54" xfId="0" applyNumberFormat="1" applyFont="1" applyBorder="1" applyAlignment="1" quotePrefix="1">
      <alignment horizontal="right" vertical="center"/>
    </xf>
    <xf numFmtId="3" fontId="40" fillId="32" borderId="10" xfId="0" applyNumberFormat="1" applyFont="1" applyFill="1" applyBorder="1" applyAlignment="1" quotePrefix="1">
      <alignment horizontal="right" vertical="center"/>
    </xf>
    <xf numFmtId="3" fontId="40" fillId="0" borderId="26" xfId="0" applyNumberFormat="1" applyFont="1" applyBorder="1" applyAlignment="1" quotePrefix="1">
      <alignment horizontal="right" vertical="center"/>
    </xf>
    <xf numFmtId="3" fontId="39" fillId="32" borderId="20" xfId="0" applyNumberFormat="1" applyFont="1" applyFill="1" applyBorder="1" applyAlignment="1" quotePrefix="1">
      <alignment horizontal="right" vertical="center"/>
    </xf>
    <xf numFmtId="3" fontId="40" fillId="0" borderId="10" xfId="0" applyNumberFormat="1" applyFont="1" applyBorder="1" applyAlignment="1" quotePrefix="1">
      <alignment horizontal="right" vertical="center"/>
    </xf>
    <xf numFmtId="3" fontId="40" fillId="0" borderId="55" xfId="0" applyNumberFormat="1" applyFont="1" applyBorder="1" applyAlignment="1" quotePrefix="1">
      <alignment horizontal="right" vertical="center"/>
    </xf>
    <xf numFmtId="0" fontId="38" fillId="36" borderId="23" xfId="0" applyFont="1" applyFill="1" applyBorder="1" applyAlignment="1" quotePrefix="1">
      <alignment horizontal="right" vertical="center"/>
    </xf>
    <xf numFmtId="0" fontId="22" fillId="36" borderId="10" xfId="0" applyFont="1" applyFill="1" applyBorder="1" applyAlignment="1">
      <alignment vertical="center" wrapText="1"/>
    </xf>
    <xf numFmtId="0" fontId="38" fillId="36" borderId="26" xfId="0" applyFont="1" applyFill="1" applyBorder="1" applyAlignment="1">
      <alignment vertical="center"/>
    </xf>
    <xf numFmtId="3" fontId="38" fillId="36" borderId="54" xfId="0" applyNumberFormat="1" applyFont="1" applyFill="1" applyBorder="1" applyAlignment="1">
      <alignment horizontal="right" vertical="center"/>
    </xf>
    <xf numFmtId="3" fontId="38" fillId="36" borderId="10" xfId="0" applyNumberFormat="1" applyFont="1" applyFill="1" applyBorder="1" applyAlignment="1">
      <alignment horizontal="right" vertical="center"/>
    </xf>
    <xf numFmtId="3" fontId="38" fillId="36" borderId="26" xfId="0" applyNumberFormat="1" applyFont="1" applyFill="1" applyBorder="1" applyAlignment="1">
      <alignment horizontal="right" vertical="center"/>
    </xf>
    <xf numFmtId="3" fontId="38" fillId="36" borderId="55" xfId="0" applyNumberFormat="1" applyFont="1" applyFill="1" applyBorder="1" applyAlignment="1">
      <alignment horizontal="right" vertical="center"/>
    </xf>
    <xf numFmtId="3" fontId="38" fillId="36" borderId="54" xfId="0" applyNumberFormat="1" applyFont="1" applyFill="1" applyBorder="1" applyAlignment="1" quotePrefix="1">
      <alignment horizontal="right" vertical="center"/>
    </xf>
    <xf numFmtId="3" fontId="38" fillId="36" borderId="10" xfId="0" applyNumberFormat="1" applyFont="1" applyFill="1" applyBorder="1" applyAlignment="1" quotePrefix="1">
      <alignment horizontal="right" vertical="center"/>
    </xf>
    <xf numFmtId="3" fontId="38" fillId="36" borderId="55" xfId="0" applyNumberFormat="1" applyFont="1" applyFill="1" applyBorder="1" applyAlignment="1" quotePrefix="1">
      <alignment horizontal="right" vertical="center"/>
    </xf>
    <xf numFmtId="3" fontId="39" fillId="0" borderId="54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3" fontId="39" fillId="0" borderId="26" xfId="0" applyNumberFormat="1" applyFont="1" applyBorder="1" applyAlignment="1">
      <alignment horizontal="right" vertical="center"/>
    </xf>
    <xf numFmtId="3" fontId="39" fillId="0" borderId="72" xfId="0" applyNumberFormat="1" applyFont="1" applyBorder="1" applyAlignment="1">
      <alignment horizontal="right" vertical="center"/>
    </xf>
    <xf numFmtId="3" fontId="39" fillId="0" borderId="55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/>
    </xf>
    <xf numFmtId="3" fontId="42" fillId="0" borderId="25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0" fillId="0" borderId="54" xfId="0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/>
    </xf>
    <xf numFmtId="3" fontId="40" fillId="0" borderId="55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3" fontId="39" fillId="0" borderId="25" xfId="0" applyNumberFormat="1" applyFont="1" applyBorder="1" applyAlignment="1">
      <alignment horizontal="right" vertical="center"/>
    </xf>
    <xf numFmtId="0" fontId="40" fillId="0" borderId="23" xfId="0" applyFont="1" applyBorder="1" applyAlignment="1" quotePrefix="1">
      <alignment horizontal="right" vertical="center"/>
    </xf>
    <xf numFmtId="0" fontId="40" fillId="0" borderId="10" xfId="0" applyFont="1" applyBorder="1" applyAlignment="1">
      <alignment vertical="center" wrapText="1"/>
    </xf>
    <xf numFmtId="3" fontId="40" fillId="0" borderId="26" xfId="0" applyNumberFormat="1" applyFont="1" applyBorder="1" applyAlignment="1">
      <alignment horizontal="right" vertical="center"/>
    </xf>
    <xf numFmtId="3" fontId="40" fillId="0" borderId="25" xfId="0" applyNumberFormat="1" applyFont="1" applyBorder="1" applyAlignment="1">
      <alignment horizontal="right" vertical="center"/>
    </xf>
    <xf numFmtId="3" fontId="40" fillId="0" borderId="72" xfId="0" applyNumberFormat="1" applyFont="1" applyBorder="1" applyAlignment="1">
      <alignment horizontal="right" vertical="center"/>
    </xf>
    <xf numFmtId="3" fontId="39" fillId="32" borderId="25" xfId="0" applyNumberFormat="1" applyFont="1" applyFill="1" applyBorder="1" applyAlignment="1">
      <alignment horizontal="right" vertical="center"/>
    </xf>
    <xf numFmtId="3" fontId="40" fillId="0" borderId="72" xfId="0" applyNumberFormat="1" applyFont="1" applyBorder="1" applyAlignment="1" quotePrefix="1">
      <alignment horizontal="right" vertical="center"/>
    </xf>
    <xf numFmtId="0" fontId="39" fillId="0" borderId="26" xfId="0" applyFont="1" applyBorder="1" applyAlignment="1">
      <alignment horizontal="left" vertical="center"/>
    </xf>
    <xf numFmtId="3" fontId="39" fillId="0" borderId="72" xfId="0" applyNumberFormat="1" applyFont="1" applyBorder="1" applyAlignment="1" quotePrefix="1">
      <alignment horizontal="right" vertical="center"/>
    </xf>
    <xf numFmtId="3" fontId="39" fillId="32" borderId="54" xfId="0" applyNumberFormat="1" applyFont="1" applyFill="1" applyBorder="1" applyAlignment="1" quotePrefix="1">
      <alignment horizontal="right" vertical="center"/>
    </xf>
    <xf numFmtId="0" fontId="26" fillId="0" borderId="10" xfId="0" applyFont="1" applyBorder="1" applyAlignment="1">
      <alignment vertical="center" wrapText="1"/>
    </xf>
    <xf numFmtId="0" fontId="38" fillId="0" borderId="26" xfId="0" applyFont="1" applyBorder="1" applyAlignment="1">
      <alignment vertical="center"/>
    </xf>
    <xf numFmtId="3" fontId="39" fillId="32" borderId="10" xfId="0" applyNumberFormat="1" applyFont="1" applyFill="1" applyBorder="1" applyAlignment="1">
      <alignment horizontal="right" vertical="center"/>
    </xf>
    <xf numFmtId="3" fontId="38" fillId="0" borderId="54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3" fontId="38" fillId="0" borderId="72" xfId="0" applyNumberFormat="1" applyFont="1" applyBorder="1" applyAlignment="1">
      <alignment horizontal="right" vertical="center"/>
    </xf>
    <xf numFmtId="3" fontId="38" fillId="0" borderId="55" xfId="0" applyNumberFormat="1" applyFont="1" applyBorder="1" applyAlignment="1">
      <alignment horizontal="right" vertical="center"/>
    </xf>
    <xf numFmtId="3" fontId="41" fillId="33" borderId="72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vertical="center" wrapText="1"/>
    </xf>
    <xf numFmtId="0" fontId="38" fillId="34" borderId="27" xfId="0" applyFont="1" applyFill="1" applyBorder="1" applyAlignment="1" quotePrefix="1">
      <alignment horizontal="right" vertical="center"/>
    </xf>
    <xf numFmtId="0" fontId="22" fillId="34" borderId="28" xfId="0" applyFont="1" applyFill="1" applyBorder="1" applyAlignment="1">
      <alignment vertical="center" wrapText="1"/>
    </xf>
    <xf numFmtId="0" fontId="38" fillId="34" borderId="31" xfId="0" applyFont="1" applyFill="1" applyBorder="1" applyAlignment="1">
      <alignment vertical="center" wrapText="1"/>
    </xf>
    <xf numFmtId="3" fontId="38" fillId="34" borderId="73" xfId="0" applyNumberFormat="1" applyFont="1" applyFill="1" applyBorder="1" applyAlignment="1">
      <alignment horizontal="right" vertical="center"/>
    </xf>
    <xf numFmtId="3" fontId="38" fillId="34" borderId="28" xfId="0" applyNumberFormat="1" applyFont="1" applyFill="1" applyBorder="1" applyAlignment="1">
      <alignment horizontal="right" vertical="center"/>
    </xf>
    <xf numFmtId="3" fontId="38" fillId="34" borderId="31" xfId="0" applyNumberFormat="1" applyFont="1" applyFill="1" applyBorder="1" applyAlignment="1">
      <alignment horizontal="right" vertical="center"/>
    </xf>
    <xf numFmtId="3" fontId="38" fillId="34" borderId="74" xfId="0" applyNumberFormat="1" applyFont="1" applyFill="1" applyBorder="1" applyAlignment="1">
      <alignment horizontal="right" vertical="center"/>
    </xf>
    <xf numFmtId="0" fontId="67" fillId="37" borderId="11" xfId="0" applyFont="1" applyFill="1" applyBorder="1" applyAlignment="1">
      <alignment vertical="center" wrapText="1"/>
    </xf>
    <xf numFmtId="0" fontId="67" fillId="37" borderId="12" xfId="0" applyFont="1" applyFill="1" applyBorder="1" applyAlignment="1">
      <alignment vertical="center" wrapText="1"/>
    </xf>
    <xf numFmtId="3" fontId="67" fillId="37" borderId="15" xfId="0" applyNumberFormat="1" applyFont="1" applyFill="1" applyBorder="1" applyAlignment="1">
      <alignment horizontal="left" vertical="center"/>
    </xf>
    <xf numFmtId="3" fontId="67" fillId="37" borderId="58" xfId="0" applyNumberFormat="1" applyFont="1" applyFill="1" applyBorder="1" applyAlignment="1">
      <alignment horizontal="right" vertical="center"/>
    </xf>
    <xf numFmtId="3" fontId="67" fillId="37" borderId="59" xfId="0" applyNumberFormat="1" applyFont="1" applyFill="1" applyBorder="1" applyAlignment="1">
      <alignment horizontal="right" vertical="center"/>
    </xf>
    <xf numFmtId="3" fontId="67" fillId="37" borderId="61" xfId="0" applyNumberFormat="1" applyFont="1" applyFill="1" applyBorder="1" applyAlignment="1">
      <alignment horizontal="right" vertical="center"/>
    </xf>
    <xf numFmtId="3" fontId="67" fillId="37" borderId="60" xfId="0" applyNumberFormat="1" applyFont="1" applyFill="1" applyBorder="1" applyAlignment="1">
      <alignment horizontal="right" vertical="center"/>
    </xf>
    <xf numFmtId="3" fontId="67" fillId="37" borderId="62" xfId="0" applyNumberFormat="1" applyFont="1" applyFill="1" applyBorder="1" applyAlignment="1">
      <alignment horizontal="right" vertical="center"/>
    </xf>
    <xf numFmtId="3" fontId="67" fillId="37" borderId="64" xfId="0" applyNumberFormat="1" applyFont="1" applyFill="1" applyBorder="1" applyAlignment="1">
      <alignment horizontal="right" vertical="center"/>
    </xf>
    <xf numFmtId="3" fontId="67" fillId="37" borderId="63" xfId="0" applyNumberFormat="1" applyFont="1" applyFill="1" applyBorder="1" applyAlignment="1">
      <alignment horizontal="right" vertical="center"/>
    </xf>
    <xf numFmtId="3" fontId="46" fillId="0" borderId="0" xfId="0" applyNumberFormat="1" applyFont="1" applyAlignment="1">
      <alignment/>
    </xf>
    <xf numFmtId="3" fontId="47" fillId="0" borderId="0" xfId="62" applyNumberFormat="1" applyFont="1" applyAlignment="1">
      <alignment/>
    </xf>
    <xf numFmtId="49" fontId="38" fillId="0" borderId="45" xfId="0" applyNumberFormat="1" applyFont="1" applyBorder="1" applyAlignment="1">
      <alignment horizontal="center" vertical="center" wrapText="1"/>
    </xf>
    <xf numFmtId="0" fontId="68" fillId="38" borderId="10" xfId="0" applyFont="1" applyFill="1" applyBorder="1" applyAlignment="1">
      <alignment/>
    </xf>
    <xf numFmtId="0" fontId="68" fillId="38" borderId="26" xfId="0" applyFont="1" applyFill="1" applyBorder="1" applyAlignment="1">
      <alignment horizontal="left"/>
    </xf>
    <xf numFmtId="0" fontId="68" fillId="38" borderId="75" xfId="0" applyFont="1" applyFill="1" applyBorder="1" applyAlignment="1">
      <alignment horizontal="left"/>
    </xf>
    <xf numFmtId="0" fontId="68" fillId="38" borderId="25" xfId="0" applyFont="1" applyFill="1" applyBorder="1" applyAlignment="1">
      <alignment horizontal="left"/>
    </xf>
    <xf numFmtId="3" fontId="68" fillId="38" borderId="10" xfId="0" applyNumberFormat="1" applyFont="1" applyFill="1" applyBorder="1" applyAlignment="1">
      <alignment/>
    </xf>
    <xf numFmtId="3" fontId="39" fillId="0" borderId="73" xfId="0" applyNumberFormat="1" applyFont="1" applyBorder="1" applyAlignment="1" quotePrefix="1">
      <alignment horizontal="right" vertical="center"/>
    </xf>
    <xf numFmtId="3" fontId="39" fillId="0" borderId="52" xfId="0" applyNumberFormat="1" applyFont="1" applyBorder="1" applyAlignment="1" quotePrefix="1">
      <alignment horizontal="right" vertical="center"/>
    </xf>
    <xf numFmtId="3" fontId="39" fillId="0" borderId="28" xfId="0" applyNumberFormat="1" applyFont="1" applyBorder="1" applyAlignment="1" quotePrefix="1">
      <alignment horizontal="right" vertical="center"/>
    </xf>
    <xf numFmtId="3" fontId="39" fillId="0" borderId="74" xfId="0" applyNumberFormat="1" applyFont="1" applyBorder="1" applyAlignment="1" quotePrefix="1">
      <alignment horizontal="right" vertical="center"/>
    </xf>
    <xf numFmtId="3" fontId="39" fillId="0" borderId="18" xfId="0" applyNumberFormat="1" applyFont="1" applyBorder="1" applyAlignment="1" quotePrefix="1">
      <alignment horizontal="right" vertical="center"/>
    </xf>
    <xf numFmtId="3" fontId="39" fillId="0" borderId="53" xfId="0" applyNumberFormat="1" applyFont="1" applyBorder="1" applyAlignment="1" quotePrefix="1">
      <alignment horizontal="right" vertical="center"/>
    </xf>
    <xf numFmtId="0" fontId="69" fillId="38" borderId="10" xfId="0" applyFont="1" applyFill="1" applyBorder="1" applyAlignment="1">
      <alignment horizontal="left"/>
    </xf>
    <xf numFmtId="3" fontId="69" fillId="38" borderId="10" xfId="62" applyNumberFormat="1" applyFont="1" applyFill="1" applyBorder="1" applyAlignment="1">
      <alignment/>
    </xf>
    <xf numFmtId="0" fontId="0" fillId="0" borderId="0" xfId="0" applyFont="1" applyAlignment="1">
      <alignment/>
    </xf>
    <xf numFmtId="0" fontId="35" fillId="0" borderId="36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vertical="center" wrapText="1"/>
    </xf>
    <xf numFmtId="49" fontId="38" fillId="0" borderId="26" xfId="0" applyNumberFormat="1" applyFont="1" applyBorder="1" applyAlignment="1">
      <alignment vertical="center" wrapText="1"/>
    </xf>
    <xf numFmtId="49" fontId="38" fillId="0" borderId="79" xfId="0" applyNumberFormat="1" applyFont="1" applyBorder="1" applyAlignment="1">
      <alignment horizontal="center" vertical="center" wrapText="1"/>
    </xf>
    <xf numFmtId="49" fontId="38" fillId="0" borderId="80" xfId="0" applyNumberFormat="1" applyFont="1" applyBorder="1" applyAlignment="1">
      <alignment horizontal="center" vertical="center" wrapText="1"/>
    </xf>
    <xf numFmtId="49" fontId="38" fillId="0" borderId="47" xfId="0" applyNumberFormat="1" applyFont="1" applyBorder="1" applyAlignment="1">
      <alignment horizontal="center" vertical="center" wrapText="1"/>
    </xf>
    <xf numFmtId="49" fontId="64" fillId="0" borderId="81" xfId="0" applyNumberFormat="1" applyFont="1" applyBorder="1" applyAlignment="1">
      <alignment horizontal="center" vertical="center" wrapText="1"/>
    </xf>
    <xf numFmtId="49" fontId="64" fillId="0" borderId="82" xfId="0" applyNumberFormat="1" applyFont="1" applyBorder="1" applyAlignment="1">
      <alignment horizontal="center" vertical="center" wrapText="1"/>
    </xf>
    <xf numFmtId="0" fontId="39" fillId="0" borderId="10" xfId="55" applyFont="1" applyBorder="1" applyAlignment="1" quotePrefix="1">
      <alignment horizontal="right" vertical="center"/>
      <protection/>
    </xf>
    <xf numFmtId="49" fontId="39" fillId="0" borderId="10" xfId="0" applyNumberFormat="1" applyFont="1" applyBorder="1" applyAlignment="1">
      <alignment vertical="center" wrapText="1"/>
    </xf>
    <xf numFmtId="49" fontId="39" fillId="0" borderId="26" xfId="0" applyNumberFormat="1" applyFont="1" applyBorder="1" applyAlignment="1">
      <alignment vertical="center" wrapText="1"/>
    </xf>
    <xf numFmtId="3" fontId="39" fillId="0" borderId="23" xfId="0" applyNumberFormat="1" applyFont="1" applyBorder="1" applyAlignment="1">
      <alignment horizontal="right" vertical="center" wrapText="1"/>
    </xf>
    <xf numFmtId="3" fontId="39" fillId="0" borderId="83" xfId="0" applyNumberFormat="1" applyFont="1" applyBorder="1" applyAlignment="1">
      <alignment horizontal="right" vertical="center" wrapText="1"/>
    </xf>
    <xf numFmtId="3" fontId="39" fillId="0" borderId="25" xfId="0" applyNumberFormat="1" applyFont="1" applyBorder="1" applyAlignment="1">
      <alignment horizontal="right" vertical="center" wrapText="1"/>
    </xf>
    <xf numFmtId="3" fontId="39" fillId="0" borderId="26" xfId="0" applyNumberFormat="1" applyFont="1" applyBorder="1" applyAlignment="1">
      <alignment horizontal="right" vertical="center" wrapText="1"/>
    </xf>
    <xf numFmtId="3" fontId="39" fillId="0" borderId="84" xfId="0" applyNumberFormat="1" applyFont="1" applyBorder="1" applyAlignment="1">
      <alignment/>
    </xf>
    <xf numFmtId="3" fontId="39" fillId="0" borderId="72" xfId="0" applyNumberFormat="1" applyFont="1" applyBorder="1" applyAlignment="1">
      <alignment/>
    </xf>
    <xf numFmtId="49" fontId="39" fillId="0" borderId="28" xfId="0" applyNumberFormat="1" applyFont="1" applyBorder="1" applyAlignment="1">
      <alignment vertical="center" wrapText="1"/>
    </xf>
    <xf numFmtId="0" fontId="40" fillId="0" borderId="10" xfId="55" applyFont="1" applyBorder="1" applyAlignment="1" quotePrefix="1">
      <alignment horizontal="right" vertical="center"/>
      <protection/>
    </xf>
    <xf numFmtId="3" fontId="39" fillId="0" borderId="25" xfId="55" applyNumberFormat="1" applyFont="1" applyBorder="1" applyAlignment="1">
      <alignment horizontal="right" vertical="center"/>
      <protection/>
    </xf>
    <xf numFmtId="3" fontId="39" fillId="0" borderId="26" xfId="55" applyNumberFormat="1" applyFont="1" applyBorder="1" applyAlignment="1">
      <alignment horizontal="right" vertical="center"/>
      <protection/>
    </xf>
    <xf numFmtId="0" fontId="41" fillId="0" borderId="10" xfId="55" applyFont="1" applyBorder="1" applyAlignment="1" quotePrefix="1">
      <alignment horizontal="right" vertical="center"/>
      <protection/>
    </xf>
    <xf numFmtId="3" fontId="41" fillId="33" borderId="23" xfId="55" applyNumberFormat="1" applyFont="1" applyFill="1" applyBorder="1" applyAlignment="1">
      <alignment horizontal="right" vertical="center"/>
      <protection/>
    </xf>
    <xf numFmtId="3" fontId="41" fillId="33" borderId="83" xfId="55" applyNumberFormat="1" applyFont="1" applyFill="1" applyBorder="1" applyAlignment="1">
      <alignment horizontal="right" vertical="center"/>
      <protection/>
    </xf>
    <xf numFmtId="3" fontId="41" fillId="33" borderId="25" xfId="55" applyNumberFormat="1" applyFont="1" applyFill="1" applyBorder="1" applyAlignment="1">
      <alignment horizontal="right" vertical="center"/>
      <protection/>
    </xf>
    <xf numFmtId="3" fontId="41" fillId="33" borderId="84" xfId="0" applyNumberFormat="1" applyFont="1" applyFill="1" applyBorder="1" applyAlignment="1">
      <alignment horizontal="right" vertical="center"/>
    </xf>
    <xf numFmtId="0" fontId="41" fillId="34" borderId="28" xfId="0" applyFont="1" applyFill="1" applyBorder="1" applyAlignment="1" quotePrefix="1">
      <alignment horizontal="right" vertical="center"/>
    </xf>
    <xf numFmtId="0" fontId="27" fillId="34" borderId="28" xfId="0" applyFont="1" applyFill="1" applyBorder="1" applyAlignment="1">
      <alignment vertical="center" wrapText="1"/>
    </xf>
    <xf numFmtId="0" fontId="41" fillId="34" borderId="31" xfId="0" applyFont="1" applyFill="1" applyBorder="1" applyAlignment="1">
      <alignment vertical="center" wrapText="1"/>
    </xf>
    <xf numFmtId="3" fontId="41" fillId="34" borderId="23" xfId="0" applyNumberFormat="1" applyFont="1" applyFill="1" applyBorder="1" applyAlignment="1">
      <alignment horizontal="right" vertical="center" wrapText="1"/>
    </xf>
    <xf numFmtId="3" fontId="41" fillId="34" borderId="83" xfId="0" applyNumberFormat="1" applyFont="1" applyFill="1" applyBorder="1" applyAlignment="1">
      <alignment horizontal="right" vertical="center" wrapText="1"/>
    </xf>
    <xf numFmtId="3" fontId="41" fillId="34" borderId="25" xfId="0" applyNumberFormat="1" applyFont="1" applyFill="1" applyBorder="1" applyAlignment="1">
      <alignment horizontal="right" vertical="center" wrapText="1"/>
    </xf>
    <xf numFmtId="3" fontId="41" fillId="34" borderId="26" xfId="0" applyNumberFormat="1" applyFont="1" applyFill="1" applyBorder="1" applyAlignment="1">
      <alignment horizontal="right" vertical="center" wrapText="1"/>
    </xf>
    <xf numFmtId="3" fontId="41" fillId="34" borderId="85" xfId="0" applyNumberFormat="1" applyFont="1" applyFill="1" applyBorder="1" applyAlignment="1">
      <alignment horizontal="right" vertical="center"/>
    </xf>
    <xf numFmtId="3" fontId="41" fillId="34" borderId="86" xfId="0" applyNumberFormat="1" applyFont="1" applyFill="1" applyBorder="1" applyAlignment="1">
      <alignment horizontal="right" vertical="center"/>
    </xf>
    <xf numFmtId="3" fontId="39" fillId="0" borderId="23" xfId="55" applyNumberFormat="1" applyFont="1" applyBorder="1" applyAlignment="1">
      <alignment horizontal="right" vertical="center" wrapText="1"/>
      <protection/>
    </xf>
    <xf numFmtId="3" fontId="39" fillId="0" borderId="83" xfId="55" applyNumberFormat="1" applyFont="1" applyBorder="1" applyAlignment="1">
      <alignment horizontal="right" vertical="center" wrapText="1"/>
      <protection/>
    </xf>
    <xf numFmtId="3" fontId="39" fillId="0" borderId="25" xfId="55" applyNumberFormat="1" applyFont="1" applyBorder="1" applyAlignment="1">
      <alignment horizontal="right" vertical="center" wrapText="1"/>
      <protection/>
    </xf>
    <xf numFmtId="3" fontId="39" fillId="0" borderId="26" xfId="55" applyNumberFormat="1" applyFont="1" applyBorder="1" applyAlignment="1">
      <alignment horizontal="right" vertical="center" wrapText="1"/>
      <protection/>
    </xf>
    <xf numFmtId="3" fontId="41" fillId="0" borderId="23" xfId="55" applyNumberFormat="1" applyFont="1" applyBorder="1" applyAlignment="1">
      <alignment horizontal="right" vertical="center" wrapText="1"/>
      <protection/>
    </xf>
    <xf numFmtId="3" fontId="41" fillId="0" borderId="83" xfId="55" applyNumberFormat="1" applyFont="1" applyBorder="1" applyAlignment="1">
      <alignment horizontal="right" vertical="center" wrapText="1"/>
      <protection/>
    </xf>
    <xf numFmtId="3" fontId="41" fillId="0" borderId="25" xfId="55" applyNumberFormat="1" applyFont="1" applyBorder="1" applyAlignment="1">
      <alignment horizontal="right" vertical="center" wrapText="1"/>
      <protection/>
    </xf>
    <xf numFmtId="3" fontId="41" fillId="0" borderId="26" xfId="55" applyNumberFormat="1" applyFont="1" applyBorder="1" applyAlignment="1">
      <alignment horizontal="right" vertical="center" wrapText="1"/>
      <protection/>
    </xf>
    <xf numFmtId="3" fontId="41" fillId="0" borderId="84" xfId="0" applyNumberFormat="1" applyFont="1" applyBorder="1" applyAlignment="1">
      <alignment/>
    </xf>
    <xf numFmtId="3" fontId="41" fillId="0" borderId="72" xfId="0" applyNumberFormat="1" applyFont="1" applyBorder="1" applyAlignment="1">
      <alignment/>
    </xf>
    <xf numFmtId="3" fontId="40" fillId="0" borderId="23" xfId="55" applyNumberFormat="1" applyFont="1" applyBorder="1" applyAlignment="1">
      <alignment horizontal="right" vertical="center" wrapText="1"/>
      <protection/>
    </xf>
    <xf numFmtId="3" fontId="40" fillId="0" borderId="83" xfId="55" applyNumberFormat="1" applyFont="1" applyBorder="1" applyAlignment="1">
      <alignment horizontal="right" vertical="center" wrapText="1"/>
      <protection/>
    </xf>
    <xf numFmtId="3" fontId="40" fillId="0" borderId="25" xfId="55" applyNumberFormat="1" applyFont="1" applyBorder="1" applyAlignment="1">
      <alignment horizontal="right" vertical="center" wrapText="1"/>
      <protection/>
    </xf>
    <xf numFmtId="3" fontId="40" fillId="0" borderId="26" xfId="55" applyNumberFormat="1" applyFont="1" applyBorder="1" applyAlignment="1">
      <alignment horizontal="right" vertical="center" wrapText="1"/>
      <protection/>
    </xf>
    <xf numFmtId="3" fontId="40" fillId="0" borderId="84" xfId="0" applyNumberFormat="1" applyFont="1" applyBorder="1" applyAlignment="1">
      <alignment/>
    </xf>
    <xf numFmtId="3" fontId="40" fillId="0" borderId="72" xfId="0" applyNumberFormat="1" applyFont="1" applyBorder="1" applyAlignment="1">
      <alignment/>
    </xf>
    <xf numFmtId="3" fontId="40" fillId="38" borderId="23" xfId="55" applyNumberFormat="1" applyFont="1" applyFill="1" applyBorder="1" applyAlignment="1">
      <alignment horizontal="right" vertical="center" wrapText="1"/>
      <protection/>
    </xf>
    <xf numFmtId="3" fontId="40" fillId="38" borderId="83" xfId="55" applyNumberFormat="1" applyFont="1" applyFill="1" applyBorder="1" applyAlignment="1">
      <alignment horizontal="right" vertical="center" wrapText="1"/>
      <protection/>
    </xf>
    <xf numFmtId="3" fontId="40" fillId="38" borderId="25" xfId="55" applyNumberFormat="1" applyFont="1" applyFill="1" applyBorder="1" applyAlignment="1">
      <alignment horizontal="right" vertical="center" wrapText="1"/>
      <protection/>
    </xf>
    <xf numFmtId="3" fontId="40" fillId="38" borderId="26" xfId="55" applyNumberFormat="1" applyFont="1" applyFill="1" applyBorder="1" applyAlignment="1">
      <alignment horizontal="right" vertical="center" wrapText="1"/>
      <protection/>
    </xf>
    <xf numFmtId="3" fontId="40" fillId="38" borderId="84" xfId="0" applyNumberFormat="1" applyFont="1" applyFill="1" applyBorder="1" applyAlignment="1">
      <alignment/>
    </xf>
    <xf numFmtId="3" fontId="40" fillId="38" borderId="72" xfId="0" applyNumberFormat="1" applyFont="1" applyFill="1" applyBorder="1" applyAlignment="1">
      <alignment/>
    </xf>
    <xf numFmtId="0" fontId="27" fillId="0" borderId="10" xfId="55" applyFont="1" applyBorder="1" applyAlignment="1">
      <alignment vertical="center" wrapText="1"/>
      <protection/>
    </xf>
    <xf numFmtId="3" fontId="45" fillId="35" borderId="23" xfId="55" applyNumberFormat="1" applyFont="1" applyFill="1" applyBorder="1" applyAlignment="1">
      <alignment horizontal="right" vertical="center" wrapText="1"/>
      <protection/>
    </xf>
    <xf numFmtId="3" fontId="45" fillId="35" borderId="83" xfId="55" applyNumberFormat="1" applyFont="1" applyFill="1" applyBorder="1" applyAlignment="1">
      <alignment horizontal="right" vertical="center" wrapText="1"/>
      <protection/>
    </xf>
    <xf numFmtId="3" fontId="45" fillId="35" borderId="25" xfId="55" applyNumberFormat="1" applyFont="1" applyFill="1" applyBorder="1" applyAlignment="1">
      <alignment horizontal="right" vertical="center" wrapText="1"/>
      <protection/>
    </xf>
    <xf numFmtId="3" fontId="45" fillId="35" borderId="26" xfId="55" applyNumberFormat="1" applyFont="1" applyFill="1" applyBorder="1" applyAlignment="1">
      <alignment horizontal="right" vertical="center" wrapText="1"/>
      <protection/>
    </xf>
    <xf numFmtId="3" fontId="45" fillId="35" borderId="87" xfId="55" applyNumberFormat="1" applyFont="1" applyFill="1" applyBorder="1" applyAlignment="1" quotePrefix="1">
      <alignment horizontal="right" vertical="center"/>
      <protection/>
    </xf>
    <xf numFmtId="3" fontId="45" fillId="35" borderId="88" xfId="55" applyNumberFormat="1" applyFont="1" applyFill="1" applyBorder="1" applyAlignment="1" quotePrefix="1">
      <alignment horizontal="right" vertical="center"/>
      <protection/>
    </xf>
    <xf numFmtId="0" fontId="39" fillId="0" borderId="18" xfId="0" applyFont="1" applyBorder="1" applyAlignment="1" quotePrefix="1">
      <alignment horizontal="right" vertical="center"/>
    </xf>
    <xf numFmtId="3" fontId="39" fillId="0" borderId="23" xfId="0" applyNumberFormat="1" applyFont="1" applyBorder="1" applyAlignment="1">
      <alignment horizontal="right" vertical="center"/>
    </xf>
    <xf numFmtId="3" fontId="39" fillId="0" borderId="83" xfId="0" applyNumberFormat="1" applyFont="1" applyBorder="1" applyAlignment="1">
      <alignment horizontal="right" vertical="center"/>
    </xf>
    <xf numFmtId="3" fontId="39" fillId="0" borderId="89" xfId="0" applyNumberFormat="1" applyFont="1" applyBorder="1" applyAlignment="1" quotePrefix="1">
      <alignment horizontal="right" vertical="center"/>
    </xf>
    <xf numFmtId="0" fontId="39" fillId="0" borderId="10" xfId="0" applyFont="1" applyBorder="1" applyAlignment="1" quotePrefix="1">
      <alignment horizontal="right" vertical="center"/>
    </xf>
    <xf numFmtId="0" fontId="39" fillId="0" borderId="10" xfId="0" applyFont="1" applyBorder="1" applyAlignment="1">
      <alignment/>
    </xf>
    <xf numFmtId="3" fontId="39" fillId="0" borderId="84" xfId="0" applyNumberFormat="1" applyFont="1" applyBorder="1" applyAlignment="1" quotePrefix="1">
      <alignment horizontal="right" vertical="center"/>
    </xf>
    <xf numFmtId="0" fontId="41" fillId="0" borderId="10" xfId="0" applyFont="1" applyBorder="1" applyAlignment="1" quotePrefix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83" xfId="0" applyNumberFormat="1" applyFont="1" applyBorder="1" applyAlignment="1">
      <alignment horizontal="right" vertical="center"/>
    </xf>
    <xf numFmtId="3" fontId="41" fillId="0" borderId="84" xfId="0" applyNumberFormat="1" applyFont="1" applyBorder="1" applyAlignment="1">
      <alignment horizontal="right" vertical="center"/>
    </xf>
    <xf numFmtId="3" fontId="39" fillId="0" borderId="84" xfId="0" applyNumberFormat="1" applyFont="1" applyBorder="1" applyAlignment="1">
      <alignment horizontal="right" vertical="center"/>
    </xf>
    <xf numFmtId="0" fontId="41" fillId="0" borderId="26" xfId="0" applyFont="1" applyBorder="1" applyAlignment="1">
      <alignment horizontal="left" vertical="center"/>
    </xf>
    <xf numFmtId="3" fontId="40" fillId="0" borderId="23" xfId="0" applyNumberFormat="1" applyFont="1" applyBorder="1" applyAlignment="1">
      <alignment horizontal="right" vertical="center"/>
    </xf>
    <xf numFmtId="3" fontId="40" fillId="0" borderId="83" xfId="0" applyNumberFormat="1" applyFont="1" applyBorder="1" applyAlignment="1">
      <alignment horizontal="right" vertical="center"/>
    </xf>
    <xf numFmtId="3" fontId="40" fillId="0" borderId="84" xfId="0" applyNumberFormat="1" applyFont="1" applyBorder="1" applyAlignment="1" quotePrefix="1">
      <alignment horizontal="right" vertical="center"/>
    </xf>
    <xf numFmtId="0" fontId="38" fillId="36" borderId="10" xfId="0" applyFont="1" applyFill="1" applyBorder="1" applyAlignment="1" quotePrefix="1">
      <alignment horizontal="right" vertical="center"/>
    </xf>
    <xf numFmtId="3" fontId="38" fillId="36" borderId="23" xfId="0" applyNumberFormat="1" applyFont="1" applyFill="1" applyBorder="1" applyAlignment="1">
      <alignment horizontal="right" vertical="center"/>
    </xf>
    <xf numFmtId="3" fontId="38" fillId="36" borderId="83" xfId="0" applyNumberFormat="1" applyFont="1" applyFill="1" applyBorder="1" applyAlignment="1">
      <alignment horizontal="right" vertical="center"/>
    </xf>
    <xf numFmtId="3" fontId="38" fillId="36" borderId="25" xfId="0" applyNumberFormat="1" applyFont="1" applyFill="1" applyBorder="1" applyAlignment="1">
      <alignment horizontal="right" vertical="center"/>
    </xf>
    <xf numFmtId="3" fontId="38" fillId="36" borderId="84" xfId="0" applyNumberFormat="1" applyFont="1" applyFill="1" applyBorder="1" applyAlignment="1">
      <alignment horizontal="right" vertical="center"/>
    </xf>
    <xf numFmtId="3" fontId="38" fillId="36" borderId="72" xfId="0" applyNumberFormat="1" applyFont="1" applyFill="1" applyBorder="1" applyAlignment="1">
      <alignment horizontal="right" vertical="center"/>
    </xf>
    <xf numFmtId="0" fontId="41" fillId="0" borderId="28" xfId="0" applyFont="1" applyBorder="1" applyAlignment="1" quotePrefix="1">
      <alignment horizontal="right" vertical="center"/>
    </xf>
    <xf numFmtId="0" fontId="27" fillId="0" borderId="26" xfId="0" applyFont="1" applyBorder="1" applyAlignment="1">
      <alignment vertical="center" wrapText="1"/>
    </xf>
    <xf numFmtId="3" fontId="67" fillId="37" borderId="15" xfId="0" applyNumberFormat="1" applyFont="1" applyFill="1" applyBorder="1" applyAlignment="1">
      <alignment horizontal="right" vertical="center"/>
    </xf>
    <xf numFmtId="3" fontId="67" fillId="37" borderId="45" xfId="0" applyNumberFormat="1" applyFont="1" applyFill="1" applyBorder="1" applyAlignment="1">
      <alignment horizontal="right" vertical="center"/>
    </xf>
    <xf numFmtId="3" fontId="67" fillId="37" borderId="79" xfId="0" applyNumberFormat="1" applyFont="1" applyFill="1" applyBorder="1" applyAlignment="1">
      <alignment horizontal="right" vertical="center"/>
    </xf>
    <xf numFmtId="3" fontId="67" fillId="37" borderId="80" xfId="0" applyNumberFormat="1" applyFont="1" applyFill="1" applyBorder="1" applyAlignment="1">
      <alignment horizontal="right" vertical="center"/>
    </xf>
    <xf numFmtId="3" fontId="67" fillId="37" borderId="47" xfId="0" applyNumberFormat="1" applyFont="1" applyFill="1" applyBorder="1" applyAlignment="1">
      <alignment horizontal="right" vertical="center"/>
    </xf>
    <xf numFmtId="3" fontId="45" fillId="35" borderId="90" xfId="0" applyNumberFormat="1" applyFont="1" applyFill="1" applyBorder="1" applyAlignment="1">
      <alignment horizontal="right" vertical="center"/>
    </xf>
    <xf numFmtId="3" fontId="45" fillId="35" borderId="9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49" fontId="41" fillId="0" borderId="10" xfId="0" applyNumberFormat="1" applyFont="1" applyBorder="1" applyAlignment="1">
      <alignment vertical="center" wrapText="1"/>
    </xf>
    <xf numFmtId="49" fontId="41" fillId="0" borderId="26" xfId="0" applyNumberFormat="1" applyFont="1" applyBorder="1" applyAlignment="1">
      <alignment vertical="center" wrapText="1"/>
    </xf>
    <xf numFmtId="3" fontId="41" fillId="0" borderId="23" xfId="0" applyNumberFormat="1" applyFont="1" applyBorder="1" applyAlignment="1">
      <alignment horizontal="right" vertical="center" wrapText="1"/>
    </xf>
    <xf numFmtId="3" fontId="41" fillId="0" borderId="83" xfId="0" applyNumberFormat="1" applyFont="1" applyBorder="1" applyAlignment="1">
      <alignment horizontal="right" vertical="center" wrapText="1"/>
    </xf>
    <xf numFmtId="3" fontId="41" fillId="0" borderId="25" xfId="0" applyNumberFormat="1" applyFont="1" applyBorder="1" applyAlignment="1">
      <alignment horizontal="right" vertical="center" wrapText="1"/>
    </xf>
    <xf numFmtId="3" fontId="41" fillId="0" borderId="26" xfId="0" applyNumberFormat="1" applyFont="1" applyBorder="1" applyAlignment="1">
      <alignment horizontal="right" vertical="center" wrapText="1"/>
    </xf>
    <xf numFmtId="0" fontId="35" fillId="0" borderId="92" xfId="0" applyFont="1" applyBorder="1" applyAlignment="1">
      <alignment horizontal="center" vertical="center"/>
    </xf>
    <xf numFmtId="49" fontId="38" fillId="0" borderId="93" xfId="0" applyNumberFormat="1" applyFont="1" applyBorder="1" applyAlignment="1">
      <alignment horizontal="center" vertical="center" wrapText="1"/>
    </xf>
    <xf numFmtId="3" fontId="39" fillId="0" borderId="75" xfId="0" applyNumberFormat="1" applyFont="1" applyBorder="1" applyAlignment="1">
      <alignment horizontal="right" vertical="center" wrapText="1"/>
    </xf>
    <xf numFmtId="3" fontId="41" fillId="0" borderId="75" xfId="0" applyNumberFormat="1" applyFont="1" applyBorder="1" applyAlignment="1">
      <alignment horizontal="right" vertical="center" wrapText="1"/>
    </xf>
    <xf numFmtId="3" fontId="41" fillId="33" borderId="75" xfId="55" applyNumberFormat="1" applyFont="1" applyFill="1" applyBorder="1" applyAlignment="1">
      <alignment horizontal="right" vertical="center"/>
      <protection/>
    </xf>
    <xf numFmtId="3" fontId="41" fillId="34" borderId="75" xfId="0" applyNumberFormat="1" applyFont="1" applyFill="1" applyBorder="1" applyAlignment="1">
      <alignment horizontal="right" vertical="center" wrapText="1"/>
    </xf>
    <xf numFmtId="3" fontId="39" fillId="0" borderId="75" xfId="55" applyNumberFormat="1" applyFont="1" applyBorder="1" applyAlignment="1">
      <alignment horizontal="right" vertical="center" wrapText="1"/>
      <protection/>
    </xf>
    <xf numFmtId="3" fontId="41" fillId="0" borderId="75" xfId="55" applyNumberFormat="1" applyFont="1" applyBorder="1" applyAlignment="1">
      <alignment horizontal="right" vertical="center" wrapText="1"/>
      <protection/>
    </xf>
    <xf numFmtId="3" fontId="40" fillId="0" borderId="75" xfId="55" applyNumberFormat="1" applyFont="1" applyBorder="1" applyAlignment="1">
      <alignment horizontal="right" vertical="center" wrapText="1"/>
      <protection/>
    </xf>
    <xf numFmtId="3" fontId="40" fillId="38" borderId="75" xfId="55" applyNumberFormat="1" applyFont="1" applyFill="1" applyBorder="1" applyAlignment="1">
      <alignment horizontal="right" vertical="center" wrapText="1"/>
      <protection/>
    </xf>
    <xf numFmtId="3" fontId="45" fillId="35" borderId="75" xfId="55" applyNumberFormat="1" applyFont="1" applyFill="1" applyBorder="1" applyAlignment="1">
      <alignment horizontal="right" vertical="center" wrapText="1"/>
      <protection/>
    </xf>
    <xf numFmtId="3" fontId="39" fillId="0" borderId="75" xfId="0" applyNumberFormat="1" applyFont="1" applyBorder="1" applyAlignment="1">
      <alignment horizontal="right" vertical="center"/>
    </xf>
    <xf numFmtId="3" fontId="41" fillId="0" borderId="75" xfId="0" applyNumberFormat="1" applyFont="1" applyBorder="1" applyAlignment="1">
      <alignment horizontal="right" vertical="center"/>
    </xf>
    <xf numFmtId="3" fontId="40" fillId="0" borderId="75" xfId="0" applyNumberFormat="1" applyFont="1" applyBorder="1" applyAlignment="1">
      <alignment horizontal="right" vertical="center"/>
    </xf>
    <xf numFmtId="3" fontId="38" fillId="36" borderId="75" xfId="0" applyNumberFormat="1" applyFont="1" applyFill="1" applyBorder="1" applyAlignment="1">
      <alignment horizontal="right" vertical="center"/>
    </xf>
    <xf numFmtId="3" fontId="67" fillId="37" borderId="93" xfId="0" applyNumberFormat="1" applyFont="1" applyFill="1" applyBorder="1" applyAlignment="1">
      <alignment horizontal="right" vertical="center"/>
    </xf>
    <xf numFmtId="3" fontId="39" fillId="0" borderId="75" xfId="55" applyNumberFormat="1" applyFont="1" applyBorder="1" applyAlignment="1">
      <alignment horizontal="right" vertical="center"/>
      <protection/>
    </xf>
    <xf numFmtId="0" fontId="40" fillId="0" borderId="10" xfId="0" applyFont="1" applyBorder="1" applyAlignment="1" quotePrefix="1">
      <alignment horizontal="right" vertical="center"/>
    </xf>
    <xf numFmtId="3" fontId="42" fillId="0" borderId="23" xfId="0" applyNumberFormat="1" applyFont="1" applyFill="1" applyBorder="1" applyAlignment="1">
      <alignment horizontal="right" vertical="center"/>
    </xf>
    <xf numFmtId="3" fontId="42" fillId="0" borderId="75" xfId="0" applyNumberFormat="1" applyFont="1" applyFill="1" applyBorder="1" applyAlignment="1">
      <alignment horizontal="right" vertical="center"/>
    </xf>
    <xf numFmtId="3" fontId="42" fillId="0" borderId="83" xfId="0" applyNumberFormat="1" applyFont="1" applyFill="1" applyBorder="1" applyAlignment="1">
      <alignment horizontal="right" vertical="center"/>
    </xf>
    <xf numFmtId="0" fontId="50" fillId="0" borderId="0" xfId="0" applyFont="1" applyAlignment="1">
      <alignment/>
    </xf>
    <xf numFmtId="0" fontId="35" fillId="0" borderId="0" xfId="0" applyFont="1" applyAlignment="1">
      <alignment horizontal="right"/>
    </xf>
    <xf numFmtId="3" fontId="28" fillId="0" borderId="0" xfId="0" applyNumberFormat="1" applyFont="1" applyAlignment="1">
      <alignment/>
    </xf>
    <xf numFmtId="174" fontId="28" fillId="0" borderId="0" xfId="62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06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;nkorm&#225;nyzat\K&#246;lts&#233;gvet&#233;s\2018\Dunaszekcs&#337;\Z&#225;r&#225;s\K&#246;lts&#233;gvet&#233;s%20&#246;sszes&#237;t&#33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4;nkorm&#225;nyzat\K&#246;lts&#233;gvet&#233;s\2019\Dunaszekcs&#337;\M&#243;dos&#237;tott\Z&#225;r&#225;s%20terv\&#211;voda%20&#233;s%20Konyha%20K&#246;lts&#233;gvet&#233;s%202019.%2012.%2019-ig%20telj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i főösszesítő"/>
      <sheetName val="01-03"/>
      <sheetName val="02-04"/>
      <sheetName val="KÖH"/>
      <sheetName val="Óvoda és Konyh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Óvoda"/>
      <sheetName val="Kony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73.625" style="0" bestFit="1" customWidth="1"/>
    <col min="2" max="2" width="17.00390625" style="0" bestFit="1" customWidth="1"/>
    <col min="3" max="3" width="15.75390625" style="0" bestFit="1" customWidth="1"/>
    <col min="4" max="7" width="14.25390625" style="0" bestFit="1" customWidth="1"/>
    <col min="8" max="8" width="18.25390625" style="0" bestFit="1" customWidth="1"/>
    <col min="9" max="9" width="15.75390625" style="0" bestFit="1" customWidth="1"/>
  </cols>
  <sheetData>
    <row r="1" spans="1:9" ht="18">
      <c r="A1" s="38" t="s">
        <v>600</v>
      </c>
      <c r="B1" s="38"/>
      <c r="C1" s="38"/>
      <c r="D1" s="38"/>
      <c r="E1" s="38"/>
      <c r="F1" s="38"/>
      <c r="G1" s="38"/>
      <c r="H1" s="38"/>
      <c r="I1" s="38"/>
    </row>
    <row r="2" spans="1:9" ht="18">
      <c r="A2" s="39" t="s">
        <v>575</v>
      </c>
      <c r="B2" s="39"/>
      <c r="C2" s="39"/>
      <c r="D2" s="39"/>
      <c r="E2" s="39"/>
      <c r="F2" s="39"/>
      <c r="G2" s="39"/>
      <c r="H2" s="39"/>
      <c r="I2" s="39"/>
    </row>
    <row r="3" spans="2:9" ht="32.25" thickBot="1">
      <c r="B3" s="40"/>
      <c r="C3" s="40"/>
      <c r="D3" s="40"/>
      <c r="E3" s="40"/>
      <c r="I3" s="41" t="s">
        <v>576</v>
      </c>
    </row>
    <row r="4" spans="1:9" ht="16.5" thickBot="1">
      <c r="A4" s="42" t="s">
        <v>9</v>
      </c>
      <c r="B4" s="43" t="s">
        <v>577</v>
      </c>
      <c r="C4" s="44" t="s">
        <v>13</v>
      </c>
      <c r="D4" s="45" t="s">
        <v>578</v>
      </c>
      <c r="E4" s="44" t="s">
        <v>13</v>
      </c>
      <c r="F4" s="46" t="s">
        <v>815</v>
      </c>
      <c r="G4" s="46" t="s">
        <v>13</v>
      </c>
      <c r="H4" s="47" t="s">
        <v>580</v>
      </c>
      <c r="I4" s="47" t="s">
        <v>13</v>
      </c>
    </row>
    <row r="5" spans="1:9" ht="15">
      <c r="A5" s="48" t="s">
        <v>581</v>
      </c>
      <c r="B5" s="49">
        <f>+'Dsz.Önk.'!D15</f>
        <v>26194400</v>
      </c>
      <c r="C5" s="50">
        <f>+'Dsz.Önk.'!F15</f>
        <v>26194400</v>
      </c>
      <c r="D5" s="51">
        <f>+KÖH!M45</f>
        <v>33891046.96992481</v>
      </c>
      <c r="E5" s="50">
        <f>+KÖH!N45</f>
        <v>33891047</v>
      </c>
      <c r="F5" s="52">
        <f>+'Óv. és Ko.'!K35</f>
        <v>44377729</v>
      </c>
      <c r="G5" s="52">
        <f>+'Óv. és Ko.'!L35</f>
        <v>44377729</v>
      </c>
      <c r="H5" s="53">
        <f aca="true" t="shared" si="0" ref="H5:I25">+B5+D5+F5</f>
        <v>104463175.96992481</v>
      </c>
      <c r="I5" s="53">
        <f t="shared" si="0"/>
        <v>104463176</v>
      </c>
    </row>
    <row r="6" spans="1:9" ht="15">
      <c r="A6" s="54" t="s">
        <v>582</v>
      </c>
      <c r="B6" s="49">
        <f>+'Dsz.Önk.'!D16</f>
        <v>4332828</v>
      </c>
      <c r="C6" s="50">
        <f>+'Dsz.Önk.'!F16</f>
        <v>4332828</v>
      </c>
      <c r="D6" s="51">
        <f>+KÖH!M46</f>
        <v>6356307.4</v>
      </c>
      <c r="E6" s="50">
        <f>+KÖH!N46</f>
        <v>6356308</v>
      </c>
      <c r="F6" s="52">
        <f>+'Óv. és Ko.'!K36</f>
        <v>8731385</v>
      </c>
      <c r="G6" s="52">
        <f>+'Óv. és Ko.'!L36</f>
        <v>8731385</v>
      </c>
      <c r="H6" s="53">
        <f t="shared" si="0"/>
        <v>19420520.4</v>
      </c>
      <c r="I6" s="53">
        <f t="shared" si="0"/>
        <v>19420521</v>
      </c>
    </row>
    <row r="7" spans="1:9" ht="15">
      <c r="A7" s="54" t="s">
        <v>583</v>
      </c>
      <c r="B7" s="55">
        <f>+'Dsz.Önk.'!D42</f>
        <v>37995043</v>
      </c>
      <c r="C7" s="56">
        <f>+'Dsz.Önk.'!F42</f>
        <v>37860896</v>
      </c>
      <c r="D7" s="57">
        <f>+KÖH!M87</f>
        <v>7241083</v>
      </c>
      <c r="E7" s="56">
        <f>+KÖH!N87</f>
        <v>6089502</v>
      </c>
      <c r="F7" s="58">
        <f>+'Óv. és Ko.'!K62</f>
        <v>31743710</v>
      </c>
      <c r="G7" s="58">
        <f>+'Óv. és Ko.'!L62</f>
        <v>30202872</v>
      </c>
      <c r="H7" s="53">
        <f t="shared" si="0"/>
        <v>76979836</v>
      </c>
      <c r="I7" s="53">
        <f t="shared" si="0"/>
        <v>74153270</v>
      </c>
    </row>
    <row r="8" spans="1:9" ht="15">
      <c r="A8" s="54" t="s">
        <v>584</v>
      </c>
      <c r="B8" s="55">
        <f>+'Dsz.Önk.'!D49</f>
        <v>4680475</v>
      </c>
      <c r="C8" s="56">
        <f>+'Dsz.Önk.'!F49</f>
        <v>4680475</v>
      </c>
      <c r="D8" s="57">
        <v>0</v>
      </c>
      <c r="E8" s="56">
        <v>0</v>
      </c>
      <c r="F8" s="58">
        <v>0</v>
      </c>
      <c r="G8" s="58">
        <v>0</v>
      </c>
      <c r="H8" s="53">
        <f t="shared" si="0"/>
        <v>4680475</v>
      </c>
      <c r="I8" s="53">
        <f t="shared" si="0"/>
        <v>4680475</v>
      </c>
    </row>
    <row r="9" spans="1:9" ht="15">
      <c r="A9" s="54" t="s">
        <v>585</v>
      </c>
      <c r="B9" s="55">
        <f>+'Dsz.Önk.'!D59</f>
        <v>176578244</v>
      </c>
      <c r="C9" s="56">
        <f>+'Dsz.Önk.'!F59</f>
        <v>51781807</v>
      </c>
      <c r="D9" s="57">
        <v>0</v>
      </c>
      <c r="E9" s="56">
        <v>0</v>
      </c>
      <c r="F9" s="58">
        <v>0</v>
      </c>
      <c r="G9" s="58">
        <v>0</v>
      </c>
      <c r="H9" s="53">
        <f t="shared" si="0"/>
        <v>176578244</v>
      </c>
      <c r="I9" s="53">
        <f t="shared" si="0"/>
        <v>51781807</v>
      </c>
    </row>
    <row r="10" spans="1:9" ht="15">
      <c r="A10" s="54" t="s">
        <v>586</v>
      </c>
      <c r="B10" s="55">
        <f>+'Dsz.Önk.'!D64</f>
        <v>6402844</v>
      </c>
      <c r="C10" s="56">
        <f>+'Dsz.Önk.'!F64</f>
        <v>4968244</v>
      </c>
      <c r="D10" s="57">
        <f>+KÖH!M91</f>
        <v>2952586</v>
      </c>
      <c r="E10" s="56">
        <f>+KÖH!N91</f>
        <v>2952586</v>
      </c>
      <c r="F10" s="58">
        <f>+'Óv. és Ko.'!K67</f>
        <v>562760</v>
      </c>
      <c r="G10" s="58">
        <f>+'Óv. és Ko.'!L67</f>
        <v>562760</v>
      </c>
      <c r="H10" s="53">
        <f t="shared" si="0"/>
        <v>9918190</v>
      </c>
      <c r="I10" s="53">
        <f t="shared" si="0"/>
        <v>8483590</v>
      </c>
    </row>
    <row r="11" spans="1:9" ht="15">
      <c r="A11" s="54" t="s">
        <v>587</v>
      </c>
      <c r="B11" s="55">
        <f>+'Dsz.Önk.'!D68</f>
        <v>50748743</v>
      </c>
      <c r="C11" s="56">
        <f>+'Dsz.Önk.'!F68</f>
        <v>50748743</v>
      </c>
      <c r="D11" s="57">
        <f>+KÖH!M94</f>
        <v>6967012</v>
      </c>
      <c r="E11" s="56">
        <f>+KÖH!N94</f>
        <v>6967012</v>
      </c>
      <c r="F11" s="58">
        <v>0</v>
      </c>
      <c r="G11" s="58">
        <v>0</v>
      </c>
      <c r="H11" s="53">
        <f t="shared" si="0"/>
        <v>57715755</v>
      </c>
      <c r="I11" s="53">
        <f t="shared" si="0"/>
        <v>57715755</v>
      </c>
    </row>
    <row r="12" spans="1:9" ht="15">
      <c r="A12" s="54" t="s">
        <v>588</v>
      </c>
      <c r="B12" s="55">
        <v>0</v>
      </c>
      <c r="C12" s="56">
        <v>0</v>
      </c>
      <c r="D12" s="57">
        <v>0</v>
      </c>
      <c r="E12" s="56">
        <v>0</v>
      </c>
      <c r="F12" s="58">
        <v>0</v>
      </c>
      <c r="G12" s="58">
        <v>0</v>
      </c>
      <c r="H12" s="53">
        <f t="shared" si="0"/>
        <v>0</v>
      </c>
      <c r="I12" s="53">
        <f t="shared" si="0"/>
        <v>0</v>
      </c>
    </row>
    <row r="13" spans="1:9" ht="15">
      <c r="A13" s="59" t="s">
        <v>589</v>
      </c>
      <c r="B13" s="60">
        <f>SUM(B5:B12)</f>
        <v>306932577</v>
      </c>
      <c r="C13" s="61">
        <f>SUM(C5:C12)</f>
        <v>180567393</v>
      </c>
      <c r="D13" s="62">
        <f>SUM(D5:D12)</f>
        <v>57408035.369924806</v>
      </c>
      <c r="E13" s="61">
        <f>SUM(E5:E12)</f>
        <v>56256455</v>
      </c>
      <c r="F13" s="63">
        <f>SUM(F5:F12)</f>
        <v>85415584</v>
      </c>
      <c r="G13" s="63">
        <f>SUM(G5:G12)</f>
        <v>83874746</v>
      </c>
      <c r="H13" s="64">
        <f t="shared" si="0"/>
        <v>449756196.3699248</v>
      </c>
      <c r="I13" s="64">
        <f t="shared" si="0"/>
        <v>320698594</v>
      </c>
    </row>
    <row r="14" spans="1:9" ht="15.75" thickBot="1">
      <c r="A14" s="65" t="s">
        <v>3</v>
      </c>
      <c r="B14" s="66">
        <f>+'Dsz.Önk.'!D74</f>
        <v>5035762</v>
      </c>
      <c r="C14" s="67">
        <f>+'Dsz.Önk.'!F74</f>
        <v>5035762</v>
      </c>
      <c r="D14" s="68">
        <v>0</v>
      </c>
      <c r="E14" s="67">
        <v>0</v>
      </c>
      <c r="F14" s="69">
        <v>0</v>
      </c>
      <c r="G14" s="69">
        <v>0</v>
      </c>
      <c r="H14" s="64">
        <f t="shared" si="0"/>
        <v>5035762</v>
      </c>
      <c r="I14" s="64">
        <f t="shared" si="0"/>
        <v>5035762</v>
      </c>
    </row>
    <row r="15" spans="1:9" ht="15.75" thickBot="1">
      <c r="A15" s="70" t="s">
        <v>590</v>
      </c>
      <c r="B15" s="71">
        <f>B13+B14</f>
        <v>311968339</v>
      </c>
      <c r="C15" s="72">
        <f>C13+C14</f>
        <v>185603155</v>
      </c>
      <c r="D15" s="73">
        <f>D13</f>
        <v>57408035.369924806</v>
      </c>
      <c r="E15" s="72">
        <f>E13</f>
        <v>56256455</v>
      </c>
      <c r="F15" s="74">
        <f>F13</f>
        <v>85415584</v>
      </c>
      <c r="G15" s="74">
        <f>G13</f>
        <v>83874746</v>
      </c>
      <c r="H15" s="75">
        <f t="shared" si="0"/>
        <v>454791958.3699248</v>
      </c>
      <c r="I15" s="75">
        <f t="shared" si="0"/>
        <v>325734356</v>
      </c>
    </row>
    <row r="16" spans="1:9" ht="15">
      <c r="A16" s="48" t="s">
        <v>591</v>
      </c>
      <c r="B16" s="49">
        <f>+'Dsz.Önk.'!D93</f>
        <v>184932188</v>
      </c>
      <c r="C16" s="50">
        <f>+'Dsz.Önk.'!F93</f>
        <v>184932188</v>
      </c>
      <c r="D16" s="51">
        <f>+KÖH!M15</f>
        <v>5145147</v>
      </c>
      <c r="E16" s="50">
        <f>+KÖH!N15</f>
        <v>5145147</v>
      </c>
      <c r="F16" s="52">
        <v>0</v>
      </c>
      <c r="G16" s="52">
        <v>0</v>
      </c>
      <c r="H16" s="53">
        <f t="shared" si="0"/>
        <v>190077335</v>
      </c>
      <c r="I16" s="53">
        <f t="shared" si="0"/>
        <v>190077335</v>
      </c>
    </row>
    <row r="17" spans="1:9" ht="15">
      <c r="A17" s="54" t="s">
        <v>592</v>
      </c>
      <c r="B17" s="55">
        <f>+'Dsz.Önk.'!D98</f>
        <v>42520144</v>
      </c>
      <c r="C17" s="56">
        <f>+'Dsz.Önk.'!F98</f>
        <v>42520144</v>
      </c>
      <c r="D17" s="57">
        <v>0</v>
      </c>
      <c r="E17" s="56">
        <v>0</v>
      </c>
      <c r="F17" s="58">
        <f>+'Óv. és Ko.'!K7</f>
        <v>0</v>
      </c>
      <c r="G17" s="58">
        <f>+'Óv. és Ko.'!L7</f>
        <v>1300000</v>
      </c>
      <c r="H17" s="76">
        <f t="shared" si="0"/>
        <v>42520144</v>
      </c>
      <c r="I17" s="76">
        <f t="shared" si="0"/>
        <v>43820144</v>
      </c>
    </row>
    <row r="18" spans="1:9" ht="15">
      <c r="A18" s="54" t="s">
        <v>593</v>
      </c>
      <c r="B18" s="55">
        <f>+'Dsz.Önk.'!D114</f>
        <v>57979509</v>
      </c>
      <c r="C18" s="56">
        <f>+'Dsz.Önk.'!F114</f>
        <v>50115921</v>
      </c>
      <c r="D18" s="57">
        <v>0</v>
      </c>
      <c r="E18" s="56">
        <v>0</v>
      </c>
      <c r="F18" s="58">
        <v>0</v>
      </c>
      <c r="G18" s="58">
        <v>0</v>
      </c>
      <c r="H18" s="76">
        <f t="shared" si="0"/>
        <v>57979509</v>
      </c>
      <c r="I18" s="76">
        <f t="shared" si="0"/>
        <v>50115921</v>
      </c>
    </row>
    <row r="19" spans="1:9" ht="15">
      <c r="A19" s="54" t="s">
        <v>594</v>
      </c>
      <c r="B19" s="55">
        <f>+'Dsz.Önk.'!D126</f>
        <v>10221535</v>
      </c>
      <c r="C19" s="56">
        <f>+'Dsz.Önk.'!F126</f>
        <v>9730418</v>
      </c>
      <c r="D19" s="57">
        <f>+KÖH!M20</f>
        <v>5376</v>
      </c>
      <c r="E19" s="56">
        <f>+KÖH!N20</f>
        <v>5376</v>
      </c>
      <c r="F19" s="58">
        <f>+'Óv. és Ko.'!K14</f>
        <v>14753804</v>
      </c>
      <c r="G19" s="58">
        <f>+'Óv. és Ko.'!L14</f>
        <v>14753804</v>
      </c>
      <c r="H19" s="76">
        <f t="shared" si="0"/>
        <v>24980715</v>
      </c>
      <c r="I19" s="76">
        <f t="shared" si="0"/>
        <v>24489598</v>
      </c>
    </row>
    <row r="20" spans="1:9" ht="15">
      <c r="A20" s="54" t="s">
        <v>595</v>
      </c>
      <c r="B20" s="55">
        <v>0</v>
      </c>
      <c r="C20" s="56">
        <v>0</v>
      </c>
      <c r="D20" s="57">
        <v>0</v>
      </c>
      <c r="E20" s="56">
        <v>0</v>
      </c>
      <c r="F20" s="58">
        <v>0</v>
      </c>
      <c r="G20" s="58"/>
      <c r="H20" s="76">
        <f t="shared" si="0"/>
        <v>0</v>
      </c>
      <c r="I20" s="76">
        <f t="shared" si="0"/>
        <v>0</v>
      </c>
    </row>
    <row r="21" spans="1:9" ht="15">
      <c r="A21" s="54" t="s">
        <v>596</v>
      </c>
      <c r="B21" s="55">
        <f>+'Dsz.Önk.'!D130</f>
        <v>3431530</v>
      </c>
      <c r="C21" s="56">
        <f>+'Dsz.Önk.'!F130</f>
        <v>3359440</v>
      </c>
      <c r="D21" s="57">
        <v>0</v>
      </c>
      <c r="E21" s="56">
        <v>0</v>
      </c>
      <c r="F21" s="58">
        <v>0</v>
      </c>
      <c r="G21" s="58"/>
      <c r="H21" s="76">
        <f t="shared" si="0"/>
        <v>3431530</v>
      </c>
      <c r="I21" s="76">
        <f t="shared" si="0"/>
        <v>3359440</v>
      </c>
    </row>
    <row r="22" spans="1:9" ht="15">
      <c r="A22" s="54" t="s">
        <v>597</v>
      </c>
      <c r="B22" s="55">
        <f>+'Dsz.Önk.'!D133</f>
        <v>1164100</v>
      </c>
      <c r="C22" s="56">
        <f>+'Dsz.Önk.'!F133</f>
        <v>1164100</v>
      </c>
      <c r="D22" s="57">
        <v>0</v>
      </c>
      <c r="E22" s="56">
        <v>0</v>
      </c>
      <c r="F22" s="58">
        <v>0</v>
      </c>
      <c r="G22" s="58"/>
      <c r="H22" s="76">
        <f t="shared" si="0"/>
        <v>1164100</v>
      </c>
      <c r="I22" s="76">
        <f t="shared" si="0"/>
        <v>1164100</v>
      </c>
    </row>
    <row r="23" spans="1:9" ht="15">
      <c r="A23" s="59" t="s">
        <v>598</v>
      </c>
      <c r="B23" s="60">
        <f>SUM(B16:B22)</f>
        <v>300249006</v>
      </c>
      <c r="C23" s="61">
        <f>SUM(C16:C22)</f>
        <v>291822211</v>
      </c>
      <c r="D23" s="62">
        <f>D16+D19</f>
        <v>5150523</v>
      </c>
      <c r="E23" s="61">
        <f>E16+E19</f>
        <v>5150523</v>
      </c>
      <c r="F23" s="63">
        <f>SUM(F19)</f>
        <v>14753804</v>
      </c>
      <c r="G23" s="63">
        <f>SUM(G16:G22)</f>
        <v>16053804</v>
      </c>
      <c r="H23" s="77">
        <f t="shared" si="0"/>
        <v>320153333</v>
      </c>
      <c r="I23" s="77">
        <f t="shared" si="0"/>
        <v>313026538</v>
      </c>
    </row>
    <row r="24" spans="1:9" ht="15.75" thickBot="1">
      <c r="A24" s="65" t="s">
        <v>5</v>
      </c>
      <c r="B24" s="66">
        <f>+'Dsz.Önk.'!D143</f>
        <v>126983733</v>
      </c>
      <c r="C24" s="67">
        <f>+'Dsz.Önk.'!F143</f>
        <v>126983733</v>
      </c>
      <c r="D24" s="68">
        <f>+KÖH!M23</f>
        <v>5461615</v>
      </c>
      <c r="E24" s="67">
        <f>+KÖH!N23</f>
        <v>5461615</v>
      </c>
      <c r="F24" s="69">
        <f>+'Óv. és Ko.'!K17</f>
        <v>2193277</v>
      </c>
      <c r="G24" s="69">
        <f>+'Óv. és Ko.'!L17</f>
        <v>2193277</v>
      </c>
      <c r="H24" s="78">
        <f t="shared" si="0"/>
        <v>134638625</v>
      </c>
      <c r="I24" s="78">
        <f t="shared" si="0"/>
        <v>134638625</v>
      </c>
    </row>
    <row r="25" spans="1:9" ht="15.75" thickBot="1">
      <c r="A25" s="70" t="s">
        <v>599</v>
      </c>
      <c r="B25" s="71">
        <f>SUM(B23:B24)</f>
        <v>427232739</v>
      </c>
      <c r="C25" s="72">
        <f>SUM(C23:C24)</f>
        <v>418805944</v>
      </c>
      <c r="D25" s="73">
        <f>SUM(D23:D24)</f>
        <v>10612138</v>
      </c>
      <c r="E25" s="72">
        <f>SUM(E23:E24)</f>
        <v>10612138</v>
      </c>
      <c r="F25" s="74">
        <f>SUM(F23:F24)</f>
        <v>16947081</v>
      </c>
      <c r="G25" s="74">
        <f>SUM(G23:G24)</f>
        <v>18247081</v>
      </c>
      <c r="H25" s="75">
        <f t="shared" si="0"/>
        <v>454791958</v>
      </c>
      <c r="I25" s="75">
        <f t="shared" si="0"/>
        <v>447665163</v>
      </c>
    </row>
    <row r="26" spans="8:9" ht="15.75">
      <c r="H26" s="488" t="s">
        <v>814</v>
      </c>
      <c r="I26" s="489">
        <f>+I25-I15</f>
        <v>121930807</v>
      </c>
    </row>
    <row r="27" spans="8:9" ht="15.75">
      <c r="H27" s="488" t="s">
        <v>812</v>
      </c>
      <c r="I27" s="490">
        <f>+I15/I25</f>
        <v>0.7276294492453057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.00390625" style="0" bestFit="1" customWidth="1"/>
    <col min="2" max="2" width="41.00390625" style="0" customWidth="1"/>
    <col min="3" max="3" width="31.625" style="0" bestFit="1" customWidth="1"/>
    <col min="4" max="4" width="29.125" style="0" bestFit="1" customWidth="1"/>
    <col min="5" max="5" width="30.875" style="0" bestFit="1" customWidth="1"/>
    <col min="6" max="6" width="17.75390625" style="0" bestFit="1" customWidth="1"/>
  </cols>
  <sheetData>
    <row r="1" spans="1:6" ht="15.75">
      <c r="A1" s="29" t="s">
        <v>339</v>
      </c>
      <c r="B1" s="30"/>
      <c r="C1" s="30"/>
      <c r="D1" s="30"/>
      <c r="E1" s="30"/>
      <c r="F1" s="30"/>
    </row>
    <row r="2" spans="1:6" ht="78.75">
      <c r="A2" s="31" t="s">
        <v>8</v>
      </c>
      <c r="B2" s="31" t="s">
        <v>9</v>
      </c>
      <c r="C2" s="31" t="s">
        <v>340</v>
      </c>
      <c r="D2" s="31" t="s">
        <v>341</v>
      </c>
      <c r="E2" s="31" t="s">
        <v>342</v>
      </c>
      <c r="F2" s="31" t="s">
        <v>343</v>
      </c>
    </row>
    <row r="3" spans="1:6" ht="15.75">
      <c r="A3" s="31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</row>
    <row r="4" spans="1:6" ht="38.25">
      <c r="A4" s="5" t="s">
        <v>0</v>
      </c>
      <c r="B4" s="6" t="s">
        <v>344</v>
      </c>
      <c r="C4" s="7">
        <v>94047</v>
      </c>
      <c r="D4" s="7">
        <v>94047</v>
      </c>
      <c r="E4" s="7">
        <v>0</v>
      </c>
      <c r="F4" s="7">
        <v>0</v>
      </c>
    </row>
    <row r="5" spans="1:6" ht="25.5">
      <c r="A5" s="5" t="s">
        <v>1</v>
      </c>
      <c r="B5" s="6" t="s">
        <v>345</v>
      </c>
      <c r="C5" s="7">
        <v>131000</v>
      </c>
      <c r="D5" s="7">
        <v>131000</v>
      </c>
      <c r="E5" s="7">
        <v>0</v>
      </c>
      <c r="F5" s="7">
        <v>0</v>
      </c>
    </row>
    <row r="6" spans="1:6" ht="25.5">
      <c r="A6" s="5" t="s">
        <v>4</v>
      </c>
      <c r="B6" s="6" t="s">
        <v>346</v>
      </c>
      <c r="C6" s="7">
        <v>16717957</v>
      </c>
      <c r="D6" s="7">
        <v>16717957</v>
      </c>
      <c r="E6" s="7">
        <v>0</v>
      </c>
      <c r="F6" s="7">
        <v>0</v>
      </c>
    </row>
    <row r="7" spans="1:6" ht="38.25">
      <c r="A7" s="5" t="s">
        <v>6</v>
      </c>
      <c r="B7" s="6" t="s">
        <v>347</v>
      </c>
      <c r="C7" s="7">
        <v>2326830</v>
      </c>
      <c r="D7" s="7">
        <v>2326830</v>
      </c>
      <c r="E7" s="7">
        <v>0</v>
      </c>
      <c r="F7" s="7">
        <v>0</v>
      </c>
    </row>
    <row r="8" spans="1:6" ht="38.25">
      <c r="A8" s="8" t="s">
        <v>251</v>
      </c>
      <c r="B8" s="9" t="s">
        <v>348</v>
      </c>
      <c r="C8" s="10">
        <v>2326830</v>
      </c>
      <c r="D8" s="10">
        <v>2326830</v>
      </c>
      <c r="E8" s="10">
        <v>0</v>
      </c>
      <c r="F8" s="10">
        <v>0</v>
      </c>
    </row>
    <row r="9" spans="1:6" ht="25.5">
      <c r="A9" s="5" t="s">
        <v>37</v>
      </c>
      <c r="B9" s="6" t="s">
        <v>349</v>
      </c>
      <c r="C9" s="7">
        <v>27834300</v>
      </c>
      <c r="D9" s="7">
        <v>20184400</v>
      </c>
      <c r="E9" s="7">
        <v>0</v>
      </c>
      <c r="F9" s="7">
        <v>7649900</v>
      </c>
    </row>
    <row r="10" spans="1:6" ht="12.75">
      <c r="A10" s="5" t="s">
        <v>59</v>
      </c>
      <c r="B10" s="6" t="s">
        <v>350</v>
      </c>
      <c r="C10" s="7">
        <v>6496000</v>
      </c>
      <c r="D10" s="7">
        <v>6496000</v>
      </c>
      <c r="E10" s="7">
        <v>0</v>
      </c>
      <c r="F10" s="7">
        <v>0</v>
      </c>
    </row>
    <row r="11" spans="1:6" ht="38.25">
      <c r="A11" s="8" t="s">
        <v>61</v>
      </c>
      <c r="B11" s="9" t="s">
        <v>351</v>
      </c>
      <c r="C11" s="10">
        <v>34330300</v>
      </c>
      <c r="D11" s="10">
        <v>26680400</v>
      </c>
      <c r="E11" s="10">
        <v>0</v>
      </c>
      <c r="F11" s="10">
        <v>7649900</v>
      </c>
    </row>
    <row r="12" spans="1:6" ht="25.5">
      <c r="A12" s="5" t="s">
        <v>178</v>
      </c>
      <c r="B12" s="6" t="s">
        <v>352</v>
      </c>
      <c r="C12" s="7">
        <v>3705000</v>
      </c>
      <c r="D12" s="7">
        <v>3705000</v>
      </c>
      <c r="E12" s="7">
        <v>0</v>
      </c>
      <c r="F12" s="7">
        <v>0</v>
      </c>
    </row>
    <row r="13" spans="1:6" ht="25.5">
      <c r="A13" s="8" t="s">
        <v>353</v>
      </c>
      <c r="B13" s="9" t="s">
        <v>354</v>
      </c>
      <c r="C13" s="10">
        <v>57305134</v>
      </c>
      <c r="D13" s="10">
        <v>49655234</v>
      </c>
      <c r="E13" s="10">
        <v>0</v>
      </c>
      <c r="F13" s="10">
        <v>7649900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4.00390625" style="0" bestFit="1" customWidth="1"/>
    <col min="2" max="2" width="38.25390625" style="0" bestFit="1" customWidth="1"/>
    <col min="3" max="3" width="30.875" style="0" bestFit="1" customWidth="1"/>
    <col min="4" max="4" width="31.125" style="0" bestFit="1" customWidth="1"/>
    <col min="5" max="5" width="29.125" style="0" bestFit="1" customWidth="1"/>
  </cols>
  <sheetData>
    <row r="1" spans="1:5" ht="20.25" customHeight="1">
      <c r="A1" s="35" t="s">
        <v>355</v>
      </c>
      <c r="B1" s="36"/>
      <c r="C1" s="36"/>
      <c r="D1" s="36"/>
      <c r="E1" s="36"/>
    </row>
    <row r="2" spans="1:5" ht="78.75">
      <c r="A2" s="37" t="s">
        <v>8</v>
      </c>
      <c r="B2" s="37" t="s">
        <v>9</v>
      </c>
      <c r="C2" s="37" t="s">
        <v>356</v>
      </c>
      <c r="D2" s="37" t="s">
        <v>357</v>
      </c>
      <c r="E2" s="37" t="s">
        <v>358</v>
      </c>
    </row>
    <row r="3" spans="1:5" ht="15.75">
      <c r="A3" s="37">
        <v>1</v>
      </c>
      <c r="B3" s="37">
        <v>2</v>
      </c>
      <c r="C3" s="37">
        <v>3</v>
      </c>
      <c r="D3" s="37">
        <v>4</v>
      </c>
      <c r="E3" s="37">
        <v>5</v>
      </c>
    </row>
    <row r="4" spans="1:5" ht="25.5">
      <c r="A4" s="5" t="s">
        <v>359</v>
      </c>
      <c r="B4" s="6" t="s">
        <v>360</v>
      </c>
      <c r="C4" s="7">
        <v>12548</v>
      </c>
      <c r="D4" s="7">
        <v>12548</v>
      </c>
      <c r="E4" s="7">
        <v>0</v>
      </c>
    </row>
    <row r="5" spans="1:5" ht="51">
      <c r="A5" s="5" t="s">
        <v>361</v>
      </c>
      <c r="B5" s="6" t="s">
        <v>362</v>
      </c>
      <c r="C5" s="7">
        <v>2616000</v>
      </c>
      <c r="D5" s="7">
        <v>2399998</v>
      </c>
      <c r="E5" s="7">
        <v>216002</v>
      </c>
    </row>
    <row r="6" spans="1:5" ht="25.5">
      <c r="A6" s="8" t="s">
        <v>109</v>
      </c>
      <c r="B6" s="9" t="s">
        <v>363</v>
      </c>
      <c r="C6" s="10">
        <v>2628548</v>
      </c>
      <c r="D6" s="10">
        <v>2412546</v>
      </c>
      <c r="E6" s="10">
        <v>216002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19" sqref="M19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13" width="32.875" style="0" customWidth="1"/>
  </cols>
  <sheetData>
    <row r="1" spans="1:13" ht="15.75">
      <c r="A1" s="29" t="s">
        <v>364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30"/>
    </row>
    <row r="2" spans="1:13" ht="78.75">
      <c r="A2" s="31" t="s">
        <v>8</v>
      </c>
      <c r="B2" s="31" t="s">
        <v>9</v>
      </c>
      <c r="C2" s="31" t="s">
        <v>365</v>
      </c>
      <c r="D2" s="31" t="s">
        <v>366</v>
      </c>
      <c r="E2" s="31" t="s">
        <v>367</v>
      </c>
      <c r="F2" s="31" t="s">
        <v>368</v>
      </c>
      <c r="G2" s="31" t="s">
        <v>369</v>
      </c>
      <c r="H2" s="31" t="s">
        <v>370</v>
      </c>
      <c r="I2" s="31" t="s">
        <v>371</v>
      </c>
      <c r="J2" s="31" t="s">
        <v>372</v>
      </c>
      <c r="K2" s="31" t="s">
        <v>373</v>
      </c>
      <c r="L2" s="31" t="s">
        <v>374</v>
      </c>
      <c r="M2" s="31" t="s">
        <v>375</v>
      </c>
    </row>
    <row r="3" spans="1:13" ht="15.75">
      <c r="A3" s="31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  <c r="L3" s="31">
        <v>12</v>
      </c>
      <c r="M3" s="31">
        <v>13</v>
      </c>
    </row>
    <row r="4" spans="1:13" ht="25.5">
      <c r="A4" s="5" t="s">
        <v>0</v>
      </c>
      <c r="B4" s="6" t="s">
        <v>376</v>
      </c>
      <c r="C4" s="7">
        <v>61655026</v>
      </c>
      <c r="D4" s="7">
        <v>0</v>
      </c>
      <c r="E4" s="7">
        <v>0</v>
      </c>
      <c r="F4" s="7">
        <v>61655026</v>
      </c>
      <c r="G4" s="7">
        <v>0</v>
      </c>
      <c r="H4" s="7">
        <v>188771541</v>
      </c>
      <c r="I4" s="7">
        <v>61655026</v>
      </c>
      <c r="J4" s="7">
        <v>0</v>
      </c>
      <c r="K4" s="7">
        <v>0</v>
      </c>
      <c r="L4" s="7">
        <v>2056000</v>
      </c>
      <c r="M4" s="7">
        <v>2056000</v>
      </c>
    </row>
    <row r="5" spans="1:13" ht="25.5">
      <c r="A5" s="5" t="s">
        <v>1</v>
      </c>
      <c r="B5" s="6" t="s">
        <v>377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27834300</v>
      </c>
      <c r="I5" s="7">
        <v>0</v>
      </c>
      <c r="J5" s="7">
        <v>0</v>
      </c>
      <c r="K5" s="7">
        <v>0</v>
      </c>
      <c r="L5" s="7">
        <v>0</v>
      </c>
      <c r="M5" s="7">
        <v>0</v>
      </c>
    </row>
    <row r="6" spans="1:13" ht="25.5">
      <c r="A6" s="5" t="s">
        <v>2</v>
      </c>
      <c r="B6" s="6" t="s">
        <v>378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41060290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ht="38.25">
      <c r="A7" s="5" t="s">
        <v>155</v>
      </c>
      <c r="B7" s="6" t="s">
        <v>379</v>
      </c>
      <c r="C7" s="7">
        <v>34615900</v>
      </c>
      <c r="D7" s="7">
        <v>4619642</v>
      </c>
      <c r="E7" s="7">
        <v>-1425467</v>
      </c>
      <c r="F7" s="7">
        <v>37155072</v>
      </c>
      <c r="G7" s="7">
        <v>-655003</v>
      </c>
      <c r="H7" s="7">
        <v>43632526</v>
      </c>
      <c r="I7" s="7">
        <v>37155072</v>
      </c>
      <c r="J7" s="7">
        <v>0</v>
      </c>
      <c r="K7" s="7">
        <v>655003</v>
      </c>
      <c r="L7" s="7">
        <v>650000</v>
      </c>
      <c r="M7" s="7">
        <v>650000</v>
      </c>
    </row>
    <row r="8" spans="1:13" ht="38.25">
      <c r="A8" s="5" t="s">
        <v>19</v>
      </c>
      <c r="B8" s="6" t="s">
        <v>380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12010761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ht="25.5">
      <c r="A9" s="5" t="s">
        <v>21</v>
      </c>
      <c r="B9" s="6" t="s">
        <v>381</v>
      </c>
      <c r="C9" s="7">
        <v>18730155</v>
      </c>
      <c r="D9" s="7">
        <v>0</v>
      </c>
      <c r="E9" s="7">
        <v>-215734</v>
      </c>
      <c r="F9" s="7">
        <v>18514421</v>
      </c>
      <c r="G9" s="7">
        <v>0</v>
      </c>
      <c r="H9" s="7">
        <v>20029121</v>
      </c>
      <c r="I9" s="7">
        <v>18514421</v>
      </c>
      <c r="J9" s="7">
        <v>0</v>
      </c>
      <c r="K9" s="7">
        <v>0</v>
      </c>
      <c r="L9" s="7">
        <v>920000</v>
      </c>
      <c r="M9" s="7">
        <v>920000</v>
      </c>
    </row>
    <row r="10" spans="1:13" ht="25.5">
      <c r="A10" s="5" t="s">
        <v>23</v>
      </c>
      <c r="B10" s="6" t="s">
        <v>382</v>
      </c>
      <c r="C10" s="7">
        <v>1067610</v>
      </c>
      <c r="D10" s="7">
        <v>0</v>
      </c>
      <c r="E10" s="7">
        <v>-207480</v>
      </c>
      <c r="F10" s="7">
        <v>794580</v>
      </c>
      <c r="G10" s="7">
        <v>-65550</v>
      </c>
      <c r="H10" s="7">
        <v>793408</v>
      </c>
      <c r="I10" s="7">
        <v>793408</v>
      </c>
      <c r="J10" s="7">
        <v>0</v>
      </c>
      <c r="K10" s="7">
        <v>66722</v>
      </c>
      <c r="L10" s="7">
        <v>0</v>
      </c>
      <c r="M10" s="7">
        <v>0</v>
      </c>
    </row>
    <row r="11" spans="1:13" ht="12.75">
      <c r="A11" s="8" t="s">
        <v>249</v>
      </c>
      <c r="B11" s="9" t="s">
        <v>383</v>
      </c>
      <c r="C11" s="10">
        <v>116068691</v>
      </c>
      <c r="D11" s="10">
        <v>4619642</v>
      </c>
      <c r="E11" s="10">
        <v>-1848681</v>
      </c>
      <c r="F11" s="10">
        <v>118119099</v>
      </c>
      <c r="G11" s="10">
        <v>-720553</v>
      </c>
      <c r="H11" s="10">
        <v>334131947</v>
      </c>
      <c r="I11" s="10">
        <v>118117927</v>
      </c>
      <c r="J11" s="10">
        <v>0</v>
      </c>
      <c r="K11" s="10">
        <v>721725</v>
      </c>
      <c r="L11" s="10">
        <v>3626000</v>
      </c>
      <c r="M11" s="10">
        <v>3626000</v>
      </c>
    </row>
  </sheetData>
  <sheetProtection/>
  <mergeCells count="2">
    <mergeCell ref="A1:K1"/>
    <mergeCell ref="L1:M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12.75">
      <c r="A1" s="35" t="s">
        <v>384</v>
      </c>
      <c r="B1" s="36"/>
      <c r="C1" s="36"/>
    </row>
    <row r="2" spans="1:3" ht="15.75">
      <c r="A2" s="37" t="s">
        <v>8</v>
      </c>
      <c r="B2" s="37" t="s">
        <v>9</v>
      </c>
      <c r="C2" s="37" t="s">
        <v>260</v>
      </c>
    </row>
    <row r="3" spans="1:3" ht="15.75">
      <c r="A3" s="37">
        <v>1</v>
      </c>
      <c r="B3" s="37">
        <v>2</v>
      </c>
      <c r="C3" s="37">
        <v>3</v>
      </c>
    </row>
    <row r="4" spans="1:3" ht="25.5">
      <c r="A4" s="5" t="s">
        <v>0</v>
      </c>
      <c r="B4" s="6" t="s">
        <v>385</v>
      </c>
      <c r="C4" s="7">
        <v>18514421</v>
      </c>
    </row>
    <row r="5" spans="1:3" ht="25.5">
      <c r="A5" s="5" t="s">
        <v>1</v>
      </c>
      <c r="B5" s="6" t="s">
        <v>386</v>
      </c>
      <c r="C5" s="7">
        <v>22060801</v>
      </c>
    </row>
    <row r="6" spans="1:3" ht="25.5">
      <c r="A6" s="5" t="s">
        <v>2</v>
      </c>
      <c r="B6" s="6" t="s">
        <v>387</v>
      </c>
      <c r="C6" s="7">
        <v>2031680</v>
      </c>
    </row>
    <row r="7" spans="1:3" ht="38.25">
      <c r="A7" s="5" t="s">
        <v>4</v>
      </c>
      <c r="B7" s="6" t="s">
        <v>388</v>
      </c>
      <c r="C7" s="7">
        <v>18514421</v>
      </c>
    </row>
    <row r="8" spans="1:3" ht="25.5">
      <c r="A8" s="5" t="s">
        <v>155</v>
      </c>
      <c r="B8" s="6" t="s">
        <v>389</v>
      </c>
      <c r="C8" s="7">
        <v>920000</v>
      </c>
    </row>
    <row r="9" spans="1:3" ht="38.25">
      <c r="A9" s="5" t="s">
        <v>17</v>
      </c>
      <c r="B9" s="6" t="s">
        <v>390</v>
      </c>
      <c r="C9" s="7">
        <v>594700</v>
      </c>
    </row>
    <row r="10" spans="1:3" ht="38.25">
      <c r="A10" s="5" t="s">
        <v>6</v>
      </c>
      <c r="B10" s="6" t="s">
        <v>391</v>
      </c>
      <c r="C10" s="7">
        <v>594700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4" sqref="D24"/>
    </sheetView>
  </sheetViews>
  <sheetFormatPr defaultColWidth="9.00390625" defaultRowHeight="12.75"/>
  <cols>
    <col min="1" max="1" width="3.00390625" style="0" bestFit="1" customWidth="1"/>
    <col min="2" max="2" width="37.25390625" style="0" bestFit="1" customWidth="1"/>
    <col min="3" max="3" width="31.625" style="0" bestFit="1" customWidth="1"/>
    <col min="4" max="4" width="32.375" style="0" bestFit="1" customWidth="1"/>
    <col min="5" max="5" width="29.625" style="0" bestFit="1" customWidth="1"/>
    <col min="6" max="6" width="32.25390625" style="0" bestFit="1" customWidth="1"/>
  </cols>
  <sheetData>
    <row r="1" spans="1:6" ht="12.75">
      <c r="A1" s="35" t="s">
        <v>392</v>
      </c>
      <c r="B1" s="36"/>
      <c r="C1" s="36"/>
      <c r="D1" s="36"/>
      <c r="E1" s="36"/>
      <c r="F1" s="36"/>
    </row>
    <row r="2" spans="1:6" ht="78.75">
      <c r="A2" s="37" t="s">
        <v>8</v>
      </c>
      <c r="B2" s="37" t="s">
        <v>9</v>
      </c>
      <c r="C2" s="37" t="s">
        <v>340</v>
      </c>
      <c r="D2" s="37" t="s">
        <v>393</v>
      </c>
      <c r="E2" s="37" t="s">
        <v>394</v>
      </c>
      <c r="F2" s="37" t="s">
        <v>395</v>
      </c>
    </row>
    <row r="3" spans="1:6" ht="15.7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</row>
    <row r="4" spans="1:6" ht="25.5">
      <c r="A4" s="5" t="s">
        <v>1</v>
      </c>
      <c r="B4" s="6" t="s">
        <v>396</v>
      </c>
      <c r="C4" s="7">
        <v>12621982</v>
      </c>
      <c r="D4" s="7">
        <v>0</v>
      </c>
      <c r="E4" s="7">
        <v>12621982</v>
      </c>
      <c r="F4" s="7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46.5" customHeight="1">
      <c r="A1" s="35" t="s">
        <v>402</v>
      </c>
      <c r="B1" s="36"/>
      <c r="C1" s="36"/>
    </row>
    <row r="2" spans="1:3" ht="15.75">
      <c r="A2" s="37" t="s">
        <v>8</v>
      </c>
      <c r="B2" s="37" t="s">
        <v>9</v>
      </c>
      <c r="C2" s="37" t="s">
        <v>260</v>
      </c>
    </row>
    <row r="3" spans="1:3" ht="15.75">
      <c r="A3" s="37">
        <v>1</v>
      </c>
      <c r="B3" s="37">
        <v>2</v>
      </c>
      <c r="C3" s="37">
        <v>3</v>
      </c>
    </row>
    <row r="4" spans="1:3" ht="51">
      <c r="A4" s="5" t="s">
        <v>0</v>
      </c>
      <c r="B4" s="6" t="s">
        <v>403</v>
      </c>
      <c r="C4" s="7">
        <v>721725</v>
      </c>
    </row>
    <row r="5" spans="1:3" ht="38.25">
      <c r="A5" s="5" t="s">
        <v>17</v>
      </c>
      <c r="B5" s="6" t="s">
        <v>404</v>
      </c>
      <c r="C5" s="7">
        <v>7865902</v>
      </c>
    </row>
    <row r="6" spans="1:3" ht="51">
      <c r="A6" s="5" t="s">
        <v>23</v>
      </c>
      <c r="B6" s="6" t="s">
        <v>405</v>
      </c>
      <c r="C6" s="7">
        <v>39670</v>
      </c>
    </row>
    <row r="7" spans="1:3" ht="51">
      <c r="A7" s="5" t="s">
        <v>25</v>
      </c>
      <c r="B7" s="6" t="s">
        <v>406</v>
      </c>
      <c r="C7" s="7">
        <v>363642</v>
      </c>
    </row>
    <row r="8" spans="1:3" ht="38.25">
      <c r="A8" s="5" t="s">
        <v>251</v>
      </c>
      <c r="B8" s="6" t="s">
        <v>407</v>
      </c>
      <c r="C8" s="7">
        <v>396700</v>
      </c>
    </row>
    <row r="9" spans="1:3" ht="102">
      <c r="A9" s="5" t="s">
        <v>27</v>
      </c>
      <c r="B9" s="6" t="s">
        <v>408</v>
      </c>
      <c r="C9" s="7">
        <v>682055</v>
      </c>
    </row>
    <row r="10" spans="1:3" ht="114.75">
      <c r="A10" s="5" t="s">
        <v>29</v>
      </c>
      <c r="B10" s="6" t="s">
        <v>409</v>
      </c>
      <c r="C10" s="7">
        <v>56424284</v>
      </c>
    </row>
    <row r="11" spans="1:3" ht="25.5">
      <c r="A11" s="8" t="s">
        <v>41</v>
      </c>
      <c r="B11" s="9" t="s">
        <v>410</v>
      </c>
      <c r="C11" s="10">
        <v>8587627</v>
      </c>
    </row>
    <row r="12" spans="1:3" ht="51">
      <c r="A12" s="8" t="s">
        <v>255</v>
      </c>
      <c r="B12" s="9" t="s">
        <v>411</v>
      </c>
      <c r="C12" s="10">
        <v>8587627</v>
      </c>
    </row>
    <row r="13" spans="1:3" ht="38.25">
      <c r="A13" s="8" t="s">
        <v>43</v>
      </c>
      <c r="B13" s="9" t="s">
        <v>412</v>
      </c>
      <c r="C13" s="10">
        <v>8587627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4.00390625" style="0" bestFit="1" customWidth="1"/>
    <col min="2" max="2" width="40.75390625" style="0" bestFit="1" customWidth="1"/>
    <col min="3" max="3" width="15.25390625" style="0" bestFit="1" customWidth="1"/>
    <col min="4" max="4" width="15.875" style="0" bestFit="1" customWidth="1"/>
  </cols>
  <sheetData>
    <row r="1" spans="1:4" ht="12.75">
      <c r="A1" s="32" t="s">
        <v>413</v>
      </c>
      <c r="B1" s="33"/>
      <c r="C1" s="33"/>
      <c r="D1" s="33"/>
    </row>
    <row r="2" spans="1:4" ht="15">
      <c r="A2" s="34" t="s">
        <v>8</v>
      </c>
      <c r="B2" s="34" t="s">
        <v>9</v>
      </c>
      <c r="C2" s="34" t="s">
        <v>414</v>
      </c>
      <c r="D2" s="34" t="s">
        <v>415</v>
      </c>
    </row>
    <row r="3" spans="1:4" ht="15">
      <c r="A3" s="34">
        <v>1</v>
      </c>
      <c r="B3" s="34">
        <v>2</v>
      </c>
      <c r="C3" s="34">
        <v>3</v>
      </c>
      <c r="D3" s="34">
        <v>5</v>
      </c>
    </row>
    <row r="4" spans="1:4" ht="12.75">
      <c r="A4" s="5" t="s">
        <v>0</v>
      </c>
      <c r="B4" s="6" t="s">
        <v>416</v>
      </c>
      <c r="C4" s="7">
        <v>1926443</v>
      </c>
      <c r="D4" s="7">
        <v>2836044</v>
      </c>
    </row>
    <row r="5" spans="1:4" ht="12.75">
      <c r="A5" s="8" t="s">
        <v>4</v>
      </c>
      <c r="B5" s="9" t="s">
        <v>417</v>
      </c>
      <c r="C5" s="10">
        <v>1926443</v>
      </c>
      <c r="D5" s="10">
        <v>2836044</v>
      </c>
    </row>
    <row r="6" spans="1:4" ht="25.5">
      <c r="A6" s="5" t="s">
        <v>155</v>
      </c>
      <c r="B6" s="6" t="s">
        <v>418</v>
      </c>
      <c r="C6" s="7">
        <v>1475060258</v>
      </c>
      <c r="D6" s="7">
        <v>1500395321</v>
      </c>
    </row>
    <row r="7" spans="1:4" ht="25.5">
      <c r="A7" s="5" t="s">
        <v>17</v>
      </c>
      <c r="B7" s="6" t="s">
        <v>419</v>
      </c>
      <c r="C7" s="7">
        <v>13935112</v>
      </c>
      <c r="D7" s="7">
        <v>10172914</v>
      </c>
    </row>
    <row r="8" spans="1:4" ht="12.75">
      <c r="A8" s="5" t="s">
        <v>6</v>
      </c>
      <c r="B8" s="6" t="s">
        <v>420</v>
      </c>
      <c r="C8" s="7">
        <v>39751831</v>
      </c>
      <c r="D8" s="7">
        <v>1597833</v>
      </c>
    </row>
    <row r="9" spans="1:4" ht="12.75">
      <c r="A9" s="8" t="s">
        <v>23</v>
      </c>
      <c r="B9" s="9" t="s">
        <v>421</v>
      </c>
      <c r="C9" s="10">
        <v>1528747201</v>
      </c>
      <c r="D9" s="10">
        <v>1512166068</v>
      </c>
    </row>
    <row r="10" spans="1:4" ht="25.5">
      <c r="A10" s="5" t="s">
        <v>401</v>
      </c>
      <c r="B10" s="6" t="s">
        <v>422</v>
      </c>
      <c r="C10" s="7">
        <v>0</v>
      </c>
      <c r="D10" s="7">
        <v>110000</v>
      </c>
    </row>
    <row r="11" spans="1:4" ht="12.75">
      <c r="A11" s="5" t="s">
        <v>29</v>
      </c>
      <c r="B11" s="6" t="s">
        <v>423</v>
      </c>
      <c r="C11" s="7">
        <v>0</v>
      </c>
      <c r="D11" s="7">
        <v>110000</v>
      </c>
    </row>
    <row r="12" spans="1:4" ht="25.5">
      <c r="A12" s="8" t="s">
        <v>39</v>
      </c>
      <c r="B12" s="9" t="s">
        <v>424</v>
      </c>
      <c r="C12" s="10">
        <v>0</v>
      </c>
      <c r="D12" s="10">
        <v>110000</v>
      </c>
    </row>
    <row r="13" spans="1:4" ht="38.25">
      <c r="A13" s="8" t="s">
        <v>49</v>
      </c>
      <c r="B13" s="9" t="s">
        <v>425</v>
      </c>
      <c r="C13" s="10">
        <v>1530673644</v>
      </c>
      <c r="D13" s="10">
        <v>1515112112</v>
      </c>
    </row>
    <row r="14" spans="1:4" ht="12.75">
      <c r="A14" s="5" t="s">
        <v>51</v>
      </c>
      <c r="B14" s="6" t="s">
        <v>426</v>
      </c>
      <c r="C14" s="7">
        <v>355720</v>
      </c>
      <c r="D14" s="7">
        <v>619554</v>
      </c>
    </row>
    <row r="15" spans="1:4" ht="12.75">
      <c r="A15" s="8" t="s">
        <v>59</v>
      </c>
      <c r="B15" s="9" t="s">
        <v>427</v>
      </c>
      <c r="C15" s="10">
        <v>355720</v>
      </c>
      <c r="D15" s="10">
        <v>619554</v>
      </c>
    </row>
    <row r="16" spans="1:4" ht="25.5">
      <c r="A16" s="8" t="s">
        <v>71</v>
      </c>
      <c r="B16" s="9" t="s">
        <v>428</v>
      </c>
      <c r="C16" s="10">
        <v>355720</v>
      </c>
      <c r="D16" s="10">
        <v>619554</v>
      </c>
    </row>
    <row r="17" spans="1:4" ht="12.75">
      <c r="A17" s="5" t="s">
        <v>79</v>
      </c>
      <c r="B17" s="6" t="s">
        <v>429</v>
      </c>
      <c r="C17" s="7">
        <v>750795</v>
      </c>
      <c r="D17" s="7">
        <v>729630</v>
      </c>
    </row>
    <row r="18" spans="1:4" ht="25.5">
      <c r="A18" s="8" t="s">
        <v>85</v>
      </c>
      <c r="B18" s="9" t="s">
        <v>430</v>
      </c>
      <c r="C18" s="10">
        <v>750795</v>
      </c>
      <c r="D18" s="10">
        <v>729630</v>
      </c>
    </row>
    <row r="19" spans="1:4" ht="12.75">
      <c r="A19" s="5" t="s">
        <v>431</v>
      </c>
      <c r="B19" s="6" t="s">
        <v>432</v>
      </c>
      <c r="C19" s="7">
        <v>123250999</v>
      </c>
      <c r="D19" s="7">
        <v>117563551</v>
      </c>
    </row>
    <row r="20" spans="1:4" ht="12.75">
      <c r="A20" s="5" t="s">
        <v>433</v>
      </c>
      <c r="B20" s="6" t="s">
        <v>434</v>
      </c>
      <c r="C20" s="7">
        <v>29250</v>
      </c>
      <c r="D20" s="7">
        <v>29250</v>
      </c>
    </row>
    <row r="21" spans="1:4" ht="12.75">
      <c r="A21" s="8" t="s">
        <v>435</v>
      </c>
      <c r="B21" s="9" t="s">
        <v>436</v>
      </c>
      <c r="C21" s="10">
        <v>123280249</v>
      </c>
      <c r="D21" s="10">
        <v>117592801</v>
      </c>
    </row>
    <row r="22" spans="1:4" ht="12.75">
      <c r="A22" s="8" t="s">
        <v>437</v>
      </c>
      <c r="B22" s="9" t="s">
        <v>438</v>
      </c>
      <c r="C22" s="10">
        <v>124031044</v>
      </c>
      <c r="D22" s="10">
        <v>118322431</v>
      </c>
    </row>
    <row r="23" spans="1:4" ht="38.25">
      <c r="A23" s="5" t="s">
        <v>93</v>
      </c>
      <c r="B23" s="6" t="s">
        <v>439</v>
      </c>
      <c r="C23" s="7">
        <v>19219640</v>
      </c>
      <c r="D23" s="7">
        <v>7863588</v>
      </c>
    </row>
    <row r="24" spans="1:4" ht="25.5">
      <c r="A24" s="5" t="s">
        <v>440</v>
      </c>
      <c r="B24" s="6" t="s">
        <v>441</v>
      </c>
      <c r="C24" s="7">
        <v>1057120</v>
      </c>
      <c r="D24" s="7">
        <v>1306726</v>
      </c>
    </row>
    <row r="25" spans="1:4" ht="25.5">
      <c r="A25" s="5" t="s">
        <v>442</v>
      </c>
      <c r="B25" s="6" t="s">
        <v>443</v>
      </c>
      <c r="C25" s="7">
        <v>17427553</v>
      </c>
      <c r="D25" s="7">
        <v>2808428</v>
      </c>
    </row>
    <row r="26" spans="1:4" ht="25.5">
      <c r="A26" s="5" t="s">
        <v>166</v>
      </c>
      <c r="B26" s="6" t="s">
        <v>444</v>
      </c>
      <c r="C26" s="7">
        <v>734967</v>
      </c>
      <c r="D26" s="7">
        <v>3748434</v>
      </c>
    </row>
    <row r="27" spans="1:4" ht="38.25">
      <c r="A27" s="5" t="s">
        <v>168</v>
      </c>
      <c r="B27" s="6" t="s">
        <v>445</v>
      </c>
      <c r="C27" s="7">
        <v>976793</v>
      </c>
      <c r="D27" s="7">
        <v>491117</v>
      </c>
    </row>
    <row r="28" spans="1:4" ht="51">
      <c r="A28" s="5" t="s">
        <v>338</v>
      </c>
      <c r="B28" s="6" t="s">
        <v>446</v>
      </c>
      <c r="C28" s="7">
        <v>905041</v>
      </c>
      <c r="D28" s="7">
        <v>491117</v>
      </c>
    </row>
    <row r="29" spans="1:4" ht="38.25">
      <c r="A29" s="5" t="s">
        <v>447</v>
      </c>
      <c r="B29" s="6" t="s">
        <v>448</v>
      </c>
      <c r="C29" s="7">
        <v>71752</v>
      </c>
      <c r="D29" s="7">
        <v>0</v>
      </c>
    </row>
    <row r="30" spans="1:4" ht="38.25">
      <c r="A30" s="5" t="s">
        <v>449</v>
      </c>
      <c r="B30" s="6" t="s">
        <v>450</v>
      </c>
      <c r="C30" s="7">
        <v>22385</v>
      </c>
      <c r="D30" s="7">
        <v>72090</v>
      </c>
    </row>
    <row r="31" spans="1:4" ht="38.25">
      <c r="A31" s="5" t="s">
        <v>451</v>
      </c>
      <c r="B31" s="6" t="s">
        <v>452</v>
      </c>
      <c r="C31" s="7">
        <v>254400</v>
      </c>
      <c r="D31" s="7">
        <v>0</v>
      </c>
    </row>
    <row r="32" spans="1:4" ht="25.5">
      <c r="A32" s="8" t="s">
        <v>453</v>
      </c>
      <c r="B32" s="9" t="s">
        <v>454</v>
      </c>
      <c r="C32" s="10">
        <v>20473218</v>
      </c>
      <c r="D32" s="10">
        <v>8426795</v>
      </c>
    </row>
    <row r="33" spans="1:4" ht="12.75">
      <c r="A33" s="5" t="s">
        <v>455</v>
      </c>
      <c r="B33" s="6" t="s">
        <v>456</v>
      </c>
      <c r="C33" s="7">
        <v>2560902</v>
      </c>
      <c r="D33" s="7">
        <v>131442</v>
      </c>
    </row>
    <row r="34" spans="1:4" ht="25.5">
      <c r="A34" s="5" t="s">
        <v>457</v>
      </c>
      <c r="B34" s="6" t="s">
        <v>458</v>
      </c>
      <c r="C34" s="7">
        <v>2479724</v>
      </c>
      <c r="D34" s="7">
        <v>0</v>
      </c>
    </row>
    <row r="35" spans="1:4" ht="25.5">
      <c r="A35" s="5" t="s">
        <v>192</v>
      </c>
      <c r="B35" s="6" t="s">
        <v>459</v>
      </c>
      <c r="C35" s="7">
        <v>80000</v>
      </c>
      <c r="D35" s="7">
        <v>0</v>
      </c>
    </row>
    <row r="36" spans="1:4" ht="25.5">
      <c r="A36" s="5" t="s">
        <v>111</v>
      </c>
      <c r="B36" s="6" t="s">
        <v>460</v>
      </c>
      <c r="C36" s="7">
        <v>1178</v>
      </c>
      <c r="D36" s="7">
        <v>131442</v>
      </c>
    </row>
    <row r="37" spans="1:4" ht="12.75">
      <c r="A37" s="5" t="s">
        <v>461</v>
      </c>
      <c r="B37" s="6" t="s">
        <v>462</v>
      </c>
      <c r="C37" s="7">
        <v>50000</v>
      </c>
      <c r="D37" s="7">
        <v>50000</v>
      </c>
    </row>
    <row r="38" spans="1:4" ht="25.5">
      <c r="A38" s="8" t="s">
        <v>463</v>
      </c>
      <c r="B38" s="9" t="s">
        <v>464</v>
      </c>
      <c r="C38" s="10">
        <v>2610902</v>
      </c>
      <c r="D38" s="10">
        <v>181442</v>
      </c>
    </row>
    <row r="39" spans="1:4" ht="12.75">
      <c r="A39" s="8" t="s">
        <v>465</v>
      </c>
      <c r="B39" s="9" t="s">
        <v>466</v>
      </c>
      <c r="C39" s="10">
        <v>23084120</v>
      </c>
      <c r="D39" s="10">
        <v>8608237</v>
      </c>
    </row>
    <row r="40" spans="1:4" ht="25.5">
      <c r="A40" s="5" t="s">
        <v>467</v>
      </c>
      <c r="B40" s="6" t="s">
        <v>468</v>
      </c>
      <c r="C40" s="7">
        <v>1525000</v>
      </c>
      <c r="D40" s="7">
        <v>0</v>
      </c>
    </row>
    <row r="41" spans="1:4" ht="38.25">
      <c r="A41" s="5" t="s">
        <v>469</v>
      </c>
      <c r="B41" s="6" t="s">
        <v>470</v>
      </c>
      <c r="C41" s="7">
        <v>669525</v>
      </c>
      <c r="D41" s="7">
        <v>0</v>
      </c>
    </row>
    <row r="42" spans="1:4" ht="25.5">
      <c r="A42" s="8" t="s">
        <v>196</v>
      </c>
      <c r="B42" s="9" t="s">
        <v>471</v>
      </c>
      <c r="C42" s="10">
        <v>2194525</v>
      </c>
      <c r="D42" s="10">
        <v>0</v>
      </c>
    </row>
    <row r="43" spans="1:4" ht="12.75">
      <c r="A43" s="5" t="s">
        <v>472</v>
      </c>
      <c r="B43" s="6" t="s">
        <v>473</v>
      </c>
      <c r="C43" s="7">
        <v>-2904000</v>
      </c>
      <c r="D43" s="7">
        <v>302000</v>
      </c>
    </row>
    <row r="44" spans="1:4" ht="25.5">
      <c r="A44" s="8" t="s">
        <v>474</v>
      </c>
      <c r="B44" s="9" t="s">
        <v>475</v>
      </c>
      <c r="C44" s="10">
        <v>-2904000</v>
      </c>
      <c r="D44" s="10">
        <v>302000</v>
      </c>
    </row>
    <row r="45" spans="1:4" ht="25.5">
      <c r="A45" s="8" t="s">
        <v>476</v>
      </c>
      <c r="B45" s="9" t="s">
        <v>477</v>
      </c>
      <c r="C45" s="10">
        <v>-709475</v>
      </c>
      <c r="D45" s="10">
        <v>302000</v>
      </c>
    </row>
    <row r="46" spans="1:4" ht="25.5">
      <c r="A46" s="5" t="s">
        <v>397</v>
      </c>
      <c r="B46" s="6" t="s">
        <v>478</v>
      </c>
      <c r="C46" s="7">
        <v>1558011</v>
      </c>
      <c r="D46" s="7">
        <v>655766</v>
      </c>
    </row>
    <row r="47" spans="1:4" ht="25.5">
      <c r="A47" s="8" t="s">
        <v>398</v>
      </c>
      <c r="B47" s="9" t="s">
        <v>479</v>
      </c>
      <c r="C47" s="10">
        <v>1558011</v>
      </c>
      <c r="D47" s="10">
        <v>655766</v>
      </c>
    </row>
    <row r="48" spans="1:4" ht="12.75">
      <c r="A48" s="8" t="s">
        <v>399</v>
      </c>
      <c r="B48" s="9" t="s">
        <v>480</v>
      </c>
      <c r="C48" s="10">
        <v>1678993064</v>
      </c>
      <c r="D48" s="10">
        <v>1643620100</v>
      </c>
    </row>
    <row r="49" spans="1:4" ht="12.75">
      <c r="A49" s="5" t="s">
        <v>117</v>
      </c>
      <c r="B49" s="6" t="s">
        <v>481</v>
      </c>
      <c r="C49" s="7">
        <v>2095976766</v>
      </c>
      <c r="D49" s="7">
        <v>2095976766</v>
      </c>
    </row>
    <row r="50" spans="1:4" ht="25.5">
      <c r="A50" s="5" t="s">
        <v>482</v>
      </c>
      <c r="B50" s="6" t="s">
        <v>483</v>
      </c>
      <c r="C50" s="7">
        <v>108636663</v>
      </c>
      <c r="D50" s="7">
        <v>108636663</v>
      </c>
    </row>
    <row r="51" spans="1:4" ht="12.75">
      <c r="A51" s="5" t="s">
        <v>119</v>
      </c>
      <c r="B51" s="6" t="s">
        <v>484</v>
      </c>
      <c r="C51" s="7">
        <v>-672559620</v>
      </c>
      <c r="D51" s="7">
        <v>-702462816</v>
      </c>
    </row>
    <row r="52" spans="1:4" ht="12.75">
      <c r="A52" s="5" t="s">
        <v>485</v>
      </c>
      <c r="B52" s="6" t="s">
        <v>486</v>
      </c>
      <c r="C52" s="7">
        <v>-29903196</v>
      </c>
      <c r="D52" s="7">
        <v>-81123044</v>
      </c>
    </row>
    <row r="53" spans="1:4" ht="12.75">
      <c r="A53" s="8" t="s">
        <v>487</v>
      </c>
      <c r="B53" s="9" t="s">
        <v>488</v>
      </c>
      <c r="C53" s="10">
        <v>1502150613</v>
      </c>
      <c r="D53" s="10">
        <v>1421027569</v>
      </c>
    </row>
    <row r="54" spans="1:4" ht="25.5">
      <c r="A54" s="5" t="s">
        <v>204</v>
      </c>
      <c r="B54" s="6" t="s">
        <v>489</v>
      </c>
      <c r="C54" s="7">
        <v>2201</v>
      </c>
      <c r="D54" s="7">
        <v>134147</v>
      </c>
    </row>
    <row r="55" spans="1:4" ht="25.5">
      <c r="A55" s="5" t="s">
        <v>129</v>
      </c>
      <c r="B55" s="6" t="s">
        <v>490</v>
      </c>
      <c r="C55" s="7">
        <v>0</v>
      </c>
      <c r="D55" s="7">
        <v>1434600</v>
      </c>
    </row>
    <row r="56" spans="1:4" ht="25.5">
      <c r="A56" s="8" t="s">
        <v>491</v>
      </c>
      <c r="B56" s="9" t="s">
        <v>492</v>
      </c>
      <c r="C56" s="10">
        <v>2201</v>
      </c>
      <c r="D56" s="10">
        <v>1568747</v>
      </c>
    </row>
    <row r="57" spans="1:4" ht="38.25">
      <c r="A57" s="5" t="s">
        <v>493</v>
      </c>
      <c r="B57" s="6" t="s">
        <v>494</v>
      </c>
      <c r="C57" s="7">
        <v>5035762</v>
      </c>
      <c r="D57" s="7">
        <v>5637324</v>
      </c>
    </row>
    <row r="58" spans="1:4" ht="38.25">
      <c r="A58" s="5" t="s">
        <v>495</v>
      </c>
      <c r="B58" s="6" t="s">
        <v>496</v>
      </c>
      <c r="C58" s="7">
        <v>5035762</v>
      </c>
      <c r="D58" s="7">
        <v>5637324</v>
      </c>
    </row>
    <row r="59" spans="1:4" ht="25.5">
      <c r="A59" s="8" t="s">
        <v>497</v>
      </c>
      <c r="B59" s="9" t="s">
        <v>498</v>
      </c>
      <c r="C59" s="10">
        <v>5035762</v>
      </c>
      <c r="D59" s="10">
        <v>5637324</v>
      </c>
    </row>
    <row r="60" spans="1:4" ht="12.75">
      <c r="A60" s="5" t="s">
        <v>499</v>
      </c>
      <c r="B60" s="6" t="s">
        <v>500</v>
      </c>
      <c r="C60" s="7">
        <v>2782097</v>
      </c>
      <c r="D60" s="7">
        <v>985272</v>
      </c>
    </row>
    <row r="61" spans="1:4" ht="25.5">
      <c r="A61" s="5" t="s">
        <v>501</v>
      </c>
      <c r="B61" s="6" t="s">
        <v>502</v>
      </c>
      <c r="C61" s="7">
        <v>566344</v>
      </c>
      <c r="D61" s="7">
        <v>626065</v>
      </c>
    </row>
    <row r="62" spans="1:4" ht="25.5">
      <c r="A62" s="8" t="s">
        <v>225</v>
      </c>
      <c r="B62" s="9" t="s">
        <v>503</v>
      </c>
      <c r="C62" s="10">
        <v>3348441</v>
      </c>
      <c r="D62" s="10">
        <v>1611337</v>
      </c>
    </row>
    <row r="63" spans="1:4" ht="12.75">
      <c r="A63" s="8" t="s">
        <v>400</v>
      </c>
      <c r="B63" s="9" t="s">
        <v>504</v>
      </c>
      <c r="C63" s="10">
        <v>8386404</v>
      </c>
      <c r="D63" s="10">
        <v>8817408</v>
      </c>
    </row>
    <row r="64" spans="1:4" ht="25.5">
      <c r="A64" s="5" t="s">
        <v>227</v>
      </c>
      <c r="B64" s="6" t="s">
        <v>505</v>
      </c>
      <c r="C64" s="7">
        <v>23109419</v>
      </c>
      <c r="D64" s="7">
        <v>9285950</v>
      </c>
    </row>
    <row r="65" spans="1:4" ht="12.75">
      <c r="A65" s="5" t="s">
        <v>506</v>
      </c>
      <c r="B65" s="6" t="s">
        <v>507</v>
      </c>
      <c r="C65" s="7">
        <v>145346628</v>
      </c>
      <c r="D65" s="7">
        <v>204489173</v>
      </c>
    </row>
    <row r="66" spans="1:4" ht="25.5">
      <c r="A66" s="8" t="s">
        <v>508</v>
      </c>
      <c r="B66" s="9" t="s">
        <v>509</v>
      </c>
      <c r="C66" s="10">
        <v>168456047</v>
      </c>
      <c r="D66" s="10">
        <v>213775123</v>
      </c>
    </row>
    <row r="67" spans="1:4" ht="12.75">
      <c r="A67" s="8" t="s">
        <v>510</v>
      </c>
      <c r="B67" s="9" t="s">
        <v>511</v>
      </c>
      <c r="C67" s="10">
        <v>1678993064</v>
      </c>
      <c r="D67" s="10">
        <v>1643620100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3" sqref="E23"/>
    </sheetView>
  </sheetViews>
  <sheetFormatPr defaultColWidth="9.00390625" defaultRowHeight="12.75"/>
  <cols>
    <col min="1" max="1" width="3.00390625" style="0" bestFit="1" customWidth="1"/>
    <col min="2" max="2" width="41.00390625" style="0" customWidth="1"/>
    <col min="3" max="3" width="16.875" style="0" bestFit="1" customWidth="1"/>
    <col min="4" max="4" width="17.625" style="0" bestFit="1" customWidth="1"/>
  </cols>
  <sheetData>
    <row r="1" spans="1:4" ht="20.25" customHeight="1">
      <c r="A1" s="35" t="s">
        <v>512</v>
      </c>
      <c r="B1" s="36"/>
      <c r="C1" s="36"/>
      <c r="D1" s="36"/>
    </row>
    <row r="2" spans="1:4" ht="15.75">
      <c r="A2" s="37" t="s">
        <v>8</v>
      </c>
      <c r="B2" s="37" t="s">
        <v>9</v>
      </c>
      <c r="C2" s="37" t="s">
        <v>414</v>
      </c>
      <c r="D2" s="37" t="s">
        <v>415</v>
      </c>
    </row>
    <row r="3" spans="1:4" ht="15.75">
      <c r="A3" s="37">
        <v>1</v>
      </c>
      <c r="B3" s="37">
        <v>2</v>
      </c>
      <c r="C3" s="37">
        <v>3</v>
      </c>
      <c r="D3" s="37">
        <v>5</v>
      </c>
    </row>
    <row r="4" spans="1:4" ht="12.75">
      <c r="A4" s="5" t="s">
        <v>0</v>
      </c>
      <c r="B4" s="6" t="s">
        <v>513</v>
      </c>
      <c r="C4" s="7">
        <v>42913211</v>
      </c>
      <c r="D4" s="7">
        <v>34750641</v>
      </c>
    </row>
    <row r="5" spans="1:4" ht="25.5">
      <c r="A5" s="5" t="s">
        <v>1</v>
      </c>
      <c r="B5" s="6" t="s">
        <v>514</v>
      </c>
      <c r="C5" s="7">
        <v>14757598</v>
      </c>
      <c r="D5" s="7">
        <v>13235107</v>
      </c>
    </row>
    <row r="6" spans="1:4" ht="25.5">
      <c r="A6" s="5" t="s">
        <v>2</v>
      </c>
      <c r="B6" s="6" t="s">
        <v>515</v>
      </c>
      <c r="C6" s="7">
        <v>4098630</v>
      </c>
      <c r="D6" s="7">
        <v>4329786</v>
      </c>
    </row>
    <row r="7" spans="1:4" ht="25.5">
      <c r="A7" s="8" t="s">
        <v>4</v>
      </c>
      <c r="B7" s="9" t="s">
        <v>516</v>
      </c>
      <c r="C7" s="10">
        <v>61769439</v>
      </c>
      <c r="D7" s="10">
        <v>52315534</v>
      </c>
    </row>
    <row r="8" spans="1:4" ht="25.5">
      <c r="A8" s="5" t="s">
        <v>6</v>
      </c>
      <c r="B8" s="6" t="s">
        <v>517</v>
      </c>
      <c r="C8" s="7">
        <v>276920191</v>
      </c>
      <c r="D8" s="7">
        <v>291410186</v>
      </c>
    </row>
    <row r="9" spans="1:4" ht="25.5">
      <c r="A9" s="5" t="s">
        <v>21</v>
      </c>
      <c r="B9" s="6" t="s">
        <v>518</v>
      </c>
      <c r="C9" s="7">
        <v>32571710</v>
      </c>
      <c r="D9" s="7">
        <v>17317694</v>
      </c>
    </row>
    <row r="10" spans="1:4" ht="25.5">
      <c r="A10" s="5" t="s">
        <v>23</v>
      </c>
      <c r="B10" s="6" t="s">
        <v>519</v>
      </c>
      <c r="C10" s="7">
        <v>26026105</v>
      </c>
      <c r="D10" s="7">
        <v>-16296189</v>
      </c>
    </row>
    <row r="11" spans="1:4" ht="25.5">
      <c r="A11" s="5" t="s">
        <v>401</v>
      </c>
      <c r="B11" s="6" t="s">
        <v>520</v>
      </c>
      <c r="C11" s="7">
        <v>18619246</v>
      </c>
      <c r="D11" s="7">
        <v>19603939</v>
      </c>
    </row>
    <row r="12" spans="1:4" ht="25.5">
      <c r="A12" s="8" t="s">
        <v>249</v>
      </c>
      <c r="B12" s="9" t="s">
        <v>521</v>
      </c>
      <c r="C12" s="10">
        <v>354137252</v>
      </c>
      <c r="D12" s="10">
        <v>312035630</v>
      </c>
    </row>
    <row r="13" spans="1:4" ht="12.75">
      <c r="A13" s="5" t="s">
        <v>25</v>
      </c>
      <c r="B13" s="6" t="s">
        <v>522</v>
      </c>
      <c r="C13" s="7">
        <v>26687509</v>
      </c>
      <c r="D13" s="7">
        <v>29943373</v>
      </c>
    </row>
    <row r="14" spans="1:4" ht="12.75">
      <c r="A14" s="5" t="s">
        <v>251</v>
      </c>
      <c r="B14" s="6" t="s">
        <v>523</v>
      </c>
      <c r="C14" s="7">
        <v>38794695</v>
      </c>
      <c r="D14" s="7">
        <v>15061285</v>
      </c>
    </row>
    <row r="15" spans="1:4" ht="25.5">
      <c r="A15" s="8" t="s">
        <v>31</v>
      </c>
      <c r="B15" s="9" t="s">
        <v>524</v>
      </c>
      <c r="C15" s="10">
        <v>65482204</v>
      </c>
      <c r="D15" s="10">
        <v>45004658</v>
      </c>
    </row>
    <row r="16" spans="1:4" ht="12.75">
      <c r="A16" s="5" t="s">
        <v>33</v>
      </c>
      <c r="B16" s="6" t="s">
        <v>525</v>
      </c>
      <c r="C16" s="7">
        <v>82050611</v>
      </c>
      <c r="D16" s="7">
        <v>84874633</v>
      </c>
    </row>
    <row r="17" spans="1:4" ht="12.75">
      <c r="A17" s="5" t="s">
        <v>35</v>
      </c>
      <c r="B17" s="6" t="s">
        <v>526</v>
      </c>
      <c r="C17" s="7">
        <v>16431389</v>
      </c>
      <c r="D17" s="7">
        <v>19824696</v>
      </c>
    </row>
    <row r="18" spans="1:4" ht="12.75">
      <c r="A18" s="5" t="s">
        <v>37</v>
      </c>
      <c r="B18" s="6" t="s">
        <v>527</v>
      </c>
      <c r="C18" s="7">
        <v>18165594</v>
      </c>
      <c r="D18" s="7">
        <v>19391824</v>
      </c>
    </row>
    <row r="19" spans="1:4" ht="25.5">
      <c r="A19" s="8" t="s">
        <v>39</v>
      </c>
      <c r="B19" s="9" t="s">
        <v>528</v>
      </c>
      <c r="C19" s="10">
        <v>116647594</v>
      </c>
      <c r="D19" s="10">
        <v>124091153</v>
      </c>
    </row>
    <row r="20" spans="1:4" ht="12.75">
      <c r="A20" s="8" t="s">
        <v>41</v>
      </c>
      <c r="B20" s="9" t="s">
        <v>529</v>
      </c>
      <c r="C20" s="10">
        <v>65295051</v>
      </c>
      <c r="D20" s="10">
        <v>69820304</v>
      </c>
    </row>
    <row r="21" spans="1:4" ht="12.75">
      <c r="A21" s="8" t="s">
        <v>255</v>
      </c>
      <c r="B21" s="9" t="s">
        <v>530</v>
      </c>
      <c r="C21" s="10">
        <v>198422245</v>
      </c>
      <c r="D21" s="10">
        <v>206696016</v>
      </c>
    </row>
    <row r="22" spans="1:4" ht="25.5">
      <c r="A22" s="8" t="s">
        <v>531</v>
      </c>
      <c r="B22" s="9" t="s">
        <v>532</v>
      </c>
      <c r="C22" s="10">
        <v>-29940403</v>
      </c>
      <c r="D22" s="10">
        <v>-81260967</v>
      </c>
    </row>
    <row r="23" spans="1:4" ht="38.25">
      <c r="A23" s="5" t="s">
        <v>45</v>
      </c>
      <c r="B23" s="6" t="s">
        <v>533</v>
      </c>
      <c r="C23" s="7">
        <v>0</v>
      </c>
      <c r="D23" s="7">
        <v>110000</v>
      </c>
    </row>
    <row r="24" spans="1:4" ht="25.5">
      <c r="A24" s="5" t="s">
        <v>49</v>
      </c>
      <c r="B24" s="6" t="s">
        <v>534</v>
      </c>
      <c r="C24" s="7">
        <v>37207</v>
      </c>
      <c r="D24" s="7">
        <v>27923</v>
      </c>
    </row>
    <row r="25" spans="1:4" ht="38.25">
      <c r="A25" s="8" t="s">
        <v>55</v>
      </c>
      <c r="B25" s="9" t="s">
        <v>535</v>
      </c>
      <c r="C25" s="10">
        <v>37207</v>
      </c>
      <c r="D25" s="10">
        <v>137923</v>
      </c>
    </row>
    <row r="26" spans="1:4" ht="25.5">
      <c r="A26" s="8" t="s">
        <v>71</v>
      </c>
      <c r="B26" s="9" t="s">
        <v>536</v>
      </c>
      <c r="C26" s="10">
        <v>37207</v>
      </c>
      <c r="D26" s="10">
        <v>137923</v>
      </c>
    </row>
    <row r="27" spans="1:4" ht="12.75">
      <c r="A27" s="8" t="s">
        <v>73</v>
      </c>
      <c r="B27" s="9" t="s">
        <v>537</v>
      </c>
      <c r="C27" s="10">
        <v>-29903196</v>
      </c>
      <c r="D27" s="10">
        <v>-81123044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7" sqref="F27"/>
    </sheetView>
  </sheetViews>
  <sheetFormatPr defaultColWidth="9.00390625" defaultRowHeight="12.75"/>
  <cols>
    <col min="1" max="1" width="3.00390625" style="0" bestFit="1" customWidth="1"/>
    <col min="2" max="2" width="38.125" style="0" bestFit="1" customWidth="1"/>
    <col min="3" max="3" width="20.875" style="0" bestFit="1" customWidth="1"/>
    <col min="4" max="4" width="30.00390625" style="0" bestFit="1" customWidth="1"/>
    <col min="5" max="5" width="27.25390625" style="0" bestFit="1" customWidth="1"/>
    <col min="6" max="6" width="31.375" style="0" bestFit="1" customWidth="1"/>
    <col min="7" max="7" width="30.25390625" style="0" bestFit="1" customWidth="1"/>
  </cols>
  <sheetData>
    <row r="1" spans="1:7" ht="21" customHeight="1">
      <c r="A1" s="35" t="s">
        <v>538</v>
      </c>
      <c r="B1" s="36"/>
      <c r="C1" s="36"/>
      <c r="D1" s="36"/>
      <c r="E1" s="36"/>
      <c r="F1" s="36"/>
      <c r="G1" s="36"/>
    </row>
    <row r="2" spans="1:7" ht="31.5">
      <c r="A2" s="37" t="s">
        <v>8</v>
      </c>
      <c r="B2" s="37" t="s">
        <v>9</v>
      </c>
      <c r="C2" s="37" t="s">
        <v>539</v>
      </c>
      <c r="D2" s="37" t="s">
        <v>540</v>
      </c>
      <c r="E2" s="37" t="s">
        <v>541</v>
      </c>
      <c r="F2" s="37" t="s">
        <v>542</v>
      </c>
      <c r="G2" s="37" t="s">
        <v>543</v>
      </c>
    </row>
    <row r="3" spans="1:7" ht="15.7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7</v>
      </c>
      <c r="G3" s="37">
        <v>9</v>
      </c>
    </row>
    <row r="4" spans="1:7" ht="25.5">
      <c r="A4" s="8" t="s">
        <v>0</v>
      </c>
      <c r="B4" s="9" t="s">
        <v>544</v>
      </c>
      <c r="C4" s="10">
        <v>13442351</v>
      </c>
      <c r="D4" s="10">
        <v>2265330317</v>
      </c>
      <c r="E4" s="10">
        <v>78580667</v>
      </c>
      <c r="F4" s="10">
        <v>39751831</v>
      </c>
      <c r="G4" s="10">
        <v>2397105166</v>
      </c>
    </row>
    <row r="5" spans="1:7" ht="25.5">
      <c r="A5" s="5" t="s">
        <v>1</v>
      </c>
      <c r="B5" s="6" t="s">
        <v>545</v>
      </c>
      <c r="C5" s="7">
        <v>2040000</v>
      </c>
      <c r="D5" s="7">
        <v>0</v>
      </c>
      <c r="E5" s="7">
        <v>0</v>
      </c>
      <c r="F5" s="7">
        <v>6537777</v>
      </c>
      <c r="G5" s="7">
        <v>8577777</v>
      </c>
    </row>
    <row r="6" spans="1:7" ht="12.75">
      <c r="A6" s="5" t="s">
        <v>2</v>
      </c>
      <c r="B6" s="6" t="s">
        <v>546</v>
      </c>
      <c r="C6" s="7">
        <v>0</v>
      </c>
      <c r="D6" s="7">
        <v>0</v>
      </c>
      <c r="E6" s="7">
        <v>0</v>
      </c>
      <c r="F6" s="7">
        <v>45570995</v>
      </c>
      <c r="G6" s="7">
        <v>45570995</v>
      </c>
    </row>
    <row r="7" spans="1:7" ht="12.75">
      <c r="A7" s="5" t="s">
        <v>4</v>
      </c>
      <c r="B7" s="6" t="s">
        <v>547</v>
      </c>
      <c r="C7" s="7">
        <v>0</v>
      </c>
      <c r="D7" s="7">
        <v>84319142</v>
      </c>
      <c r="E7" s="7">
        <v>5943628</v>
      </c>
      <c r="F7" s="7">
        <v>0</v>
      </c>
      <c r="G7" s="7">
        <v>90262770</v>
      </c>
    </row>
    <row r="8" spans="1:7" ht="12.75">
      <c r="A8" s="5" t="s">
        <v>155</v>
      </c>
      <c r="B8" s="6" t="s">
        <v>548</v>
      </c>
      <c r="C8" s="7">
        <v>0</v>
      </c>
      <c r="D8" s="7">
        <v>0</v>
      </c>
      <c r="E8" s="7">
        <v>0</v>
      </c>
      <c r="F8" s="7">
        <v>16414066</v>
      </c>
      <c r="G8" s="7">
        <v>16414066</v>
      </c>
    </row>
    <row r="9" spans="1:7" ht="12.75">
      <c r="A9" s="5" t="s">
        <v>19</v>
      </c>
      <c r="B9" s="6" t="s">
        <v>549</v>
      </c>
      <c r="C9" s="7">
        <v>4331382</v>
      </c>
      <c r="D9" s="7">
        <v>2663082</v>
      </c>
      <c r="E9" s="7">
        <v>31549245</v>
      </c>
      <c r="F9" s="7">
        <v>1800830</v>
      </c>
      <c r="G9" s="7">
        <v>40344539</v>
      </c>
    </row>
    <row r="10" spans="1:7" ht="12.75">
      <c r="A10" s="8" t="s">
        <v>6</v>
      </c>
      <c r="B10" s="9" t="s">
        <v>550</v>
      </c>
      <c r="C10" s="10">
        <v>6371382</v>
      </c>
      <c r="D10" s="10">
        <v>86982224</v>
      </c>
      <c r="E10" s="10">
        <v>37492873</v>
      </c>
      <c r="F10" s="10">
        <v>70323668</v>
      </c>
      <c r="G10" s="10">
        <v>201170147</v>
      </c>
    </row>
    <row r="11" spans="1:7" ht="12.75">
      <c r="A11" s="5" t="s">
        <v>23</v>
      </c>
      <c r="B11" s="6" t="s">
        <v>551</v>
      </c>
      <c r="C11" s="7">
        <v>8256251</v>
      </c>
      <c r="D11" s="7">
        <v>0</v>
      </c>
      <c r="E11" s="7">
        <v>1565259</v>
      </c>
      <c r="F11" s="7">
        <v>0</v>
      </c>
      <c r="G11" s="7">
        <v>9821510</v>
      </c>
    </row>
    <row r="12" spans="1:7" ht="12.75">
      <c r="A12" s="5" t="s">
        <v>401</v>
      </c>
      <c r="B12" s="6" t="s">
        <v>552</v>
      </c>
      <c r="C12" s="7">
        <v>0</v>
      </c>
      <c r="D12" s="7">
        <v>0</v>
      </c>
      <c r="E12" s="7">
        <v>2184000</v>
      </c>
      <c r="F12" s="7">
        <v>16414066</v>
      </c>
      <c r="G12" s="7">
        <v>18598066</v>
      </c>
    </row>
    <row r="13" spans="1:7" ht="12.75">
      <c r="A13" s="5" t="s">
        <v>25</v>
      </c>
      <c r="B13" s="6" t="s">
        <v>553</v>
      </c>
      <c r="C13" s="7">
        <v>3869382</v>
      </c>
      <c r="D13" s="7">
        <v>2663082</v>
      </c>
      <c r="E13" s="7">
        <v>39089621</v>
      </c>
      <c r="F13" s="7">
        <v>92063600</v>
      </c>
      <c r="G13" s="7">
        <v>137685685</v>
      </c>
    </row>
    <row r="14" spans="1:7" ht="12.75">
      <c r="A14" s="8" t="s">
        <v>251</v>
      </c>
      <c r="B14" s="9" t="s">
        <v>554</v>
      </c>
      <c r="C14" s="10">
        <v>12125633</v>
      </c>
      <c r="D14" s="10">
        <v>2663082</v>
      </c>
      <c r="E14" s="10">
        <v>42838880</v>
      </c>
      <c r="F14" s="10">
        <v>108477666</v>
      </c>
      <c r="G14" s="10">
        <v>166105261</v>
      </c>
    </row>
    <row r="15" spans="1:7" ht="12.75">
      <c r="A15" s="8" t="s">
        <v>27</v>
      </c>
      <c r="B15" s="9" t="s">
        <v>555</v>
      </c>
      <c r="C15" s="10">
        <v>7688100</v>
      </c>
      <c r="D15" s="10">
        <v>2349649459</v>
      </c>
      <c r="E15" s="10">
        <v>73234660</v>
      </c>
      <c r="F15" s="10">
        <v>1597833</v>
      </c>
      <c r="G15" s="10">
        <v>2432170052</v>
      </c>
    </row>
    <row r="16" spans="1:7" ht="25.5">
      <c r="A16" s="8" t="s">
        <v>29</v>
      </c>
      <c r="B16" s="9" t="s">
        <v>556</v>
      </c>
      <c r="C16" s="10">
        <v>11515908</v>
      </c>
      <c r="D16" s="10">
        <v>790270059</v>
      </c>
      <c r="E16" s="10">
        <v>64645555</v>
      </c>
      <c r="F16" s="10">
        <v>0</v>
      </c>
      <c r="G16" s="10">
        <v>866431522</v>
      </c>
    </row>
    <row r="17" spans="1:7" ht="12.75">
      <c r="A17" s="5" t="s">
        <v>31</v>
      </c>
      <c r="B17" s="6" t="s">
        <v>557</v>
      </c>
      <c r="C17" s="7">
        <v>4448499</v>
      </c>
      <c r="D17" s="7">
        <v>72292970</v>
      </c>
      <c r="E17" s="7">
        <v>19017756</v>
      </c>
      <c r="F17" s="7">
        <v>0</v>
      </c>
      <c r="G17" s="7">
        <v>95759225</v>
      </c>
    </row>
    <row r="18" spans="1:7" ht="12.75">
      <c r="A18" s="5" t="s">
        <v>33</v>
      </c>
      <c r="B18" s="6" t="s">
        <v>558</v>
      </c>
      <c r="C18" s="7">
        <v>11112351</v>
      </c>
      <c r="D18" s="7">
        <v>13308891</v>
      </c>
      <c r="E18" s="7">
        <v>20601565</v>
      </c>
      <c r="F18" s="7">
        <v>0</v>
      </c>
      <c r="G18" s="7">
        <v>45022807</v>
      </c>
    </row>
    <row r="19" spans="1:7" ht="25.5">
      <c r="A19" s="8" t="s">
        <v>35</v>
      </c>
      <c r="B19" s="9" t="s">
        <v>559</v>
      </c>
      <c r="C19" s="10">
        <v>4852056</v>
      </c>
      <c r="D19" s="10">
        <v>849254138</v>
      </c>
      <c r="E19" s="10">
        <v>63061746</v>
      </c>
      <c r="F19" s="10">
        <v>0</v>
      </c>
      <c r="G19" s="10">
        <v>917167940</v>
      </c>
    </row>
    <row r="20" spans="1:7" ht="12.75">
      <c r="A20" s="8" t="s">
        <v>531</v>
      </c>
      <c r="B20" s="9" t="s">
        <v>560</v>
      </c>
      <c r="C20" s="10">
        <v>4852056</v>
      </c>
      <c r="D20" s="10">
        <v>849254138</v>
      </c>
      <c r="E20" s="10">
        <v>63061746</v>
      </c>
      <c r="F20" s="10">
        <v>0</v>
      </c>
      <c r="G20" s="10">
        <v>917167940</v>
      </c>
    </row>
    <row r="21" spans="1:7" ht="12.75">
      <c r="A21" s="8" t="s">
        <v>43</v>
      </c>
      <c r="B21" s="9" t="s">
        <v>561</v>
      </c>
      <c r="C21" s="10">
        <v>2836044</v>
      </c>
      <c r="D21" s="10">
        <v>1500395321</v>
      </c>
      <c r="E21" s="10">
        <v>10172914</v>
      </c>
      <c r="F21" s="10">
        <v>1597833</v>
      </c>
      <c r="G21" s="10">
        <v>1515002112</v>
      </c>
    </row>
    <row r="22" spans="1:7" ht="12.75">
      <c r="A22" s="5" t="s">
        <v>45</v>
      </c>
      <c r="B22" s="6" t="s">
        <v>562</v>
      </c>
      <c r="C22" s="7">
        <v>3318100</v>
      </c>
      <c r="D22" s="7">
        <v>5181770</v>
      </c>
      <c r="E22" s="7">
        <v>38389645</v>
      </c>
      <c r="F22" s="7">
        <v>0</v>
      </c>
      <c r="G22" s="7">
        <v>46889515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3.00390625" style="0" bestFit="1" customWidth="1"/>
    <col min="2" max="2" width="34.125" style="0" bestFit="1" customWidth="1"/>
    <col min="3" max="3" width="28.00390625" style="0" bestFit="1" customWidth="1"/>
    <col min="4" max="5" width="30.75390625" style="0" bestFit="1" customWidth="1"/>
    <col min="6" max="6" width="27.125" style="0" bestFit="1" customWidth="1"/>
    <col min="7" max="7" width="29.75390625" style="0" bestFit="1" customWidth="1"/>
  </cols>
  <sheetData>
    <row r="1" spans="1:7" ht="16.5" customHeight="1">
      <c r="A1" s="35" t="s">
        <v>563</v>
      </c>
      <c r="B1" s="36"/>
      <c r="C1" s="36"/>
      <c r="D1" s="36"/>
      <c r="E1" s="36"/>
      <c r="F1" s="36"/>
      <c r="G1" s="36"/>
    </row>
    <row r="2" spans="1:7" ht="31.5">
      <c r="A2" s="37" t="s">
        <v>8</v>
      </c>
      <c r="B2" s="37" t="s">
        <v>9</v>
      </c>
      <c r="C2" s="37" t="s">
        <v>564</v>
      </c>
      <c r="D2" s="37" t="s">
        <v>565</v>
      </c>
      <c r="E2" s="37" t="s">
        <v>566</v>
      </c>
      <c r="F2" s="37" t="s">
        <v>567</v>
      </c>
      <c r="G2" s="37" t="s">
        <v>568</v>
      </c>
    </row>
    <row r="3" spans="1:7" ht="15.75">
      <c r="A3" s="37">
        <v>1</v>
      </c>
      <c r="B3" s="37">
        <v>2</v>
      </c>
      <c r="C3" s="37">
        <v>3</v>
      </c>
      <c r="D3" s="37">
        <v>4</v>
      </c>
      <c r="E3" s="37">
        <v>6</v>
      </c>
      <c r="F3" s="37">
        <v>7</v>
      </c>
      <c r="G3" s="37">
        <v>8</v>
      </c>
    </row>
    <row r="4" spans="1:7" ht="12.75">
      <c r="A4" s="5" t="s">
        <v>0</v>
      </c>
      <c r="B4" s="6" t="s">
        <v>569</v>
      </c>
      <c r="C4" s="7">
        <v>2560902</v>
      </c>
      <c r="D4" s="7">
        <v>0</v>
      </c>
      <c r="E4" s="7">
        <v>0</v>
      </c>
      <c r="F4" s="7">
        <v>131442</v>
      </c>
      <c r="G4" s="7">
        <v>0</v>
      </c>
    </row>
    <row r="5" spans="1:7" ht="12.75">
      <c r="A5" s="5" t="s">
        <v>1</v>
      </c>
      <c r="B5" s="6" t="s">
        <v>570</v>
      </c>
      <c r="C5" s="7">
        <v>0</v>
      </c>
      <c r="D5" s="7">
        <v>0</v>
      </c>
      <c r="E5" s="7">
        <v>0</v>
      </c>
      <c r="F5" s="7">
        <v>110000</v>
      </c>
      <c r="G5" s="7">
        <v>0</v>
      </c>
    </row>
    <row r="6" spans="1:7" ht="12.75">
      <c r="A6" s="5" t="s">
        <v>4</v>
      </c>
      <c r="B6" s="6" t="s">
        <v>571</v>
      </c>
      <c r="C6" s="7">
        <v>355720</v>
      </c>
      <c r="D6" s="7">
        <v>0</v>
      </c>
      <c r="E6" s="7">
        <v>0</v>
      </c>
      <c r="F6" s="7">
        <v>619554</v>
      </c>
      <c r="G6" s="7">
        <v>0</v>
      </c>
    </row>
    <row r="7" spans="1:7" ht="12.75">
      <c r="A7" s="5" t="s">
        <v>17</v>
      </c>
      <c r="B7" s="6" t="s">
        <v>572</v>
      </c>
      <c r="C7" s="7">
        <v>123250999</v>
      </c>
      <c r="D7" s="7">
        <v>0</v>
      </c>
      <c r="E7" s="7">
        <v>0</v>
      </c>
      <c r="F7" s="7">
        <v>117563551</v>
      </c>
      <c r="G7" s="7">
        <v>0</v>
      </c>
    </row>
    <row r="8" spans="1:7" ht="25.5">
      <c r="A8" s="5" t="s">
        <v>6</v>
      </c>
      <c r="B8" s="6" t="s">
        <v>573</v>
      </c>
      <c r="C8" s="7">
        <v>35193519</v>
      </c>
      <c r="D8" s="7">
        <v>14720301</v>
      </c>
      <c r="E8" s="7">
        <v>4009228</v>
      </c>
      <c r="F8" s="7">
        <v>19137868</v>
      </c>
      <c r="G8" s="7">
        <v>10711073</v>
      </c>
    </row>
    <row r="9" spans="1:7" ht="12.75">
      <c r="A9" s="8" t="s">
        <v>401</v>
      </c>
      <c r="B9" s="9" t="s">
        <v>574</v>
      </c>
      <c r="C9" s="10">
        <v>161361140</v>
      </c>
      <c r="D9" s="10">
        <v>14720301</v>
      </c>
      <c r="E9" s="10">
        <v>4009228</v>
      </c>
      <c r="F9" s="10">
        <v>137562415</v>
      </c>
      <c r="G9" s="10">
        <v>10711073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3" topLeftCell="A67" activePane="bottomLeft" state="frozen"/>
      <selection pane="topLeft" activeCell="A1" sqref="A1"/>
      <selection pane="bottomLeft" activeCell="B83" sqref="B83:F83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2.00390625" style="0" bestFit="1" customWidth="1"/>
    <col min="4" max="4" width="26.00390625" style="0" bestFit="1" customWidth="1"/>
    <col min="5" max="5" width="30.875" style="0" bestFit="1" customWidth="1"/>
    <col min="6" max="6" width="32.875" style="0" customWidth="1"/>
  </cols>
  <sheetData>
    <row r="1" spans="1:6" ht="12.75" customHeight="1">
      <c r="A1" s="1" t="s">
        <v>7</v>
      </c>
      <c r="B1" s="2"/>
      <c r="C1" s="2"/>
      <c r="D1" s="2"/>
      <c r="E1" s="2"/>
      <c r="F1" s="3"/>
    </row>
    <row r="2" spans="1:6" ht="63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</row>
    <row r="3" spans="1:6" ht="15.75">
      <c r="A3" s="3">
        <v>2</v>
      </c>
      <c r="B3" s="3">
        <v>3</v>
      </c>
      <c r="C3" s="3">
        <v>4</v>
      </c>
      <c r="D3" s="3">
        <v>5</v>
      </c>
      <c r="E3" s="3">
        <v>7</v>
      </c>
      <c r="F3" s="3">
        <v>10</v>
      </c>
    </row>
    <row r="4" spans="1:6" ht="25.5">
      <c r="A4" s="11" t="s">
        <v>0</v>
      </c>
      <c r="B4" s="12" t="s">
        <v>14</v>
      </c>
      <c r="C4" s="13">
        <v>74068726</v>
      </c>
      <c r="D4" s="13">
        <v>80428220</v>
      </c>
      <c r="E4" s="13">
        <v>80428220</v>
      </c>
      <c r="F4" s="13">
        <v>80428220</v>
      </c>
    </row>
    <row r="5" spans="1:6" ht="12.75">
      <c r="A5" s="11" t="s">
        <v>2</v>
      </c>
      <c r="B5" s="12" t="s">
        <v>15</v>
      </c>
      <c r="C5" s="13">
        <v>1895326</v>
      </c>
      <c r="D5" s="13">
        <v>2591617</v>
      </c>
      <c r="E5" s="13">
        <v>2591617</v>
      </c>
      <c r="F5" s="13">
        <v>2591617</v>
      </c>
    </row>
    <row r="6" spans="1:6" ht="25.5">
      <c r="A6" s="11" t="s">
        <v>4</v>
      </c>
      <c r="B6" s="12" t="s">
        <v>16</v>
      </c>
      <c r="C6" s="13">
        <v>0</v>
      </c>
      <c r="D6" s="13">
        <v>1577209</v>
      </c>
      <c r="E6" s="13">
        <v>1577209</v>
      </c>
      <c r="F6" s="13">
        <v>1577209</v>
      </c>
    </row>
    <row r="7" spans="1:6" ht="12.75">
      <c r="A7" s="11" t="s">
        <v>17</v>
      </c>
      <c r="B7" s="12" t="s">
        <v>18</v>
      </c>
      <c r="C7" s="13">
        <v>2217000</v>
      </c>
      <c r="D7" s="13">
        <v>2217000</v>
      </c>
      <c r="E7" s="13">
        <v>2217000</v>
      </c>
      <c r="F7" s="13">
        <v>2217000</v>
      </c>
    </row>
    <row r="8" spans="1:6" ht="12.75">
      <c r="A8" s="11" t="s">
        <v>19</v>
      </c>
      <c r="B8" s="12" t="s">
        <v>20</v>
      </c>
      <c r="C8" s="13">
        <v>3087801</v>
      </c>
      <c r="D8" s="13">
        <v>2893551</v>
      </c>
      <c r="E8" s="13">
        <v>2893551</v>
      </c>
      <c r="F8" s="13">
        <v>2893551</v>
      </c>
    </row>
    <row r="9" spans="1:6" ht="12.75">
      <c r="A9" s="11" t="s">
        <v>21</v>
      </c>
      <c r="B9" s="12" t="s">
        <v>22</v>
      </c>
      <c r="C9" s="13">
        <v>833856</v>
      </c>
      <c r="D9" s="13">
        <v>871510</v>
      </c>
      <c r="E9" s="13">
        <v>871510</v>
      </c>
      <c r="F9" s="13">
        <v>871510</v>
      </c>
    </row>
    <row r="10" spans="1:6" ht="12.75">
      <c r="A10" s="11" t="s">
        <v>23</v>
      </c>
      <c r="B10" s="12" t="s">
        <v>24</v>
      </c>
      <c r="C10" s="13">
        <v>28985</v>
      </c>
      <c r="D10" s="13">
        <v>53185</v>
      </c>
      <c r="E10" s="13">
        <v>53185</v>
      </c>
      <c r="F10" s="13">
        <v>53185</v>
      </c>
    </row>
    <row r="11" spans="1:6" ht="25.5">
      <c r="A11" s="11" t="s">
        <v>25</v>
      </c>
      <c r="B11" s="12" t="s">
        <v>26</v>
      </c>
      <c r="C11" s="13">
        <v>2458478</v>
      </c>
      <c r="D11" s="13">
        <v>2539809</v>
      </c>
      <c r="E11" s="13">
        <v>2539809</v>
      </c>
      <c r="F11" s="13">
        <v>2539809</v>
      </c>
    </row>
    <row r="12" spans="1:6" ht="25.5">
      <c r="A12" s="11" t="s">
        <v>27</v>
      </c>
      <c r="B12" s="12" t="s">
        <v>28</v>
      </c>
      <c r="C12" s="13">
        <v>84590172</v>
      </c>
      <c r="D12" s="13">
        <v>93172101</v>
      </c>
      <c r="E12" s="13">
        <v>93172101</v>
      </c>
      <c r="F12" s="13">
        <v>93172101</v>
      </c>
    </row>
    <row r="13" spans="1:6" ht="12.75">
      <c r="A13" s="11" t="s">
        <v>29</v>
      </c>
      <c r="B13" s="12" t="s">
        <v>30</v>
      </c>
      <c r="C13" s="13">
        <v>7568513</v>
      </c>
      <c r="D13" s="13">
        <v>7020010</v>
      </c>
      <c r="E13" s="13">
        <v>7020010</v>
      </c>
      <c r="F13" s="13">
        <v>7020010</v>
      </c>
    </row>
    <row r="14" spans="1:6" ht="38.25">
      <c r="A14" s="11" t="s">
        <v>31</v>
      </c>
      <c r="B14" s="12" t="s">
        <v>32</v>
      </c>
      <c r="C14" s="13">
        <v>0</v>
      </c>
      <c r="D14" s="13">
        <v>2067230</v>
      </c>
      <c r="E14" s="13">
        <v>2067230</v>
      </c>
      <c r="F14" s="13">
        <v>2067230</v>
      </c>
    </row>
    <row r="15" spans="1:6" ht="12.75">
      <c r="A15" s="11" t="s">
        <v>33</v>
      </c>
      <c r="B15" s="12" t="s">
        <v>34</v>
      </c>
      <c r="C15" s="13">
        <v>0</v>
      </c>
      <c r="D15" s="13">
        <v>2203835</v>
      </c>
      <c r="E15" s="13">
        <v>2203835</v>
      </c>
      <c r="F15" s="13">
        <v>2203835</v>
      </c>
    </row>
    <row r="16" spans="1:6" ht="12.75">
      <c r="A16" s="11" t="s">
        <v>35</v>
      </c>
      <c r="B16" s="12" t="s">
        <v>36</v>
      </c>
      <c r="C16" s="13">
        <v>7568513</v>
      </c>
      <c r="D16" s="13">
        <v>11291075</v>
      </c>
      <c r="E16" s="13">
        <v>11291075</v>
      </c>
      <c r="F16" s="13">
        <v>11291075</v>
      </c>
    </row>
    <row r="17" spans="1:6" ht="12.75">
      <c r="A17" s="14" t="s">
        <v>37</v>
      </c>
      <c r="B17" s="15" t="s">
        <v>38</v>
      </c>
      <c r="C17" s="16">
        <v>92158685</v>
      </c>
      <c r="D17" s="16">
        <v>104463176</v>
      </c>
      <c r="E17" s="16">
        <v>104463176</v>
      </c>
      <c r="F17" s="16">
        <v>104463176</v>
      </c>
    </row>
    <row r="18" spans="1:6" ht="25.5">
      <c r="A18" s="14" t="s">
        <v>39</v>
      </c>
      <c r="B18" s="15" t="s">
        <v>40</v>
      </c>
      <c r="C18" s="16">
        <v>18011932</v>
      </c>
      <c r="D18" s="16">
        <v>19420521</v>
      </c>
      <c r="E18" s="16">
        <v>19420521</v>
      </c>
      <c r="F18" s="16">
        <v>19420521</v>
      </c>
    </row>
    <row r="19" spans="1:6" ht="12.75">
      <c r="A19" s="11" t="s">
        <v>41</v>
      </c>
      <c r="B19" s="12" t="s">
        <v>42</v>
      </c>
      <c r="C19" s="13">
        <v>0</v>
      </c>
      <c r="D19" s="13">
        <v>0</v>
      </c>
      <c r="E19" s="13">
        <v>0</v>
      </c>
      <c r="F19" s="13">
        <v>18489943</v>
      </c>
    </row>
    <row r="20" spans="1:6" ht="12.75">
      <c r="A20" s="11" t="s">
        <v>43</v>
      </c>
      <c r="B20" s="12" t="s">
        <v>44</v>
      </c>
      <c r="C20" s="13">
        <v>0</v>
      </c>
      <c r="D20" s="13">
        <v>0</v>
      </c>
      <c r="E20" s="13">
        <v>0</v>
      </c>
      <c r="F20" s="13">
        <v>377130</v>
      </c>
    </row>
    <row r="21" spans="1:6" ht="38.25">
      <c r="A21" s="11" t="s">
        <v>45</v>
      </c>
      <c r="B21" s="12" t="s">
        <v>46</v>
      </c>
      <c r="C21" s="13">
        <v>0</v>
      </c>
      <c r="D21" s="13">
        <v>0</v>
      </c>
      <c r="E21" s="13">
        <v>0</v>
      </c>
      <c r="F21" s="13">
        <v>89000</v>
      </c>
    </row>
    <row r="22" spans="1:6" ht="25.5">
      <c r="A22" s="11" t="s">
        <v>47</v>
      </c>
      <c r="B22" s="12" t="s">
        <v>48</v>
      </c>
      <c r="C22" s="13">
        <v>0</v>
      </c>
      <c r="D22" s="13">
        <v>0</v>
      </c>
      <c r="E22" s="13">
        <v>0</v>
      </c>
      <c r="F22" s="13">
        <v>464448</v>
      </c>
    </row>
    <row r="23" spans="1:6" ht="12.75">
      <c r="A23" s="11" t="s">
        <v>49</v>
      </c>
      <c r="B23" s="12" t="s">
        <v>50</v>
      </c>
      <c r="C23" s="13">
        <v>684896</v>
      </c>
      <c r="D23" s="13">
        <v>612802</v>
      </c>
      <c r="E23" s="13">
        <v>612802</v>
      </c>
      <c r="F23" s="13">
        <v>612802</v>
      </c>
    </row>
    <row r="24" spans="1:6" ht="12.75">
      <c r="A24" s="11" t="s">
        <v>51</v>
      </c>
      <c r="B24" s="12" t="s">
        <v>52</v>
      </c>
      <c r="C24" s="13">
        <v>28195726</v>
      </c>
      <c r="D24" s="13">
        <v>29596133</v>
      </c>
      <c r="E24" s="13">
        <v>29596133</v>
      </c>
      <c r="F24" s="13">
        <v>29585633</v>
      </c>
    </row>
    <row r="25" spans="1:6" ht="12.75">
      <c r="A25" s="11" t="s">
        <v>53</v>
      </c>
      <c r="B25" s="12" t="s">
        <v>54</v>
      </c>
      <c r="C25" s="13">
        <v>28880622</v>
      </c>
      <c r="D25" s="13">
        <v>30208935</v>
      </c>
      <c r="E25" s="13">
        <v>30208935</v>
      </c>
      <c r="F25" s="13">
        <v>30198435</v>
      </c>
    </row>
    <row r="26" spans="1:6" ht="25.5">
      <c r="A26" s="11" t="s">
        <v>55</v>
      </c>
      <c r="B26" s="12" t="s">
        <v>56</v>
      </c>
      <c r="C26" s="13">
        <v>1381313</v>
      </c>
      <c r="D26" s="13">
        <v>1021969</v>
      </c>
      <c r="E26" s="13">
        <v>1021969</v>
      </c>
      <c r="F26" s="13">
        <v>1021969</v>
      </c>
    </row>
    <row r="27" spans="1:6" ht="12.75">
      <c r="A27" s="11" t="s">
        <v>57</v>
      </c>
      <c r="B27" s="12" t="s">
        <v>58</v>
      </c>
      <c r="C27" s="13">
        <v>409385</v>
      </c>
      <c r="D27" s="13">
        <v>467538</v>
      </c>
      <c r="E27" s="13">
        <v>467538</v>
      </c>
      <c r="F27" s="13">
        <v>467538</v>
      </c>
    </row>
    <row r="28" spans="1:6" ht="12.75">
      <c r="A28" s="11" t="s">
        <v>59</v>
      </c>
      <c r="B28" s="12" t="s">
        <v>60</v>
      </c>
      <c r="C28" s="13">
        <v>1790698</v>
      </c>
      <c r="D28" s="13">
        <v>1489507</v>
      </c>
      <c r="E28" s="13">
        <v>1489507</v>
      </c>
      <c r="F28" s="13">
        <v>1489507</v>
      </c>
    </row>
    <row r="29" spans="1:6" ht="12.75">
      <c r="A29" s="11" t="s">
        <v>61</v>
      </c>
      <c r="B29" s="12" t="s">
        <v>62</v>
      </c>
      <c r="C29" s="13">
        <v>8467772</v>
      </c>
      <c r="D29" s="13">
        <v>7528668</v>
      </c>
      <c r="E29" s="13">
        <v>7528668</v>
      </c>
      <c r="F29" s="13">
        <v>7528668</v>
      </c>
    </row>
    <row r="30" spans="1:6" ht="12.75">
      <c r="A30" s="11" t="s">
        <v>63</v>
      </c>
      <c r="B30" s="12" t="s">
        <v>64</v>
      </c>
      <c r="C30" s="13">
        <v>165893</v>
      </c>
      <c r="D30" s="13">
        <v>53858</v>
      </c>
      <c r="E30" s="13">
        <v>53858</v>
      </c>
      <c r="F30" s="13">
        <v>53858</v>
      </c>
    </row>
    <row r="31" spans="1:6" ht="12.75">
      <c r="A31" s="11" t="s">
        <v>65</v>
      </c>
      <c r="B31" s="12" t="s">
        <v>66</v>
      </c>
      <c r="C31" s="13">
        <v>0</v>
      </c>
      <c r="D31" s="13">
        <v>1485327</v>
      </c>
      <c r="E31" s="13">
        <v>1485327</v>
      </c>
      <c r="F31" s="13">
        <v>1485327</v>
      </c>
    </row>
    <row r="32" spans="1:6" ht="12.75">
      <c r="A32" s="11" t="s">
        <v>67</v>
      </c>
      <c r="B32" s="12" t="s">
        <v>68</v>
      </c>
      <c r="C32" s="13">
        <v>1898063</v>
      </c>
      <c r="D32" s="13">
        <v>1666323</v>
      </c>
      <c r="E32" s="13">
        <v>1666323</v>
      </c>
      <c r="F32" s="13">
        <v>1666323</v>
      </c>
    </row>
    <row r="33" spans="1:6" ht="25.5">
      <c r="A33" s="11" t="s">
        <v>69</v>
      </c>
      <c r="B33" s="12" t="s">
        <v>70</v>
      </c>
      <c r="C33" s="13">
        <v>2799079</v>
      </c>
      <c r="D33" s="13">
        <v>4995943</v>
      </c>
      <c r="E33" s="13">
        <v>4995943</v>
      </c>
      <c r="F33" s="13">
        <v>4995943</v>
      </c>
    </row>
    <row r="34" spans="1:6" ht="12.75">
      <c r="A34" s="11" t="s">
        <v>71</v>
      </c>
      <c r="B34" s="12" t="s">
        <v>72</v>
      </c>
      <c r="C34" s="13">
        <v>5734773</v>
      </c>
      <c r="D34" s="13">
        <v>11483065</v>
      </c>
      <c r="E34" s="13">
        <v>11483065</v>
      </c>
      <c r="F34" s="13">
        <v>11387940</v>
      </c>
    </row>
    <row r="35" spans="1:6" ht="12.75">
      <c r="A35" s="11" t="s">
        <v>73</v>
      </c>
      <c r="B35" s="12" t="s">
        <v>74</v>
      </c>
      <c r="C35" s="13">
        <v>0</v>
      </c>
      <c r="D35" s="13">
        <v>0</v>
      </c>
      <c r="E35" s="13">
        <v>0</v>
      </c>
      <c r="F35" s="13">
        <v>1097647</v>
      </c>
    </row>
    <row r="36" spans="1:6" ht="25.5">
      <c r="A36" s="11" t="s">
        <v>75</v>
      </c>
      <c r="B36" s="12" t="s">
        <v>76</v>
      </c>
      <c r="C36" s="13">
        <v>19065580</v>
      </c>
      <c r="D36" s="13">
        <v>27213184</v>
      </c>
      <c r="E36" s="13">
        <v>27213184</v>
      </c>
      <c r="F36" s="13">
        <v>27118059</v>
      </c>
    </row>
    <row r="37" spans="1:6" ht="12.75">
      <c r="A37" s="11" t="s">
        <v>77</v>
      </c>
      <c r="B37" s="12" t="s">
        <v>78</v>
      </c>
      <c r="C37" s="13">
        <v>500000</v>
      </c>
      <c r="D37" s="13">
        <v>254042</v>
      </c>
      <c r="E37" s="13">
        <v>254042</v>
      </c>
      <c r="F37" s="13">
        <v>254042</v>
      </c>
    </row>
    <row r="38" spans="1:6" ht="12.75">
      <c r="A38" s="11" t="s">
        <v>79</v>
      </c>
      <c r="B38" s="12" t="s">
        <v>80</v>
      </c>
      <c r="C38" s="13">
        <v>150000</v>
      </c>
      <c r="D38" s="13">
        <v>213130</v>
      </c>
      <c r="E38" s="13">
        <v>213130</v>
      </c>
      <c r="F38" s="13">
        <v>213130</v>
      </c>
    </row>
    <row r="39" spans="1:6" ht="25.5">
      <c r="A39" s="11" t="s">
        <v>81</v>
      </c>
      <c r="B39" s="12" t="s">
        <v>82</v>
      </c>
      <c r="C39" s="13">
        <v>650000</v>
      </c>
      <c r="D39" s="13">
        <v>467172</v>
      </c>
      <c r="E39" s="13">
        <v>467172</v>
      </c>
      <c r="F39" s="13">
        <v>467172</v>
      </c>
    </row>
    <row r="40" spans="1:6" ht="25.5">
      <c r="A40" s="11" t="s">
        <v>83</v>
      </c>
      <c r="B40" s="12" t="s">
        <v>84</v>
      </c>
      <c r="C40" s="13">
        <v>10252872</v>
      </c>
      <c r="D40" s="13">
        <v>10767929</v>
      </c>
      <c r="E40" s="13">
        <v>10767929</v>
      </c>
      <c r="F40" s="13">
        <v>10739407</v>
      </c>
    </row>
    <row r="41" spans="1:6" ht="12.75">
      <c r="A41" s="11" t="s">
        <v>85</v>
      </c>
      <c r="B41" s="12" t="s">
        <v>86</v>
      </c>
      <c r="C41" s="13">
        <v>3712437</v>
      </c>
      <c r="D41" s="13">
        <v>3570647</v>
      </c>
      <c r="E41" s="13">
        <v>3570647</v>
      </c>
      <c r="F41" s="13">
        <v>3570647</v>
      </c>
    </row>
    <row r="42" spans="1:6" ht="12.75">
      <c r="A42" s="11" t="s">
        <v>87</v>
      </c>
      <c r="B42" s="12" t="s">
        <v>88</v>
      </c>
      <c r="C42" s="13">
        <v>1521896</v>
      </c>
      <c r="D42" s="13">
        <v>3262461</v>
      </c>
      <c r="E42" s="13">
        <v>570043</v>
      </c>
      <c r="F42" s="13">
        <v>570043</v>
      </c>
    </row>
    <row r="43" spans="1:6" ht="25.5">
      <c r="A43" s="11" t="s">
        <v>89</v>
      </c>
      <c r="B43" s="12" t="s">
        <v>90</v>
      </c>
      <c r="C43" s="13">
        <v>15487205</v>
      </c>
      <c r="D43" s="13">
        <v>17601037</v>
      </c>
      <c r="E43" s="13">
        <v>14908619</v>
      </c>
      <c r="F43" s="13">
        <v>14880097</v>
      </c>
    </row>
    <row r="44" spans="1:6" ht="12.75">
      <c r="A44" s="14" t="s">
        <v>91</v>
      </c>
      <c r="B44" s="15" t="s">
        <v>92</v>
      </c>
      <c r="C44" s="16">
        <v>65874105</v>
      </c>
      <c r="D44" s="16">
        <v>76979835</v>
      </c>
      <c r="E44" s="16">
        <v>74287417</v>
      </c>
      <c r="F44" s="16">
        <v>74153270</v>
      </c>
    </row>
    <row r="45" spans="1:6" ht="12.75">
      <c r="A45" s="11" t="s">
        <v>93</v>
      </c>
      <c r="B45" s="12" t="s">
        <v>94</v>
      </c>
      <c r="C45" s="13">
        <v>941500</v>
      </c>
      <c r="D45" s="13">
        <v>0</v>
      </c>
      <c r="E45" s="13">
        <v>0</v>
      </c>
      <c r="F45" s="13">
        <v>0</v>
      </c>
    </row>
    <row r="46" spans="1:6" ht="25.5">
      <c r="A46" s="11" t="s">
        <v>95</v>
      </c>
      <c r="B46" s="12" t="s">
        <v>96</v>
      </c>
      <c r="C46" s="13">
        <v>5915000</v>
      </c>
      <c r="D46" s="13">
        <v>4680475</v>
      </c>
      <c r="E46" s="13">
        <v>4680475</v>
      </c>
      <c r="F46" s="13">
        <v>4680475</v>
      </c>
    </row>
    <row r="47" spans="1:6" ht="25.5">
      <c r="A47" s="11" t="s">
        <v>97</v>
      </c>
      <c r="B47" s="12" t="s">
        <v>98</v>
      </c>
      <c r="C47" s="13">
        <v>0</v>
      </c>
      <c r="D47" s="13">
        <v>0</v>
      </c>
      <c r="E47" s="13">
        <v>0</v>
      </c>
      <c r="F47" s="13">
        <v>75000</v>
      </c>
    </row>
    <row r="48" spans="1:6" ht="12.75">
      <c r="A48" s="11" t="s">
        <v>99</v>
      </c>
      <c r="B48" s="12" t="s">
        <v>100</v>
      </c>
      <c r="C48" s="13">
        <v>0</v>
      </c>
      <c r="D48" s="13">
        <v>0</v>
      </c>
      <c r="E48" s="13">
        <v>0</v>
      </c>
      <c r="F48" s="13">
        <v>172975</v>
      </c>
    </row>
    <row r="49" spans="1:6" ht="25.5">
      <c r="A49" s="11" t="s">
        <v>101</v>
      </c>
      <c r="B49" s="12" t="s">
        <v>102</v>
      </c>
      <c r="C49" s="13">
        <v>0</v>
      </c>
      <c r="D49" s="13">
        <v>0</v>
      </c>
      <c r="E49" s="13">
        <v>0</v>
      </c>
      <c r="F49" s="13">
        <v>3202500</v>
      </c>
    </row>
    <row r="50" spans="1:6" ht="38.25">
      <c r="A50" s="11" t="s">
        <v>103</v>
      </c>
      <c r="B50" s="12" t="s">
        <v>104</v>
      </c>
      <c r="C50" s="13">
        <v>0</v>
      </c>
      <c r="D50" s="13">
        <v>0</v>
      </c>
      <c r="E50" s="13">
        <v>0</v>
      </c>
      <c r="F50" s="13">
        <v>1230000</v>
      </c>
    </row>
    <row r="51" spans="1:6" ht="25.5">
      <c r="A51" s="14" t="s">
        <v>105</v>
      </c>
      <c r="B51" s="15" t="s">
        <v>106</v>
      </c>
      <c r="C51" s="16">
        <v>6856500</v>
      </c>
      <c r="D51" s="16">
        <v>4680475</v>
      </c>
      <c r="E51" s="16">
        <v>4680475</v>
      </c>
      <c r="F51" s="16">
        <v>4680475</v>
      </c>
    </row>
    <row r="52" spans="1:6" ht="25.5">
      <c r="A52" s="11" t="s">
        <v>107</v>
      </c>
      <c r="B52" s="12" t="s">
        <v>108</v>
      </c>
      <c r="C52" s="13">
        <v>2072080</v>
      </c>
      <c r="D52" s="13">
        <v>2073035</v>
      </c>
      <c r="E52" s="13">
        <v>2073035</v>
      </c>
      <c r="F52" s="13">
        <v>2073035</v>
      </c>
    </row>
    <row r="53" spans="1:6" ht="25.5">
      <c r="A53" s="11" t="s">
        <v>109</v>
      </c>
      <c r="B53" s="12" t="s">
        <v>110</v>
      </c>
      <c r="C53" s="13">
        <v>2072080</v>
      </c>
      <c r="D53" s="13">
        <v>2073035</v>
      </c>
      <c r="E53" s="13">
        <v>2073035</v>
      </c>
      <c r="F53" s="13">
        <v>2073035</v>
      </c>
    </row>
    <row r="54" spans="1:6" ht="38.25">
      <c r="A54" s="11" t="s">
        <v>111</v>
      </c>
      <c r="B54" s="12" t="s">
        <v>112</v>
      </c>
      <c r="C54" s="13">
        <v>8407500</v>
      </c>
      <c r="D54" s="13">
        <v>10757355</v>
      </c>
      <c r="E54" s="13">
        <v>10757355</v>
      </c>
      <c r="F54" s="13">
        <v>10757355</v>
      </c>
    </row>
    <row r="55" spans="1:6" ht="12.75">
      <c r="A55" s="11" t="s">
        <v>113</v>
      </c>
      <c r="B55" s="12" t="s">
        <v>114</v>
      </c>
      <c r="C55" s="13">
        <v>0</v>
      </c>
      <c r="D55" s="13">
        <v>0</v>
      </c>
      <c r="E55" s="13">
        <v>0</v>
      </c>
      <c r="F55" s="13">
        <v>205000</v>
      </c>
    </row>
    <row r="56" spans="1:6" ht="25.5">
      <c r="A56" s="11" t="s">
        <v>115</v>
      </c>
      <c r="B56" s="12" t="s">
        <v>116</v>
      </c>
      <c r="C56" s="13">
        <v>0</v>
      </c>
      <c r="D56" s="13">
        <v>0</v>
      </c>
      <c r="E56" s="13">
        <v>0</v>
      </c>
      <c r="F56" s="13">
        <v>10552355</v>
      </c>
    </row>
    <row r="57" spans="1:6" ht="25.5">
      <c r="A57" s="11" t="s">
        <v>117</v>
      </c>
      <c r="B57" s="12" t="s">
        <v>118</v>
      </c>
      <c r="C57" s="13">
        <v>8693880</v>
      </c>
      <c r="D57" s="13">
        <v>38951417</v>
      </c>
      <c r="E57" s="13">
        <v>38951417</v>
      </c>
      <c r="F57" s="13">
        <v>38951417</v>
      </c>
    </row>
    <row r="58" spans="1:6" ht="12.75">
      <c r="A58" s="11" t="s">
        <v>119</v>
      </c>
      <c r="B58" s="12" t="s">
        <v>120</v>
      </c>
      <c r="C58" s="13">
        <v>0</v>
      </c>
      <c r="D58" s="13">
        <v>0</v>
      </c>
      <c r="E58" s="13">
        <v>0</v>
      </c>
      <c r="F58" s="13">
        <v>11117117</v>
      </c>
    </row>
    <row r="59" spans="1:6" ht="12.75">
      <c r="A59" s="11" t="s">
        <v>121</v>
      </c>
      <c r="B59" s="12" t="s">
        <v>122</v>
      </c>
      <c r="C59" s="13">
        <v>0</v>
      </c>
      <c r="D59" s="13">
        <v>0</v>
      </c>
      <c r="E59" s="13">
        <v>0</v>
      </c>
      <c r="F59" s="13">
        <v>27834300</v>
      </c>
    </row>
    <row r="60" spans="1:6" ht="12.75">
      <c r="A60" s="11" t="s">
        <v>123</v>
      </c>
      <c r="B60" s="12" t="s">
        <v>124</v>
      </c>
      <c r="C60" s="13">
        <v>106810136</v>
      </c>
      <c r="D60" s="13">
        <v>124796437</v>
      </c>
      <c r="E60" s="13">
        <v>0</v>
      </c>
      <c r="F60" s="13">
        <v>0</v>
      </c>
    </row>
    <row r="61" spans="1:6" ht="38.25">
      <c r="A61" s="14" t="s">
        <v>125</v>
      </c>
      <c r="B61" s="15" t="s">
        <v>126</v>
      </c>
      <c r="C61" s="16">
        <v>125983596</v>
      </c>
      <c r="D61" s="16">
        <v>176578244</v>
      </c>
      <c r="E61" s="16">
        <v>51781807</v>
      </c>
      <c r="F61" s="16">
        <v>51781807</v>
      </c>
    </row>
    <row r="62" spans="1:6" ht="12.75">
      <c r="A62" s="11" t="s">
        <v>127</v>
      </c>
      <c r="B62" s="12" t="s">
        <v>128</v>
      </c>
      <c r="C62" s="13">
        <v>3570000</v>
      </c>
      <c r="D62" s="13">
        <v>2040000</v>
      </c>
      <c r="E62" s="13">
        <v>2040000</v>
      </c>
      <c r="F62" s="13">
        <v>2040000</v>
      </c>
    </row>
    <row r="63" spans="1:6" ht="25.5">
      <c r="A63" s="11" t="s">
        <v>129</v>
      </c>
      <c r="B63" s="12" t="s">
        <v>130</v>
      </c>
      <c r="C63" s="13">
        <v>787402</v>
      </c>
      <c r="D63" s="13">
        <v>893149</v>
      </c>
      <c r="E63" s="13">
        <v>893149</v>
      </c>
      <c r="F63" s="13">
        <v>893149</v>
      </c>
    </row>
    <row r="64" spans="1:6" ht="25.5">
      <c r="A64" s="11" t="s">
        <v>131</v>
      </c>
      <c r="B64" s="12" t="s">
        <v>132</v>
      </c>
      <c r="C64" s="13">
        <v>0</v>
      </c>
      <c r="D64" s="13">
        <v>190142</v>
      </c>
      <c r="E64" s="13">
        <v>190142</v>
      </c>
      <c r="F64" s="13">
        <v>190142</v>
      </c>
    </row>
    <row r="65" spans="1:6" ht="25.5">
      <c r="A65" s="11" t="s">
        <v>133</v>
      </c>
      <c r="B65" s="12" t="s">
        <v>134</v>
      </c>
      <c r="C65" s="13">
        <v>1312283</v>
      </c>
      <c r="D65" s="13">
        <v>5454486</v>
      </c>
      <c r="E65" s="13">
        <v>5454486</v>
      </c>
      <c r="F65" s="13">
        <v>4324880</v>
      </c>
    </row>
    <row r="66" spans="1:6" ht="25.5">
      <c r="A66" s="11" t="s">
        <v>135</v>
      </c>
      <c r="B66" s="12" t="s">
        <v>136</v>
      </c>
      <c r="C66" s="13">
        <v>1434891</v>
      </c>
      <c r="D66" s="13">
        <v>1340413</v>
      </c>
      <c r="E66" s="13">
        <v>1340413</v>
      </c>
      <c r="F66" s="13">
        <v>1035419</v>
      </c>
    </row>
    <row r="67" spans="1:6" ht="12.75">
      <c r="A67" s="14" t="s">
        <v>137</v>
      </c>
      <c r="B67" s="15" t="s">
        <v>138</v>
      </c>
      <c r="C67" s="16">
        <v>7104576</v>
      </c>
      <c r="D67" s="16">
        <v>9918190</v>
      </c>
      <c r="E67" s="16">
        <v>9918190</v>
      </c>
      <c r="F67" s="16">
        <v>8483590</v>
      </c>
    </row>
    <row r="68" spans="1:6" ht="12.75">
      <c r="A68" s="11" t="s">
        <v>139</v>
      </c>
      <c r="B68" s="12" t="s">
        <v>140</v>
      </c>
      <c r="C68" s="13">
        <v>51319671</v>
      </c>
      <c r="D68" s="13">
        <v>45271995</v>
      </c>
      <c r="E68" s="13">
        <v>45271995</v>
      </c>
      <c r="F68" s="13">
        <v>45271995</v>
      </c>
    </row>
    <row r="69" spans="1:6" ht="12.75">
      <c r="A69" s="11" t="s">
        <v>141</v>
      </c>
      <c r="B69" s="12" t="s">
        <v>142</v>
      </c>
      <c r="C69" s="13">
        <v>0</v>
      </c>
      <c r="D69" s="13">
        <v>299000</v>
      </c>
      <c r="E69" s="13">
        <v>299000</v>
      </c>
      <c r="F69" s="13">
        <v>299000</v>
      </c>
    </row>
    <row r="70" spans="1:6" ht="25.5">
      <c r="A70" s="11" t="s">
        <v>143</v>
      </c>
      <c r="B70" s="12" t="s">
        <v>144</v>
      </c>
      <c r="C70" s="13">
        <v>13856310</v>
      </c>
      <c r="D70" s="13">
        <v>12144760</v>
      </c>
      <c r="E70" s="13">
        <v>12144760</v>
      </c>
      <c r="F70" s="13">
        <v>12144760</v>
      </c>
    </row>
    <row r="71" spans="1:6" ht="12.75">
      <c r="A71" s="14" t="s">
        <v>145</v>
      </c>
      <c r="B71" s="15" t="s">
        <v>146</v>
      </c>
      <c r="C71" s="16">
        <v>65175981</v>
      </c>
      <c r="D71" s="16">
        <v>57715755</v>
      </c>
      <c r="E71" s="16">
        <v>57715755</v>
      </c>
      <c r="F71" s="16">
        <v>57715755</v>
      </c>
    </row>
    <row r="72" spans="1:6" ht="25.5">
      <c r="A72" s="14" t="s">
        <v>147</v>
      </c>
      <c r="B72" s="15" t="s">
        <v>148</v>
      </c>
      <c r="C72" s="16">
        <v>381165375</v>
      </c>
      <c r="D72" s="16">
        <v>449756196</v>
      </c>
      <c r="E72" s="16">
        <v>322267341</v>
      </c>
      <c r="F72" s="16">
        <v>320698594</v>
      </c>
    </row>
    <row r="75" spans="1:7" ht="12.75" customHeight="1">
      <c r="A75" s="1" t="s">
        <v>241</v>
      </c>
      <c r="B75" s="2"/>
      <c r="C75" s="2"/>
      <c r="D75" s="2"/>
      <c r="E75" s="2"/>
      <c r="F75" s="2"/>
      <c r="G75" s="17"/>
    </row>
    <row r="76" spans="1:6" ht="62.25" customHeight="1">
      <c r="A76" s="4" t="s">
        <v>8</v>
      </c>
      <c r="B76" s="4" t="s">
        <v>9</v>
      </c>
      <c r="C76" s="4" t="s">
        <v>10</v>
      </c>
      <c r="D76" s="4" t="s">
        <v>11</v>
      </c>
      <c r="E76" s="4" t="s">
        <v>12</v>
      </c>
      <c r="F76" s="4" t="s">
        <v>13</v>
      </c>
    </row>
    <row r="77" spans="1:6" ht="15.75">
      <c r="A77" s="4">
        <v>2</v>
      </c>
      <c r="B77" s="4">
        <v>3</v>
      </c>
      <c r="C77" s="4">
        <v>4</v>
      </c>
      <c r="D77" s="4">
        <v>5</v>
      </c>
      <c r="E77" s="4">
        <v>7</v>
      </c>
      <c r="F77" s="4">
        <v>10</v>
      </c>
    </row>
    <row r="78" spans="1:6" ht="25.5">
      <c r="A78" s="5" t="s">
        <v>39</v>
      </c>
      <c r="B78" s="6" t="s">
        <v>242</v>
      </c>
      <c r="C78" s="7">
        <v>5035762</v>
      </c>
      <c r="D78" s="7">
        <v>5035762</v>
      </c>
      <c r="E78" s="7">
        <v>5035762</v>
      </c>
      <c r="F78" s="7">
        <v>5035762</v>
      </c>
    </row>
    <row r="79" spans="1:6" ht="25.5">
      <c r="A79" s="5" t="s">
        <v>41</v>
      </c>
      <c r="B79" s="6" t="s">
        <v>243</v>
      </c>
      <c r="C79" s="7">
        <v>104977757</v>
      </c>
      <c r="D79" s="7">
        <v>115264400</v>
      </c>
      <c r="E79" s="7">
        <v>115264400</v>
      </c>
      <c r="F79" s="7">
        <v>115264400</v>
      </c>
    </row>
    <row r="80" spans="1:6" ht="25.5">
      <c r="A80" s="5" t="s">
        <v>51</v>
      </c>
      <c r="B80" s="6" t="s">
        <v>244</v>
      </c>
      <c r="C80" s="7">
        <v>110013519</v>
      </c>
      <c r="D80" s="7">
        <v>120300162</v>
      </c>
      <c r="E80" s="7">
        <v>120300162</v>
      </c>
      <c r="F80" s="7">
        <v>120300162</v>
      </c>
    </row>
    <row r="81" spans="1:6" ht="25.5">
      <c r="A81" s="8" t="s">
        <v>245</v>
      </c>
      <c r="B81" s="9" t="s">
        <v>246</v>
      </c>
      <c r="C81" s="10">
        <v>110013519</v>
      </c>
      <c r="D81" s="10">
        <v>120300162</v>
      </c>
      <c r="E81" s="10">
        <v>120300162</v>
      </c>
      <c r="F81" s="10">
        <v>120300162</v>
      </c>
    </row>
    <row r="83" spans="1:6" ht="15.75">
      <c r="A83" s="86"/>
      <c r="B83" s="87" t="s">
        <v>813</v>
      </c>
      <c r="C83" s="88">
        <f>+C72+C81</f>
        <v>491178894</v>
      </c>
      <c r="D83" s="88">
        <f>+D72+D81</f>
        <v>570056358</v>
      </c>
      <c r="E83" s="88">
        <f>+E72+E81</f>
        <v>442567503</v>
      </c>
      <c r="F83" s="88">
        <f>+F72+F81</f>
        <v>440998756</v>
      </c>
    </row>
  </sheetData>
  <sheetProtection/>
  <mergeCells count="2">
    <mergeCell ref="A1:E1"/>
    <mergeCell ref="A75:F7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B72" sqref="B7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2.00390625" style="0" bestFit="1" customWidth="1"/>
    <col min="4" max="4" width="26.00390625" style="0" bestFit="1" customWidth="1"/>
    <col min="5" max="5" width="30.125" style="0" bestFit="1" customWidth="1"/>
    <col min="6" max="6" width="14.125" style="0" bestFit="1" customWidth="1"/>
  </cols>
  <sheetData>
    <row r="1" spans="1:6" ht="12.75" customHeight="1">
      <c r="A1" s="1" t="s">
        <v>149</v>
      </c>
      <c r="B1" s="2"/>
      <c r="C1" s="2"/>
      <c r="D1" s="2"/>
      <c r="E1" s="2"/>
      <c r="F1" s="2"/>
    </row>
    <row r="2" spans="1:6" ht="31.5">
      <c r="A2" s="4" t="s">
        <v>8</v>
      </c>
      <c r="B2" s="4" t="s">
        <v>9</v>
      </c>
      <c r="C2" s="4" t="s">
        <v>10</v>
      </c>
      <c r="D2" s="4" t="s">
        <v>11</v>
      </c>
      <c r="E2" s="4" t="s">
        <v>150</v>
      </c>
      <c r="F2" s="4" t="s">
        <v>13</v>
      </c>
    </row>
    <row r="3" spans="1:6" ht="15.75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8</v>
      </c>
    </row>
    <row r="4" spans="1:6" ht="25.5">
      <c r="A4" s="5" t="s">
        <v>0</v>
      </c>
      <c r="B4" s="6" t="s">
        <v>151</v>
      </c>
      <c r="C4" s="7">
        <v>61786026</v>
      </c>
      <c r="D4" s="7">
        <v>63936073</v>
      </c>
      <c r="E4" s="7">
        <v>63936073</v>
      </c>
      <c r="F4" s="7">
        <v>63936073</v>
      </c>
    </row>
    <row r="5" spans="1:6" ht="25.5">
      <c r="A5" s="5" t="s">
        <v>1</v>
      </c>
      <c r="B5" s="6" t="s">
        <v>152</v>
      </c>
      <c r="C5" s="7">
        <v>34615900</v>
      </c>
      <c r="D5" s="7">
        <v>38460075</v>
      </c>
      <c r="E5" s="7">
        <v>38460075</v>
      </c>
      <c r="F5" s="7">
        <v>38460075</v>
      </c>
    </row>
    <row r="6" spans="1:6" ht="38.25">
      <c r="A6" s="5" t="s">
        <v>2</v>
      </c>
      <c r="B6" s="6" t="s">
        <v>153</v>
      </c>
      <c r="C6" s="7">
        <v>36515722</v>
      </c>
      <c r="D6" s="7">
        <v>37012508</v>
      </c>
      <c r="E6" s="7">
        <v>37012508</v>
      </c>
      <c r="F6" s="7">
        <v>37012508</v>
      </c>
    </row>
    <row r="7" spans="1:6" ht="25.5">
      <c r="A7" s="5" t="s">
        <v>4</v>
      </c>
      <c r="B7" s="6" t="s">
        <v>154</v>
      </c>
      <c r="C7" s="7">
        <v>2326830</v>
      </c>
      <c r="D7" s="7">
        <v>2405830</v>
      </c>
      <c r="E7" s="7">
        <v>2405830</v>
      </c>
      <c r="F7" s="7">
        <v>2405830</v>
      </c>
    </row>
    <row r="8" spans="1:6" ht="25.5">
      <c r="A8" s="5" t="s">
        <v>155</v>
      </c>
      <c r="B8" s="6" t="s">
        <v>156</v>
      </c>
      <c r="C8" s="7">
        <v>6847096</v>
      </c>
      <c r="D8" s="7">
        <v>34330300</v>
      </c>
      <c r="E8" s="7">
        <v>34330300</v>
      </c>
      <c r="F8" s="7">
        <v>34330300</v>
      </c>
    </row>
    <row r="9" spans="1:6" ht="12.75">
      <c r="A9" s="5" t="s">
        <v>17</v>
      </c>
      <c r="B9" s="6" t="s">
        <v>157</v>
      </c>
      <c r="C9" s="7">
        <v>0</v>
      </c>
      <c r="D9" s="7">
        <v>1000</v>
      </c>
      <c r="E9" s="7">
        <v>1000</v>
      </c>
      <c r="F9" s="7">
        <v>1000</v>
      </c>
    </row>
    <row r="10" spans="1:6" ht="25.5">
      <c r="A10" s="5" t="s">
        <v>19</v>
      </c>
      <c r="B10" s="6" t="s">
        <v>158</v>
      </c>
      <c r="C10" s="7">
        <v>142091574</v>
      </c>
      <c r="D10" s="7">
        <v>176145786</v>
      </c>
      <c r="E10" s="7">
        <v>176145786</v>
      </c>
      <c r="F10" s="7">
        <v>176145786</v>
      </c>
    </row>
    <row r="11" spans="1:6" ht="25.5">
      <c r="A11" s="5" t="s">
        <v>55</v>
      </c>
      <c r="B11" s="6" t="s">
        <v>159</v>
      </c>
      <c r="C11" s="7">
        <v>4798306</v>
      </c>
      <c r="D11" s="7">
        <v>13931549</v>
      </c>
      <c r="E11" s="7">
        <v>13931549</v>
      </c>
      <c r="F11" s="7">
        <v>13931549</v>
      </c>
    </row>
    <row r="12" spans="1:6" ht="25.5">
      <c r="A12" s="5" t="s">
        <v>63</v>
      </c>
      <c r="B12" s="6" t="s">
        <v>160</v>
      </c>
      <c r="C12" s="7">
        <v>0</v>
      </c>
      <c r="D12" s="7">
        <v>0</v>
      </c>
      <c r="E12" s="7">
        <v>0</v>
      </c>
      <c r="F12" s="7">
        <v>3420871</v>
      </c>
    </row>
    <row r="13" spans="1:6" ht="12.75">
      <c r="A13" s="5" t="s">
        <v>161</v>
      </c>
      <c r="B13" s="6" t="s">
        <v>162</v>
      </c>
      <c r="C13" s="7">
        <v>0</v>
      </c>
      <c r="D13" s="7">
        <v>0</v>
      </c>
      <c r="E13" s="7">
        <v>0</v>
      </c>
      <c r="F13" s="7">
        <v>8619802</v>
      </c>
    </row>
    <row r="14" spans="1:6" ht="25.5">
      <c r="A14" s="5" t="s">
        <v>67</v>
      </c>
      <c r="B14" s="6" t="s">
        <v>163</v>
      </c>
      <c r="C14" s="7">
        <v>0</v>
      </c>
      <c r="D14" s="7">
        <v>0</v>
      </c>
      <c r="E14" s="7">
        <v>0</v>
      </c>
      <c r="F14" s="7">
        <v>1890876</v>
      </c>
    </row>
    <row r="15" spans="1:6" ht="38.25">
      <c r="A15" s="8" t="s">
        <v>71</v>
      </c>
      <c r="B15" s="9" t="s">
        <v>164</v>
      </c>
      <c r="C15" s="10">
        <v>146889880</v>
      </c>
      <c r="D15" s="10">
        <v>190077335</v>
      </c>
      <c r="E15" s="10">
        <v>190077335</v>
      </c>
      <c r="F15" s="10">
        <v>190077335</v>
      </c>
    </row>
    <row r="16" spans="1:6" ht="25.5">
      <c r="A16" s="5" t="s">
        <v>73</v>
      </c>
      <c r="B16" s="6" t="s">
        <v>165</v>
      </c>
      <c r="C16" s="7">
        <v>13792000</v>
      </c>
      <c r="D16" s="7">
        <v>12621982</v>
      </c>
      <c r="E16" s="7">
        <v>12621982</v>
      </c>
      <c r="F16" s="7">
        <v>12621982</v>
      </c>
    </row>
    <row r="17" spans="1:6" ht="38.25">
      <c r="A17" s="5" t="s">
        <v>166</v>
      </c>
      <c r="B17" s="6" t="s">
        <v>167</v>
      </c>
      <c r="C17" s="7">
        <v>24891378</v>
      </c>
      <c r="D17" s="7">
        <v>29898162</v>
      </c>
      <c r="E17" s="7">
        <v>31198162</v>
      </c>
      <c r="F17" s="7">
        <v>31198162</v>
      </c>
    </row>
    <row r="18" spans="1:6" ht="12.75">
      <c r="A18" s="5" t="s">
        <v>168</v>
      </c>
      <c r="B18" s="6" t="s">
        <v>169</v>
      </c>
      <c r="C18" s="7">
        <v>0</v>
      </c>
      <c r="D18" s="7">
        <v>0</v>
      </c>
      <c r="E18" s="7">
        <v>0</v>
      </c>
      <c r="F18" s="7">
        <v>18230982</v>
      </c>
    </row>
    <row r="19" spans="1:6" ht="38.25">
      <c r="A19" s="5" t="s">
        <v>170</v>
      </c>
      <c r="B19" s="6" t="s">
        <v>171</v>
      </c>
      <c r="C19" s="7">
        <v>0</v>
      </c>
      <c r="D19" s="7">
        <v>0</v>
      </c>
      <c r="E19" s="7">
        <v>0</v>
      </c>
      <c r="F19" s="7">
        <v>12967180</v>
      </c>
    </row>
    <row r="20" spans="1:6" ht="38.25">
      <c r="A20" s="8" t="s">
        <v>172</v>
      </c>
      <c r="B20" s="9" t="s">
        <v>173</v>
      </c>
      <c r="C20" s="10">
        <v>38683378</v>
      </c>
      <c r="D20" s="10">
        <v>42520144</v>
      </c>
      <c r="E20" s="10">
        <v>43820144</v>
      </c>
      <c r="F20" s="10">
        <v>43820144</v>
      </c>
    </row>
    <row r="21" spans="1:6" ht="25.5">
      <c r="A21" s="5" t="s">
        <v>174</v>
      </c>
      <c r="B21" s="6" t="s">
        <v>175</v>
      </c>
      <c r="C21" s="7">
        <v>7472</v>
      </c>
      <c r="D21" s="7">
        <v>7472</v>
      </c>
      <c r="E21" s="7">
        <v>7472</v>
      </c>
      <c r="F21" s="7">
        <v>7472</v>
      </c>
    </row>
    <row r="22" spans="1:6" ht="25.5">
      <c r="A22" s="5" t="s">
        <v>176</v>
      </c>
      <c r="B22" s="6" t="s">
        <v>177</v>
      </c>
      <c r="C22" s="7">
        <v>0</v>
      </c>
      <c r="D22" s="7">
        <v>0</v>
      </c>
      <c r="E22" s="7">
        <v>0</v>
      </c>
      <c r="F22" s="7">
        <v>7472</v>
      </c>
    </row>
    <row r="23" spans="1:6" ht="12.75">
      <c r="A23" s="5" t="s">
        <v>178</v>
      </c>
      <c r="B23" s="6" t="s">
        <v>179</v>
      </c>
      <c r="C23" s="7">
        <v>7472</v>
      </c>
      <c r="D23" s="7">
        <v>7472</v>
      </c>
      <c r="E23" s="7">
        <v>7472</v>
      </c>
      <c r="F23" s="7">
        <v>7472</v>
      </c>
    </row>
    <row r="24" spans="1:6" ht="12.75">
      <c r="A24" s="5" t="s">
        <v>180</v>
      </c>
      <c r="B24" s="6" t="s">
        <v>181</v>
      </c>
      <c r="C24" s="7">
        <v>6624120</v>
      </c>
      <c r="D24" s="7">
        <v>7130784</v>
      </c>
      <c r="E24" s="7">
        <v>7130784</v>
      </c>
      <c r="F24" s="7">
        <v>5824058</v>
      </c>
    </row>
    <row r="25" spans="1:6" ht="12.75">
      <c r="A25" s="5" t="s">
        <v>182</v>
      </c>
      <c r="B25" s="6" t="s">
        <v>183</v>
      </c>
      <c r="C25" s="7">
        <v>0</v>
      </c>
      <c r="D25" s="7">
        <v>0</v>
      </c>
      <c r="E25" s="7">
        <v>0</v>
      </c>
      <c r="F25" s="7">
        <v>2970249</v>
      </c>
    </row>
    <row r="26" spans="1:6" ht="25.5">
      <c r="A26" s="5" t="s">
        <v>184</v>
      </c>
      <c r="B26" s="6" t="s">
        <v>185</v>
      </c>
      <c r="C26" s="7">
        <v>0</v>
      </c>
      <c r="D26" s="7">
        <v>0</v>
      </c>
      <c r="E26" s="7">
        <v>0</v>
      </c>
      <c r="F26" s="7">
        <v>2853809</v>
      </c>
    </row>
    <row r="27" spans="1:6" ht="25.5">
      <c r="A27" s="5" t="s">
        <v>99</v>
      </c>
      <c r="B27" s="6" t="s">
        <v>186</v>
      </c>
      <c r="C27" s="7">
        <v>31923565</v>
      </c>
      <c r="D27" s="7">
        <v>40245760</v>
      </c>
      <c r="E27" s="7">
        <v>40245760</v>
      </c>
      <c r="F27" s="7">
        <v>38552527</v>
      </c>
    </row>
    <row r="28" spans="1:6" ht="38.25">
      <c r="A28" s="5" t="s">
        <v>107</v>
      </c>
      <c r="B28" s="6" t="s">
        <v>187</v>
      </c>
      <c r="C28" s="7">
        <v>0</v>
      </c>
      <c r="D28" s="7">
        <v>0</v>
      </c>
      <c r="E28" s="7">
        <v>0</v>
      </c>
      <c r="F28" s="7">
        <v>38552527</v>
      </c>
    </row>
    <row r="29" spans="1:6" ht="12.75">
      <c r="A29" s="5" t="s">
        <v>188</v>
      </c>
      <c r="B29" s="6" t="s">
        <v>189</v>
      </c>
      <c r="C29" s="7">
        <v>4272646</v>
      </c>
      <c r="D29" s="7">
        <v>5476045</v>
      </c>
      <c r="E29" s="7">
        <v>5476045</v>
      </c>
      <c r="F29" s="7">
        <v>4404650</v>
      </c>
    </row>
    <row r="30" spans="1:6" ht="25.5">
      <c r="A30" s="5" t="s">
        <v>190</v>
      </c>
      <c r="B30" s="6" t="s">
        <v>191</v>
      </c>
      <c r="C30" s="7">
        <v>0</v>
      </c>
      <c r="D30" s="7">
        <v>0</v>
      </c>
      <c r="E30" s="7">
        <v>0</v>
      </c>
      <c r="F30" s="7">
        <v>4404650</v>
      </c>
    </row>
    <row r="31" spans="1:6" ht="25.5">
      <c r="A31" s="5" t="s">
        <v>192</v>
      </c>
      <c r="B31" s="6" t="s">
        <v>193</v>
      </c>
      <c r="C31" s="7">
        <v>250400</v>
      </c>
      <c r="D31" s="7">
        <v>297900</v>
      </c>
      <c r="E31" s="7">
        <v>297900</v>
      </c>
      <c r="F31" s="7">
        <v>254100</v>
      </c>
    </row>
    <row r="32" spans="1:6" ht="25.5">
      <c r="A32" s="5" t="s">
        <v>194</v>
      </c>
      <c r="B32" s="6" t="s">
        <v>195</v>
      </c>
      <c r="C32" s="7">
        <v>0</v>
      </c>
      <c r="D32" s="7">
        <v>0</v>
      </c>
      <c r="E32" s="7">
        <v>0</v>
      </c>
      <c r="F32" s="7">
        <v>254100</v>
      </c>
    </row>
    <row r="33" spans="1:6" ht="25.5">
      <c r="A33" s="5" t="s">
        <v>196</v>
      </c>
      <c r="B33" s="6" t="s">
        <v>197</v>
      </c>
      <c r="C33" s="7">
        <v>36446611</v>
      </c>
      <c r="D33" s="7">
        <v>46019705</v>
      </c>
      <c r="E33" s="7">
        <v>46019705</v>
      </c>
      <c r="F33" s="7">
        <v>43211277</v>
      </c>
    </row>
    <row r="34" spans="1:6" ht="25.5">
      <c r="A34" s="5" t="s">
        <v>198</v>
      </c>
      <c r="B34" s="6" t="s">
        <v>199</v>
      </c>
      <c r="C34" s="7">
        <v>840967</v>
      </c>
      <c r="D34" s="7">
        <v>4821548</v>
      </c>
      <c r="E34" s="7">
        <v>4821548</v>
      </c>
      <c r="F34" s="7">
        <v>1073114</v>
      </c>
    </row>
    <row r="35" spans="1:6" ht="25.5">
      <c r="A35" s="5" t="s">
        <v>200</v>
      </c>
      <c r="B35" s="6" t="s">
        <v>201</v>
      </c>
      <c r="C35" s="7">
        <v>0</v>
      </c>
      <c r="D35" s="7">
        <v>0</v>
      </c>
      <c r="E35" s="7">
        <v>0</v>
      </c>
      <c r="F35" s="7">
        <v>889990</v>
      </c>
    </row>
    <row r="36" spans="1:6" ht="25.5">
      <c r="A36" s="8" t="s">
        <v>202</v>
      </c>
      <c r="B36" s="9" t="s">
        <v>203</v>
      </c>
      <c r="C36" s="10">
        <v>43919170</v>
      </c>
      <c r="D36" s="10">
        <v>57979509</v>
      </c>
      <c r="E36" s="10">
        <v>57979509</v>
      </c>
      <c r="F36" s="10">
        <v>50115921</v>
      </c>
    </row>
    <row r="37" spans="1:6" ht="12.75">
      <c r="A37" s="5" t="s">
        <v>204</v>
      </c>
      <c r="B37" s="6" t="s">
        <v>205</v>
      </c>
      <c r="C37" s="7">
        <v>12166313</v>
      </c>
      <c r="D37" s="7">
        <v>13006782</v>
      </c>
      <c r="E37" s="7">
        <v>13006782</v>
      </c>
      <c r="F37" s="7">
        <v>12564323</v>
      </c>
    </row>
    <row r="38" spans="1:6" ht="25.5">
      <c r="A38" s="5" t="s">
        <v>206</v>
      </c>
      <c r="B38" s="6" t="s">
        <v>207</v>
      </c>
      <c r="C38" s="7">
        <v>0</v>
      </c>
      <c r="D38" s="7">
        <v>0</v>
      </c>
      <c r="E38" s="7">
        <v>0</v>
      </c>
      <c r="F38" s="7">
        <v>1858597</v>
      </c>
    </row>
    <row r="39" spans="1:6" ht="25.5">
      <c r="A39" s="5" t="s">
        <v>125</v>
      </c>
      <c r="B39" s="6" t="s">
        <v>208</v>
      </c>
      <c r="C39" s="7">
        <v>600000</v>
      </c>
      <c r="D39" s="7">
        <v>511557</v>
      </c>
      <c r="E39" s="7">
        <v>511557</v>
      </c>
      <c r="F39" s="7">
        <v>462899</v>
      </c>
    </row>
    <row r="40" spans="1:6" ht="12.75">
      <c r="A40" s="5" t="s">
        <v>129</v>
      </c>
      <c r="B40" s="6" t="s">
        <v>209</v>
      </c>
      <c r="C40" s="7">
        <v>4269786</v>
      </c>
      <c r="D40" s="7">
        <v>4339786</v>
      </c>
      <c r="E40" s="7">
        <v>4339786</v>
      </c>
      <c r="F40" s="7">
        <v>4339786</v>
      </c>
    </row>
    <row r="41" spans="1:6" ht="25.5">
      <c r="A41" s="5" t="s">
        <v>131</v>
      </c>
      <c r="B41" s="6" t="s">
        <v>210</v>
      </c>
      <c r="C41" s="7">
        <v>0</v>
      </c>
      <c r="D41" s="7">
        <v>0</v>
      </c>
      <c r="E41" s="7">
        <v>0</v>
      </c>
      <c r="F41" s="7">
        <v>4269786</v>
      </c>
    </row>
    <row r="42" spans="1:6" ht="12.75">
      <c r="A42" s="5" t="s">
        <v>137</v>
      </c>
      <c r="B42" s="6" t="s">
        <v>211</v>
      </c>
      <c r="C42" s="7">
        <v>1993502</v>
      </c>
      <c r="D42" s="7">
        <v>1599792</v>
      </c>
      <c r="E42" s="7">
        <v>1599792</v>
      </c>
      <c r="F42" s="7">
        <v>1599792</v>
      </c>
    </row>
    <row r="43" spans="1:6" ht="12.75">
      <c r="A43" s="5" t="s">
        <v>139</v>
      </c>
      <c r="B43" s="6" t="s">
        <v>212</v>
      </c>
      <c r="C43" s="7">
        <v>4352125</v>
      </c>
      <c r="D43" s="7">
        <v>4475890</v>
      </c>
      <c r="E43" s="7">
        <v>4475890</v>
      </c>
      <c r="F43" s="7">
        <v>4475890</v>
      </c>
    </row>
    <row r="44" spans="1:6" ht="25.5">
      <c r="A44" s="5" t="s">
        <v>213</v>
      </c>
      <c r="B44" s="6" t="s">
        <v>214</v>
      </c>
      <c r="C44" s="7">
        <v>37207</v>
      </c>
      <c r="D44" s="7">
        <v>27923</v>
      </c>
      <c r="E44" s="7">
        <v>27923</v>
      </c>
      <c r="F44" s="7">
        <v>27923</v>
      </c>
    </row>
    <row r="45" spans="1:6" ht="25.5">
      <c r="A45" s="5" t="s">
        <v>215</v>
      </c>
      <c r="B45" s="6" t="s">
        <v>216</v>
      </c>
      <c r="C45" s="7">
        <v>37207</v>
      </c>
      <c r="D45" s="7">
        <v>27923</v>
      </c>
      <c r="E45" s="7">
        <v>27923</v>
      </c>
      <c r="F45" s="7">
        <v>27923</v>
      </c>
    </row>
    <row r="46" spans="1:6" ht="12.75">
      <c r="A46" s="5" t="s">
        <v>217</v>
      </c>
      <c r="B46" s="6" t="s">
        <v>218</v>
      </c>
      <c r="C46" s="7">
        <v>0</v>
      </c>
      <c r="D46" s="7">
        <v>949842</v>
      </c>
      <c r="E46" s="7">
        <v>949842</v>
      </c>
      <c r="F46" s="7">
        <v>949842</v>
      </c>
    </row>
    <row r="47" spans="1:6" ht="25.5">
      <c r="A47" s="5" t="s">
        <v>219</v>
      </c>
      <c r="B47" s="6" t="s">
        <v>220</v>
      </c>
      <c r="C47" s="7">
        <v>31300</v>
      </c>
      <c r="D47" s="7">
        <v>69143</v>
      </c>
      <c r="E47" s="7">
        <v>69143</v>
      </c>
      <c r="F47" s="7">
        <v>69143</v>
      </c>
    </row>
    <row r="48" spans="1:6" ht="12.75">
      <c r="A48" s="5" t="s">
        <v>221</v>
      </c>
      <c r="B48" s="6" t="s">
        <v>222</v>
      </c>
      <c r="C48" s="7">
        <v>0</v>
      </c>
      <c r="D48" s="7">
        <v>0</v>
      </c>
      <c r="E48" s="7">
        <v>0</v>
      </c>
      <c r="F48" s="7">
        <v>34379</v>
      </c>
    </row>
    <row r="49" spans="1:6" ht="38.25">
      <c r="A49" s="8" t="s">
        <v>223</v>
      </c>
      <c r="B49" s="9" t="s">
        <v>224</v>
      </c>
      <c r="C49" s="10">
        <v>23450233</v>
      </c>
      <c r="D49" s="10">
        <v>24980715</v>
      </c>
      <c r="E49" s="10">
        <v>24980715</v>
      </c>
      <c r="F49" s="10">
        <v>24489598</v>
      </c>
    </row>
    <row r="50" spans="1:6" ht="25.5">
      <c r="A50" s="5" t="s">
        <v>225</v>
      </c>
      <c r="B50" s="6" t="s">
        <v>226</v>
      </c>
      <c r="C50" s="7">
        <v>3392175</v>
      </c>
      <c r="D50" s="7">
        <v>3431530</v>
      </c>
      <c r="E50" s="7">
        <v>3431530</v>
      </c>
      <c r="F50" s="7">
        <v>3359440</v>
      </c>
    </row>
    <row r="51" spans="1:6" ht="12.75">
      <c r="A51" s="5" t="s">
        <v>227</v>
      </c>
      <c r="B51" s="6" t="s">
        <v>228</v>
      </c>
      <c r="C51" s="7">
        <v>0</v>
      </c>
      <c r="D51" s="7">
        <v>0</v>
      </c>
      <c r="E51" s="7">
        <v>0</v>
      </c>
      <c r="F51" s="7">
        <v>390050</v>
      </c>
    </row>
    <row r="52" spans="1:6" ht="12.75">
      <c r="A52" s="5" t="s">
        <v>229</v>
      </c>
      <c r="B52" s="6" t="s">
        <v>230</v>
      </c>
      <c r="C52" s="7">
        <v>0</v>
      </c>
      <c r="D52" s="7">
        <v>0</v>
      </c>
      <c r="E52" s="7">
        <v>0</v>
      </c>
      <c r="F52" s="7">
        <v>2969390</v>
      </c>
    </row>
    <row r="53" spans="1:6" ht="25.5">
      <c r="A53" s="8" t="s">
        <v>231</v>
      </c>
      <c r="B53" s="9" t="s">
        <v>232</v>
      </c>
      <c r="C53" s="10">
        <v>3392175</v>
      </c>
      <c r="D53" s="10">
        <v>3431530</v>
      </c>
      <c r="E53" s="10">
        <v>3431530</v>
      </c>
      <c r="F53" s="10">
        <v>3359440</v>
      </c>
    </row>
    <row r="54" spans="1:6" ht="25.5">
      <c r="A54" s="5" t="s">
        <v>233</v>
      </c>
      <c r="B54" s="6" t="s">
        <v>234</v>
      </c>
      <c r="C54" s="7">
        <v>865000</v>
      </c>
      <c r="D54" s="7">
        <v>1164100</v>
      </c>
      <c r="E54" s="7">
        <v>1164100</v>
      </c>
      <c r="F54" s="7">
        <v>1164100</v>
      </c>
    </row>
    <row r="55" spans="1:6" ht="12.75">
      <c r="A55" s="5" t="s">
        <v>235</v>
      </c>
      <c r="B55" s="6" t="s">
        <v>236</v>
      </c>
      <c r="C55" s="7">
        <v>0</v>
      </c>
      <c r="D55" s="7">
        <v>0</v>
      </c>
      <c r="E55" s="7">
        <v>0</v>
      </c>
      <c r="F55" s="7">
        <v>1164100</v>
      </c>
    </row>
    <row r="56" spans="1:6" ht="25.5">
      <c r="A56" s="8" t="s">
        <v>237</v>
      </c>
      <c r="B56" s="9" t="s">
        <v>238</v>
      </c>
      <c r="C56" s="10">
        <v>865000</v>
      </c>
      <c r="D56" s="10">
        <v>1164100</v>
      </c>
      <c r="E56" s="10">
        <v>1164100</v>
      </c>
      <c r="F56" s="10">
        <v>1164100</v>
      </c>
    </row>
    <row r="57" spans="1:6" ht="25.5">
      <c r="A57" s="8" t="s">
        <v>239</v>
      </c>
      <c r="B57" s="9" t="s">
        <v>240</v>
      </c>
      <c r="C57" s="10">
        <v>257199836</v>
      </c>
      <c r="D57" s="10">
        <v>320153333</v>
      </c>
      <c r="E57" s="10">
        <v>321453333</v>
      </c>
      <c r="F57" s="10">
        <v>313026538</v>
      </c>
    </row>
    <row r="60" spans="1:6" ht="12.75" customHeight="1">
      <c r="A60" s="1" t="s">
        <v>247</v>
      </c>
      <c r="B60" s="2"/>
      <c r="C60" s="2"/>
      <c r="D60" s="2"/>
      <c r="E60" s="2"/>
      <c r="F60" s="2"/>
    </row>
    <row r="61" spans="1:6" ht="31.5">
      <c r="A61" s="4" t="s">
        <v>8</v>
      </c>
      <c r="B61" s="4" t="s">
        <v>9</v>
      </c>
      <c r="C61" s="4" t="s">
        <v>10</v>
      </c>
      <c r="D61" s="4" t="s">
        <v>11</v>
      </c>
      <c r="E61" s="4" t="s">
        <v>248</v>
      </c>
      <c r="F61" s="4" t="s">
        <v>13</v>
      </c>
    </row>
    <row r="62" spans="1:6" ht="15.75">
      <c r="A62" s="4">
        <v>2</v>
      </c>
      <c r="B62" s="4">
        <v>3</v>
      </c>
      <c r="C62" s="4">
        <v>4</v>
      </c>
      <c r="D62" s="4">
        <v>5</v>
      </c>
      <c r="E62" s="4">
        <v>6</v>
      </c>
      <c r="F62" s="4">
        <v>8</v>
      </c>
    </row>
    <row r="63" spans="1:6" ht="25.5">
      <c r="A63" s="5" t="s">
        <v>249</v>
      </c>
      <c r="B63" s="6" t="s">
        <v>250</v>
      </c>
      <c r="C63" s="7">
        <v>129001301</v>
      </c>
      <c r="D63" s="7">
        <v>129001301</v>
      </c>
      <c r="E63" s="7">
        <v>129001301</v>
      </c>
      <c r="F63" s="7">
        <v>129001301</v>
      </c>
    </row>
    <row r="64" spans="1:6" ht="12.75">
      <c r="A64" s="5" t="s">
        <v>251</v>
      </c>
      <c r="B64" s="6" t="s">
        <v>252</v>
      </c>
      <c r="C64" s="7">
        <v>129001301</v>
      </c>
      <c r="D64" s="7">
        <v>129001301</v>
      </c>
      <c r="E64" s="7">
        <v>129001301</v>
      </c>
      <c r="F64" s="7">
        <v>129001301</v>
      </c>
    </row>
    <row r="65" spans="1:6" ht="25.5">
      <c r="A65" s="5" t="s">
        <v>27</v>
      </c>
      <c r="B65" s="6" t="s">
        <v>253</v>
      </c>
      <c r="C65" s="7">
        <v>0</v>
      </c>
      <c r="D65" s="7">
        <v>5637324</v>
      </c>
      <c r="E65" s="7">
        <v>5637324</v>
      </c>
      <c r="F65" s="7">
        <v>5637324</v>
      </c>
    </row>
    <row r="66" spans="1:6" ht="12.75">
      <c r="A66" s="5" t="s">
        <v>31</v>
      </c>
      <c r="B66" s="6" t="s">
        <v>254</v>
      </c>
      <c r="C66" s="7">
        <v>104977757</v>
      </c>
      <c r="D66" s="7">
        <v>115264400</v>
      </c>
      <c r="E66" s="7">
        <v>115264400</v>
      </c>
      <c r="F66" s="7">
        <v>115264400</v>
      </c>
    </row>
    <row r="67" spans="1:6" ht="25.5">
      <c r="A67" s="5" t="s">
        <v>255</v>
      </c>
      <c r="B67" s="6" t="s">
        <v>256</v>
      </c>
      <c r="C67" s="7">
        <v>233979058</v>
      </c>
      <c r="D67" s="7">
        <v>249903025</v>
      </c>
      <c r="E67" s="7">
        <v>249903025</v>
      </c>
      <c r="F67" s="7">
        <v>249903025</v>
      </c>
    </row>
    <row r="68" spans="1:6" ht="25.5">
      <c r="A68" s="8" t="s">
        <v>55</v>
      </c>
      <c r="B68" s="9" t="s">
        <v>257</v>
      </c>
      <c r="C68" s="10">
        <v>233979058</v>
      </c>
      <c r="D68" s="10">
        <v>249903025</v>
      </c>
      <c r="E68" s="10">
        <v>249903025</v>
      </c>
      <c r="F68" s="10">
        <v>249903025</v>
      </c>
    </row>
    <row r="70" spans="2:6" ht="15.75">
      <c r="B70" s="87" t="s">
        <v>813</v>
      </c>
      <c r="C70" s="88">
        <f>+C57+C68</f>
        <v>491178894</v>
      </c>
      <c r="D70" s="88">
        <f>+D57+D68</f>
        <v>570056358</v>
      </c>
      <c r="E70" s="88">
        <f>+E57+E68</f>
        <v>571356358</v>
      </c>
      <c r="F70" s="88">
        <f>+F57+F68</f>
        <v>562929563</v>
      </c>
    </row>
  </sheetData>
  <sheetProtection/>
  <mergeCells count="2">
    <mergeCell ref="A1:F1"/>
    <mergeCell ref="A60:F60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00390625" style="0" bestFit="1" customWidth="1"/>
    <col min="2" max="2" width="41.00390625" style="0" customWidth="1"/>
    <col min="3" max="3" width="22.00390625" style="0" bestFit="1" customWidth="1"/>
    <col min="4" max="4" width="26.00390625" style="0" bestFit="1" customWidth="1"/>
    <col min="5" max="5" width="27.125" style="0" customWidth="1"/>
    <col min="6" max="6" width="14.125" style="0" bestFit="1" customWidth="1"/>
  </cols>
  <sheetData>
    <row r="1" ht="20.25">
      <c r="B1" s="89" t="s">
        <v>811</v>
      </c>
    </row>
    <row r="3" spans="1:6" ht="12.75">
      <c r="A3" s="35" t="s">
        <v>7</v>
      </c>
      <c r="B3" s="36"/>
      <c r="C3" s="36"/>
      <c r="D3" s="36"/>
      <c r="E3" s="36"/>
      <c r="F3" s="36"/>
    </row>
    <row r="4" spans="1:6" ht="63">
      <c r="A4" s="37" t="s">
        <v>8</v>
      </c>
      <c r="B4" s="37" t="s">
        <v>9</v>
      </c>
      <c r="C4" s="37" t="s">
        <v>10</v>
      </c>
      <c r="D4" s="37" t="s">
        <v>11</v>
      </c>
      <c r="E4" s="37" t="s">
        <v>12</v>
      </c>
      <c r="F4" s="37" t="s">
        <v>13</v>
      </c>
    </row>
    <row r="5" spans="1:6" ht="15.75">
      <c r="A5" s="37">
        <v>2</v>
      </c>
      <c r="B5" s="37">
        <v>3</v>
      </c>
      <c r="C5" s="37">
        <v>4</v>
      </c>
      <c r="D5" s="37">
        <v>5</v>
      </c>
      <c r="E5" s="37">
        <v>7</v>
      </c>
      <c r="F5" s="37">
        <v>10</v>
      </c>
    </row>
    <row r="6" spans="1:6" ht="25.5">
      <c r="A6" s="79" t="s">
        <v>0</v>
      </c>
      <c r="B6" s="80" t="s">
        <v>14</v>
      </c>
      <c r="C6" s="81">
        <v>13251741</v>
      </c>
      <c r="D6" s="81">
        <v>17495684</v>
      </c>
      <c r="E6" s="81">
        <v>17495684</v>
      </c>
      <c r="F6" s="81">
        <v>17495684</v>
      </c>
    </row>
    <row r="7" spans="1:6" ht="12.75">
      <c r="A7" s="79" t="s">
        <v>19</v>
      </c>
      <c r="B7" s="80" t="s">
        <v>20</v>
      </c>
      <c r="C7" s="81">
        <v>253200</v>
      </c>
      <c r="D7" s="81">
        <v>191025</v>
      </c>
      <c r="E7" s="81">
        <v>191025</v>
      </c>
      <c r="F7" s="81">
        <v>191025</v>
      </c>
    </row>
    <row r="8" spans="1:6" ht="12.75">
      <c r="A8" s="79" t="s">
        <v>21</v>
      </c>
      <c r="B8" s="80" t="s">
        <v>22</v>
      </c>
      <c r="C8" s="81">
        <v>15000</v>
      </c>
      <c r="D8" s="81">
        <v>12766</v>
      </c>
      <c r="E8" s="81">
        <v>12766</v>
      </c>
      <c r="F8" s="81">
        <v>12766</v>
      </c>
    </row>
    <row r="9" spans="1:6" ht="25.5">
      <c r="A9" s="79" t="s">
        <v>25</v>
      </c>
      <c r="B9" s="80" t="s">
        <v>26</v>
      </c>
      <c r="C9" s="81">
        <v>0</v>
      </c>
      <c r="D9" s="81">
        <v>244885</v>
      </c>
      <c r="E9" s="81">
        <v>244885</v>
      </c>
      <c r="F9" s="81">
        <v>244885</v>
      </c>
    </row>
    <row r="10" spans="1:6" ht="25.5">
      <c r="A10" s="79" t="s">
        <v>27</v>
      </c>
      <c r="B10" s="80" t="s">
        <v>28</v>
      </c>
      <c r="C10" s="81">
        <v>13519941</v>
      </c>
      <c r="D10" s="81">
        <v>17944360</v>
      </c>
      <c r="E10" s="81">
        <v>17944360</v>
      </c>
      <c r="F10" s="81">
        <v>17944360</v>
      </c>
    </row>
    <row r="11" spans="1:6" ht="12.75">
      <c r="A11" s="79" t="s">
        <v>29</v>
      </c>
      <c r="B11" s="80" t="s">
        <v>30</v>
      </c>
      <c r="C11" s="81">
        <v>7568513</v>
      </c>
      <c r="D11" s="81">
        <v>7020010</v>
      </c>
      <c r="E11" s="81">
        <v>7020010</v>
      </c>
      <c r="F11" s="81">
        <v>7020010</v>
      </c>
    </row>
    <row r="12" spans="1:6" ht="38.25">
      <c r="A12" s="79" t="s">
        <v>31</v>
      </c>
      <c r="B12" s="80" t="s">
        <v>32</v>
      </c>
      <c r="C12" s="81">
        <v>0</v>
      </c>
      <c r="D12" s="81">
        <v>612630</v>
      </c>
      <c r="E12" s="81">
        <v>612630</v>
      </c>
      <c r="F12" s="81">
        <v>612630</v>
      </c>
    </row>
    <row r="13" spans="1:6" ht="12.75">
      <c r="A13" s="79" t="s">
        <v>33</v>
      </c>
      <c r="B13" s="80" t="s">
        <v>34</v>
      </c>
      <c r="C13" s="81">
        <v>0</v>
      </c>
      <c r="D13" s="81">
        <v>617400</v>
      </c>
      <c r="E13" s="81">
        <v>617400</v>
      </c>
      <c r="F13" s="81">
        <v>617400</v>
      </c>
    </row>
    <row r="14" spans="1:6" ht="12.75">
      <c r="A14" s="79" t="s">
        <v>35</v>
      </c>
      <c r="B14" s="80" t="s">
        <v>36</v>
      </c>
      <c r="C14" s="81">
        <v>7568513</v>
      </c>
      <c r="D14" s="81">
        <v>8250040</v>
      </c>
      <c r="E14" s="81">
        <v>8250040</v>
      </c>
      <c r="F14" s="81">
        <v>8250040</v>
      </c>
    </row>
    <row r="15" spans="1:6" ht="12.75">
      <c r="A15" s="82" t="s">
        <v>37</v>
      </c>
      <c r="B15" s="83" t="s">
        <v>38</v>
      </c>
      <c r="C15" s="84">
        <v>21088454</v>
      </c>
      <c r="D15" s="84">
        <v>26194400</v>
      </c>
      <c r="E15" s="84">
        <v>26194400</v>
      </c>
      <c r="F15" s="84">
        <v>26194400</v>
      </c>
    </row>
    <row r="16" spans="1:6" ht="25.5">
      <c r="A16" s="82" t="s">
        <v>39</v>
      </c>
      <c r="B16" s="83" t="s">
        <v>40</v>
      </c>
      <c r="C16" s="84">
        <v>3885574</v>
      </c>
      <c r="D16" s="84">
        <v>4332828</v>
      </c>
      <c r="E16" s="84">
        <v>4332828</v>
      </c>
      <c r="F16" s="84">
        <v>4332828</v>
      </c>
    </row>
    <row r="17" spans="1:6" ht="12.75">
      <c r="A17" s="79" t="s">
        <v>41</v>
      </c>
      <c r="B17" s="80" t="s">
        <v>42</v>
      </c>
      <c r="C17" s="81">
        <v>0</v>
      </c>
      <c r="D17" s="81">
        <v>0</v>
      </c>
      <c r="E17" s="81">
        <v>0</v>
      </c>
      <c r="F17" s="81">
        <v>4163884</v>
      </c>
    </row>
    <row r="18" spans="1:6" ht="12.75">
      <c r="A18" s="79" t="s">
        <v>43</v>
      </c>
      <c r="B18" s="80" t="s">
        <v>44</v>
      </c>
      <c r="C18" s="81">
        <v>0</v>
      </c>
      <c r="D18" s="81">
        <v>0</v>
      </c>
      <c r="E18" s="81">
        <v>0</v>
      </c>
      <c r="F18" s="81">
        <v>51290</v>
      </c>
    </row>
    <row r="19" spans="1:6" ht="38.25">
      <c r="A19" s="79" t="s">
        <v>45</v>
      </c>
      <c r="B19" s="80" t="s">
        <v>46</v>
      </c>
      <c r="C19" s="81">
        <v>0</v>
      </c>
      <c r="D19" s="81">
        <v>0</v>
      </c>
      <c r="E19" s="81">
        <v>0</v>
      </c>
      <c r="F19" s="81">
        <v>89000</v>
      </c>
    </row>
    <row r="20" spans="1:6" ht="25.5">
      <c r="A20" s="79" t="s">
        <v>47</v>
      </c>
      <c r="B20" s="80" t="s">
        <v>48</v>
      </c>
      <c r="C20" s="81">
        <v>0</v>
      </c>
      <c r="D20" s="81">
        <v>0</v>
      </c>
      <c r="E20" s="81">
        <v>0</v>
      </c>
      <c r="F20" s="81">
        <v>28654</v>
      </c>
    </row>
    <row r="21" spans="1:6" ht="12.75">
      <c r="A21" s="79" t="s">
        <v>49</v>
      </c>
      <c r="B21" s="80" t="s">
        <v>50</v>
      </c>
      <c r="C21" s="81">
        <v>200000</v>
      </c>
      <c r="D21" s="81">
        <v>209346</v>
      </c>
      <c r="E21" s="81">
        <v>209346</v>
      </c>
      <c r="F21" s="81">
        <v>209346</v>
      </c>
    </row>
    <row r="22" spans="1:6" ht="12.75">
      <c r="A22" s="79" t="s">
        <v>51</v>
      </c>
      <c r="B22" s="80" t="s">
        <v>52</v>
      </c>
      <c r="C22" s="81">
        <v>10200799</v>
      </c>
      <c r="D22" s="81">
        <v>9192586</v>
      </c>
      <c r="E22" s="81">
        <v>9192586</v>
      </c>
      <c r="F22" s="81">
        <v>9182086</v>
      </c>
    </row>
    <row r="23" spans="1:6" ht="12.75">
      <c r="A23" s="79" t="s">
        <v>53</v>
      </c>
      <c r="B23" s="80" t="s">
        <v>54</v>
      </c>
      <c r="C23" s="81">
        <v>10400799</v>
      </c>
      <c r="D23" s="81">
        <v>9401932</v>
      </c>
      <c r="E23" s="81">
        <v>9401932</v>
      </c>
      <c r="F23" s="81">
        <v>9391432</v>
      </c>
    </row>
    <row r="24" spans="1:6" ht="25.5">
      <c r="A24" s="79" t="s">
        <v>55</v>
      </c>
      <c r="B24" s="80" t="s">
        <v>56</v>
      </c>
      <c r="C24" s="81">
        <v>179684</v>
      </c>
      <c r="D24" s="81">
        <v>235855</v>
      </c>
      <c r="E24" s="81">
        <v>235855</v>
      </c>
      <c r="F24" s="81">
        <v>235855</v>
      </c>
    </row>
    <row r="25" spans="1:6" ht="12.75">
      <c r="A25" s="79" t="s">
        <v>57</v>
      </c>
      <c r="B25" s="80" t="s">
        <v>58</v>
      </c>
      <c r="C25" s="81">
        <v>189200</v>
      </c>
      <c r="D25" s="81">
        <v>250849</v>
      </c>
      <c r="E25" s="81">
        <v>250849</v>
      </c>
      <c r="F25" s="81">
        <v>250849</v>
      </c>
    </row>
    <row r="26" spans="1:6" ht="12.75">
      <c r="A26" s="79" t="s">
        <v>59</v>
      </c>
      <c r="B26" s="80" t="s">
        <v>60</v>
      </c>
      <c r="C26" s="81">
        <v>368884</v>
      </c>
      <c r="D26" s="81">
        <v>486704</v>
      </c>
      <c r="E26" s="81">
        <v>486704</v>
      </c>
      <c r="F26" s="81">
        <v>486704</v>
      </c>
    </row>
    <row r="27" spans="1:6" ht="12.75">
      <c r="A27" s="79" t="s">
        <v>61</v>
      </c>
      <c r="B27" s="80" t="s">
        <v>62</v>
      </c>
      <c r="C27" s="81">
        <v>5342000</v>
      </c>
      <c r="D27" s="81">
        <v>5447211</v>
      </c>
      <c r="E27" s="81">
        <v>5447211</v>
      </c>
      <c r="F27" s="81">
        <v>5447211</v>
      </c>
    </row>
    <row r="28" spans="1:6" ht="12.75">
      <c r="A28" s="79" t="s">
        <v>63</v>
      </c>
      <c r="B28" s="80" t="s">
        <v>64</v>
      </c>
      <c r="C28" s="81">
        <v>157480</v>
      </c>
      <c r="D28" s="81">
        <v>50048</v>
      </c>
      <c r="E28" s="81">
        <v>50048</v>
      </c>
      <c r="F28" s="81">
        <v>50048</v>
      </c>
    </row>
    <row r="29" spans="1:6" ht="12.75">
      <c r="A29" s="79" t="s">
        <v>65</v>
      </c>
      <c r="B29" s="80" t="s">
        <v>66</v>
      </c>
      <c r="C29" s="81">
        <v>0</v>
      </c>
      <c r="D29" s="81">
        <v>1468000</v>
      </c>
      <c r="E29" s="81">
        <v>1468000</v>
      </c>
      <c r="F29" s="81">
        <v>1468000</v>
      </c>
    </row>
    <row r="30" spans="1:6" ht="12.75">
      <c r="A30" s="79" t="s">
        <v>67</v>
      </c>
      <c r="B30" s="80" t="s">
        <v>68</v>
      </c>
      <c r="C30" s="81">
        <v>1150720</v>
      </c>
      <c r="D30" s="81">
        <v>1209472</v>
      </c>
      <c r="E30" s="81">
        <v>1209472</v>
      </c>
      <c r="F30" s="81">
        <v>1209472</v>
      </c>
    </row>
    <row r="31" spans="1:6" ht="25.5">
      <c r="A31" s="79" t="s">
        <v>69</v>
      </c>
      <c r="B31" s="80" t="s">
        <v>70</v>
      </c>
      <c r="C31" s="81">
        <v>1731150</v>
      </c>
      <c r="D31" s="81">
        <v>3370243</v>
      </c>
      <c r="E31" s="81">
        <v>3370243</v>
      </c>
      <c r="F31" s="81">
        <v>3370243</v>
      </c>
    </row>
    <row r="32" spans="1:6" ht="12.75">
      <c r="A32" s="79" t="s">
        <v>71</v>
      </c>
      <c r="B32" s="80" t="s">
        <v>72</v>
      </c>
      <c r="C32" s="81">
        <v>3749701</v>
      </c>
      <c r="D32" s="81">
        <v>8900752</v>
      </c>
      <c r="E32" s="81">
        <v>8900752</v>
      </c>
      <c r="F32" s="81">
        <v>8805627</v>
      </c>
    </row>
    <row r="33" spans="1:6" ht="12.75">
      <c r="A33" s="79" t="s">
        <v>73</v>
      </c>
      <c r="B33" s="80" t="s">
        <v>74</v>
      </c>
      <c r="C33" s="81">
        <v>0</v>
      </c>
      <c r="D33" s="81">
        <v>0</v>
      </c>
      <c r="E33" s="81">
        <v>0</v>
      </c>
      <c r="F33" s="81">
        <v>1097647</v>
      </c>
    </row>
    <row r="34" spans="1:6" ht="25.5">
      <c r="A34" s="79" t="s">
        <v>75</v>
      </c>
      <c r="B34" s="80" t="s">
        <v>76</v>
      </c>
      <c r="C34" s="81">
        <v>12131051</v>
      </c>
      <c r="D34" s="81">
        <v>20445726</v>
      </c>
      <c r="E34" s="81">
        <v>20445726</v>
      </c>
      <c r="F34" s="81">
        <v>20350601</v>
      </c>
    </row>
    <row r="35" spans="1:6" ht="12.75">
      <c r="A35" s="79" t="s">
        <v>77</v>
      </c>
      <c r="B35" s="80" t="s">
        <v>78</v>
      </c>
      <c r="C35" s="81">
        <v>0</v>
      </c>
      <c r="D35" s="81">
        <v>110225</v>
      </c>
      <c r="E35" s="81">
        <v>110225</v>
      </c>
      <c r="F35" s="81">
        <v>110225</v>
      </c>
    </row>
    <row r="36" spans="1:6" ht="12.75">
      <c r="A36" s="79" t="s">
        <v>79</v>
      </c>
      <c r="B36" s="80" t="s">
        <v>80</v>
      </c>
      <c r="C36" s="81">
        <v>150000</v>
      </c>
      <c r="D36" s="81">
        <v>213130</v>
      </c>
      <c r="E36" s="81">
        <v>213130</v>
      </c>
      <c r="F36" s="81">
        <v>213130</v>
      </c>
    </row>
    <row r="37" spans="1:6" ht="25.5">
      <c r="A37" s="79" t="s">
        <v>81</v>
      </c>
      <c r="B37" s="80" t="s">
        <v>82</v>
      </c>
      <c r="C37" s="81">
        <v>150000</v>
      </c>
      <c r="D37" s="81">
        <v>323355</v>
      </c>
      <c r="E37" s="81">
        <v>323355</v>
      </c>
      <c r="F37" s="81">
        <v>323355</v>
      </c>
    </row>
    <row r="38" spans="1:6" ht="25.5">
      <c r="A38" s="79" t="s">
        <v>83</v>
      </c>
      <c r="B38" s="80" t="s">
        <v>84</v>
      </c>
      <c r="C38" s="81">
        <v>5096745</v>
      </c>
      <c r="D38" s="81">
        <v>5466909</v>
      </c>
      <c r="E38" s="81">
        <v>5466909</v>
      </c>
      <c r="F38" s="81">
        <v>5438387</v>
      </c>
    </row>
    <row r="39" spans="1:6" ht="12.75">
      <c r="A39" s="79" t="s">
        <v>85</v>
      </c>
      <c r="B39" s="80" t="s">
        <v>86</v>
      </c>
      <c r="C39" s="81">
        <v>1154437</v>
      </c>
      <c r="D39" s="81">
        <v>1405647</v>
      </c>
      <c r="E39" s="81">
        <v>1405647</v>
      </c>
      <c r="F39" s="81">
        <v>1405647</v>
      </c>
    </row>
    <row r="40" spans="1:6" ht="12.75">
      <c r="A40" s="79" t="s">
        <v>87</v>
      </c>
      <c r="B40" s="80" t="s">
        <v>88</v>
      </c>
      <c r="C40" s="81">
        <v>1115300</v>
      </c>
      <c r="D40" s="81">
        <v>464770</v>
      </c>
      <c r="E40" s="81">
        <v>464770</v>
      </c>
      <c r="F40" s="81">
        <v>464770</v>
      </c>
    </row>
    <row r="41" spans="1:6" ht="25.5">
      <c r="A41" s="79" t="s">
        <v>89</v>
      </c>
      <c r="B41" s="80" t="s">
        <v>90</v>
      </c>
      <c r="C41" s="81">
        <v>7366482</v>
      </c>
      <c r="D41" s="81">
        <v>7337326</v>
      </c>
      <c r="E41" s="81">
        <v>7337326</v>
      </c>
      <c r="F41" s="81">
        <v>7308804</v>
      </c>
    </row>
    <row r="42" spans="1:6" ht="12.75">
      <c r="A42" s="82" t="s">
        <v>91</v>
      </c>
      <c r="B42" s="83" t="s">
        <v>92</v>
      </c>
      <c r="C42" s="84">
        <v>30417216</v>
      </c>
      <c r="D42" s="84">
        <v>37995043</v>
      </c>
      <c r="E42" s="84">
        <v>37995043</v>
      </c>
      <c r="F42" s="84">
        <v>37860896</v>
      </c>
    </row>
    <row r="43" spans="1:6" ht="12.75">
      <c r="A43" s="79" t="s">
        <v>93</v>
      </c>
      <c r="B43" s="80" t="s">
        <v>94</v>
      </c>
      <c r="C43" s="81">
        <v>941500</v>
      </c>
      <c r="D43" s="81">
        <v>0</v>
      </c>
      <c r="E43" s="81">
        <v>0</v>
      </c>
      <c r="F43" s="81">
        <v>0</v>
      </c>
    </row>
    <row r="44" spans="1:6" ht="25.5">
      <c r="A44" s="79" t="s">
        <v>95</v>
      </c>
      <c r="B44" s="80" t="s">
        <v>96</v>
      </c>
      <c r="C44" s="81">
        <v>5915000</v>
      </c>
      <c r="D44" s="81">
        <v>4680475</v>
      </c>
      <c r="E44" s="81">
        <v>4680475</v>
      </c>
      <c r="F44" s="81">
        <v>4680475</v>
      </c>
    </row>
    <row r="45" spans="1:6" ht="25.5">
      <c r="A45" s="79" t="s">
        <v>97</v>
      </c>
      <c r="B45" s="80" t="s">
        <v>98</v>
      </c>
      <c r="C45" s="81">
        <v>0</v>
      </c>
      <c r="D45" s="81">
        <v>0</v>
      </c>
      <c r="E45" s="81">
        <v>0</v>
      </c>
      <c r="F45" s="81">
        <v>75000</v>
      </c>
    </row>
    <row r="46" spans="1:6" ht="12.75">
      <c r="A46" s="79" t="s">
        <v>99</v>
      </c>
      <c r="B46" s="80" t="s">
        <v>100</v>
      </c>
      <c r="C46" s="81">
        <v>0</v>
      </c>
      <c r="D46" s="81">
        <v>0</v>
      </c>
      <c r="E46" s="81">
        <v>0</v>
      </c>
      <c r="F46" s="81">
        <v>172975</v>
      </c>
    </row>
    <row r="47" spans="1:6" ht="25.5">
      <c r="A47" s="79" t="s">
        <v>101</v>
      </c>
      <c r="B47" s="80" t="s">
        <v>102</v>
      </c>
      <c r="C47" s="81">
        <v>0</v>
      </c>
      <c r="D47" s="81">
        <v>0</v>
      </c>
      <c r="E47" s="81">
        <v>0</v>
      </c>
      <c r="F47" s="81">
        <v>3202500</v>
      </c>
    </row>
    <row r="48" spans="1:6" ht="38.25">
      <c r="A48" s="79" t="s">
        <v>103</v>
      </c>
      <c r="B48" s="80" t="s">
        <v>104</v>
      </c>
      <c r="C48" s="81">
        <v>0</v>
      </c>
      <c r="D48" s="81">
        <v>0</v>
      </c>
      <c r="E48" s="81">
        <v>0</v>
      </c>
      <c r="F48" s="81">
        <v>1230000</v>
      </c>
    </row>
    <row r="49" spans="1:6" ht="25.5">
      <c r="A49" s="82" t="s">
        <v>105</v>
      </c>
      <c r="B49" s="83" t="s">
        <v>106</v>
      </c>
      <c r="C49" s="84">
        <v>6856500</v>
      </c>
      <c r="D49" s="84">
        <v>4680475</v>
      </c>
      <c r="E49" s="84">
        <v>4680475</v>
      </c>
      <c r="F49" s="84">
        <v>4680475</v>
      </c>
    </row>
    <row r="50" spans="1:6" ht="25.5">
      <c r="A50" s="79" t="s">
        <v>107</v>
      </c>
      <c r="B50" s="80" t="s">
        <v>108</v>
      </c>
      <c r="C50" s="81">
        <v>2072080</v>
      </c>
      <c r="D50" s="81">
        <v>2073035</v>
      </c>
      <c r="E50" s="81">
        <v>2073035</v>
      </c>
      <c r="F50" s="81">
        <v>2073035</v>
      </c>
    </row>
    <row r="51" spans="1:6" ht="25.5">
      <c r="A51" s="79" t="s">
        <v>109</v>
      </c>
      <c r="B51" s="80" t="s">
        <v>110</v>
      </c>
      <c r="C51" s="81">
        <v>2072080</v>
      </c>
      <c r="D51" s="81">
        <v>2073035</v>
      </c>
      <c r="E51" s="81">
        <v>2073035</v>
      </c>
      <c r="F51" s="81">
        <v>2073035</v>
      </c>
    </row>
    <row r="52" spans="1:6" ht="38.25">
      <c r="A52" s="79" t="s">
        <v>111</v>
      </c>
      <c r="B52" s="80" t="s">
        <v>112</v>
      </c>
      <c r="C52" s="81">
        <v>8407500</v>
      </c>
      <c r="D52" s="81">
        <v>10757355</v>
      </c>
      <c r="E52" s="81">
        <v>10757355</v>
      </c>
      <c r="F52" s="81">
        <v>10757355</v>
      </c>
    </row>
    <row r="53" spans="1:6" ht="12.75">
      <c r="A53" s="79" t="s">
        <v>113</v>
      </c>
      <c r="B53" s="80" t="s">
        <v>114</v>
      </c>
      <c r="C53" s="81">
        <v>0</v>
      </c>
      <c r="D53" s="81">
        <v>0</v>
      </c>
      <c r="E53" s="81">
        <v>0</v>
      </c>
      <c r="F53" s="81">
        <v>205000</v>
      </c>
    </row>
    <row r="54" spans="1:6" ht="25.5">
      <c r="A54" s="79" t="s">
        <v>115</v>
      </c>
      <c r="B54" s="80" t="s">
        <v>116</v>
      </c>
      <c r="C54" s="81">
        <v>0</v>
      </c>
      <c r="D54" s="81">
        <v>0</v>
      </c>
      <c r="E54" s="81">
        <v>0</v>
      </c>
      <c r="F54" s="81">
        <v>10552355</v>
      </c>
    </row>
    <row r="55" spans="1:6" ht="25.5">
      <c r="A55" s="79" t="s">
        <v>117</v>
      </c>
      <c r="B55" s="80" t="s">
        <v>118</v>
      </c>
      <c r="C55" s="81">
        <v>8693880</v>
      </c>
      <c r="D55" s="81">
        <v>38951417</v>
      </c>
      <c r="E55" s="81">
        <v>38951417</v>
      </c>
      <c r="F55" s="81">
        <v>38951417</v>
      </c>
    </row>
    <row r="56" spans="1:6" ht="12.75">
      <c r="A56" s="79" t="s">
        <v>119</v>
      </c>
      <c r="B56" s="80" t="s">
        <v>120</v>
      </c>
      <c r="C56" s="81">
        <v>0</v>
      </c>
      <c r="D56" s="81">
        <v>0</v>
      </c>
      <c r="E56" s="81">
        <v>0</v>
      </c>
      <c r="F56" s="81">
        <v>11117117</v>
      </c>
    </row>
    <row r="57" spans="1:6" ht="12.75">
      <c r="A57" s="79" t="s">
        <v>121</v>
      </c>
      <c r="B57" s="80" t="s">
        <v>122</v>
      </c>
      <c r="C57" s="81">
        <v>0</v>
      </c>
      <c r="D57" s="81">
        <v>0</v>
      </c>
      <c r="E57" s="81">
        <v>0</v>
      </c>
      <c r="F57" s="81">
        <v>27834300</v>
      </c>
    </row>
    <row r="58" spans="1:6" ht="12.75">
      <c r="A58" s="79" t="s">
        <v>123</v>
      </c>
      <c r="B58" s="80" t="s">
        <v>124</v>
      </c>
      <c r="C58" s="81">
        <v>106810136</v>
      </c>
      <c r="D58" s="81">
        <v>124796437</v>
      </c>
      <c r="E58" s="81">
        <v>0</v>
      </c>
      <c r="F58" s="81">
        <v>0</v>
      </c>
    </row>
    <row r="59" spans="1:6" ht="38.25">
      <c r="A59" s="82" t="s">
        <v>125</v>
      </c>
      <c r="B59" s="83" t="s">
        <v>126</v>
      </c>
      <c r="C59" s="84">
        <v>125983596</v>
      </c>
      <c r="D59" s="84">
        <v>176578244</v>
      </c>
      <c r="E59" s="84">
        <v>51781807</v>
      </c>
      <c r="F59" s="84">
        <v>51781807</v>
      </c>
    </row>
    <row r="60" spans="1:6" ht="12.75">
      <c r="A60" s="79" t="s">
        <v>127</v>
      </c>
      <c r="B60" s="80" t="s">
        <v>128</v>
      </c>
      <c r="C60" s="81">
        <v>3570000</v>
      </c>
      <c r="D60" s="81">
        <v>2040000</v>
      </c>
      <c r="E60" s="81">
        <v>2040000</v>
      </c>
      <c r="F60" s="81">
        <v>2040000</v>
      </c>
    </row>
    <row r="61" spans="1:6" ht="25.5">
      <c r="A61" s="79" t="s">
        <v>129</v>
      </c>
      <c r="B61" s="80" t="s">
        <v>130</v>
      </c>
      <c r="C61" s="81">
        <v>787402</v>
      </c>
      <c r="D61" s="81">
        <v>893149</v>
      </c>
      <c r="E61" s="81">
        <v>893149</v>
      </c>
      <c r="F61" s="81">
        <v>893149</v>
      </c>
    </row>
    <row r="62" spans="1:6" ht="25.5">
      <c r="A62" s="79" t="s">
        <v>133</v>
      </c>
      <c r="B62" s="80" t="s">
        <v>134</v>
      </c>
      <c r="C62" s="81">
        <v>1111024</v>
      </c>
      <c r="D62" s="81">
        <v>2544453</v>
      </c>
      <c r="E62" s="81">
        <v>2544453</v>
      </c>
      <c r="F62" s="81">
        <v>1414847</v>
      </c>
    </row>
    <row r="63" spans="1:6" ht="25.5">
      <c r="A63" s="79" t="s">
        <v>135</v>
      </c>
      <c r="B63" s="80" t="s">
        <v>136</v>
      </c>
      <c r="C63" s="81">
        <v>1395475</v>
      </c>
      <c r="D63" s="81">
        <v>925242</v>
      </c>
      <c r="E63" s="81">
        <v>925242</v>
      </c>
      <c r="F63" s="81">
        <v>620248</v>
      </c>
    </row>
    <row r="64" spans="1:6" ht="12.75">
      <c r="A64" s="82" t="s">
        <v>137</v>
      </c>
      <c r="B64" s="83" t="s">
        <v>138</v>
      </c>
      <c r="C64" s="84">
        <v>6863901</v>
      </c>
      <c r="D64" s="84">
        <v>6402844</v>
      </c>
      <c r="E64" s="84">
        <v>6402844</v>
      </c>
      <c r="F64" s="84">
        <v>4968244</v>
      </c>
    </row>
    <row r="65" spans="1:6" ht="12.75">
      <c r="A65" s="79" t="s">
        <v>139</v>
      </c>
      <c r="B65" s="80" t="s">
        <v>140</v>
      </c>
      <c r="C65" s="81">
        <v>45287026</v>
      </c>
      <c r="D65" s="81">
        <v>39660640</v>
      </c>
      <c r="E65" s="81">
        <v>39660640</v>
      </c>
      <c r="F65" s="81">
        <v>39660640</v>
      </c>
    </row>
    <row r="66" spans="1:6" ht="12.75">
      <c r="A66" s="79" t="s">
        <v>141</v>
      </c>
      <c r="B66" s="80" t="s">
        <v>142</v>
      </c>
      <c r="C66" s="81">
        <v>0</v>
      </c>
      <c r="D66" s="81">
        <v>299000</v>
      </c>
      <c r="E66" s="81">
        <v>299000</v>
      </c>
      <c r="F66" s="81">
        <v>299000</v>
      </c>
    </row>
    <row r="67" spans="1:6" ht="25.5">
      <c r="A67" s="79" t="s">
        <v>143</v>
      </c>
      <c r="B67" s="80" t="s">
        <v>144</v>
      </c>
      <c r="C67" s="81">
        <v>12227496</v>
      </c>
      <c r="D67" s="81">
        <v>10789103</v>
      </c>
      <c r="E67" s="81">
        <v>10789103</v>
      </c>
      <c r="F67" s="81">
        <v>10789103</v>
      </c>
    </row>
    <row r="68" spans="1:6" ht="12.75">
      <c r="A68" s="82" t="s">
        <v>145</v>
      </c>
      <c r="B68" s="83" t="s">
        <v>146</v>
      </c>
      <c r="C68" s="84">
        <v>57514522</v>
      </c>
      <c r="D68" s="84">
        <v>50748743</v>
      </c>
      <c r="E68" s="84">
        <v>50748743</v>
      </c>
      <c r="F68" s="84">
        <v>50748743</v>
      </c>
    </row>
    <row r="69" spans="1:6" ht="25.5">
      <c r="A69" s="82" t="s">
        <v>147</v>
      </c>
      <c r="B69" s="83" t="s">
        <v>148</v>
      </c>
      <c r="C69" s="84">
        <v>252609763</v>
      </c>
      <c r="D69" s="84">
        <v>306932577</v>
      </c>
      <c r="E69" s="84">
        <v>182136140</v>
      </c>
      <c r="F69" s="84">
        <v>180567393</v>
      </c>
    </row>
    <row r="70" spans="1:6" ht="12.75">
      <c r="A70" s="18"/>
      <c r="B70" s="18"/>
      <c r="C70" s="18"/>
      <c r="D70" s="18"/>
      <c r="E70" s="18"/>
      <c r="F70" s="18"/>
    </row>
    <row r="71" spans="1:6" ht="12.75">
      <c r="A71" s="35" t="s">
        <v>241</v>
      </c>
      <c r="B71" s="36"/>
      <c r="C71" s="36"/>
      <c r="D71" s="36"/>
      <c r="E71" s="36"/>
      <c r="F71" s="36"/>
    </row>
    <row r="72" spans="1:6" ht="63">
      <c r="A72" s="37" t="s">
        <v>8</v>
      </c>
      <c r="B72" s="37" t="s">
        <v>9</v>
      </c>
      <c r="C72" s="37" t="s">
        <v>10</v>
      </c>
      <c r="D72" s="37" t="s">
        <v>11</v>
      </c>
      <c r="E72" s="37" t="s">
        <v>12</v>
      </c>
      <c r="F72" s="37" t="s">
        <v>13</v>
      </c>
    </row>
    <row r="73" spans="1:6" ht="15.75">
      <c r="A73" s="37">
        <v>2</v>
      </c>
      <c r="B73" s="37">
        <v>3</v>
      </c>
      <c r="C73" s="37">
        <v>4</v>
      </c>
      <c r="D73" s="37">
        <v>5</v>
      </c>
      <c r="E73" s="37">
        <v>7</v>
      </c>
      <c r="F73" s="37">
        <v>10</v>
      </c>
    </row>
    <row r="74" spans="1:6" ht="25.5">
      <c r="A74" s="79" t="s">
        <v>39</v>
      </c>
      <c r="B74" s="80" t="s">
        <v>242</v>
      </c>
      <c r="C74" s="81">
        <v>5035762</v>
      </c>
      <c r="D74" s="81">
        <v>5035762</v>
      </c>
      <c r="E74" s="81">
        <v>5035762</v>
      </c>
      <c r="F74" s="81">
        <v>5035762</v>
      </c>
    </row>
    <row r="75" spans="1:6" ht="25.5">
      <c r="A75" s="79" t="s">
        <v>41</v>
      </c>
      <c r="B75" s="80" t="s">
        <v>243</v>
      </c>
      <c r="C75" s="81">
        <v>104977757</v>
      </c>
      <c r="D75" s="81">
        <v>115264400</v>
      </c>
      <c r="E75" s="81">
        <v>115264400</v>
      </c>
      <c r="F75" s="81">
        <v>115264400</v>
      </c>
    </row>
    <row r="76" spans="1:6" ht="25.5">
      <c r="A76" s="79" t="s">
        <v>51</v>
      </c>
      <c r="B76" s="80" t="s">
        <v>244</v>
      </c>
      <c r="C76" s="81">
        <v>110013519</v>
      </c>
      <c r="D76" s="81">
        <v>120300162</v>
      </c>
      <c r="E76" s="81">
        <v>120300162</v>
      </c>
      <c r="F76" s="81">
        <v>120300162</v>
      </c>
    </row>
    <row r="77" spans="1:6" ht="25.5">
      <c r="A77" s="82" t="s">
        <v>245</v>
      </c>
      <c r="B77" s="83" t="s">
        <v>246</v>
      </c>
      <c r="C77" s="84">
        <v>110013519</v>
      </c>
      <c r="D77" s="84">
        <v>120300162</v>
      </c>
      <c r="E77" s="84">
        <v>120300162</v>
      </c>
      <c r="F77" s="84">
        <v>120300162</v>
      </c>
    </row>
    <row r="78" spans="1:6" ht="12.75">
      <c r="A78" s="18"/>
      <c r="B78" s="18"/>
      <c r="C78" s="18"/>
      <c r="D78" s="18"/>
      <c r="E78" s="18"/>
      <c r="F78" s="18"/>
    </row>
    <row r="79" spans="1:6" ht="12.75">
      <c r="A79" s="18"/>
      <c r="B79" s="18"/>
      <c r="C79" s="18"/>
      <c r="D79" s="18"/>
      <c r="E79" s="18"/>
      <c r="F79" s="18"/>
    </row>
    <row r="80" spans="1:6" ht="12.75">
      <c r="A80" s="35" t="s">
        <v>149</v>
      </c>
      <c r="B80" s="36"/>
      <c r="C80" s="36"/>
      <c r="D80" s="36"/>
      <c r="E80" s="36"/>
      <c r="F80" s="36"/>
    </row>
    <row r="81" spans="1:6" ht="31.5">
      <c r="A81" s="37" t="s">
        <v>8</v>
      </c>
      <c r="B81" s="37" t="s">
        <v>9</v>
      </c>
      <c r="C81" s="37" t="s">
        <v>10</v>
      </c>
      <c r="D81" s="37" t="s">
        <v>11</v>
      </c>
      <c r="E81" s="37" t="s">
        <v>150</v>
      </c>
      <c r="F81" s="37" t="s">
        <v>13</v>
      </c>
    </row>
    <row r="82" spans="1:6" ht="15.75">
      <c r="A82" s="37">
        <v>2</v>
      </c>
      <c r="B82" s="37">
        <v>3</v>
      </c>
      <c r="C82" s="37">
        <v>4</v>
      </c>
      <c r="D82" s="37">
        <v>5</v>
      </c>
      <c r="E82" s="37">
        <v>6</v>
      </c>
      <c r="F82" s="37">
        <v>8</v>
      </c>
    </row>
    <row r="83" spans="1:6" ht="25.5">
      <c r="A83" s="79" t="s">
        <v>0</v>
      </c>
      <c r="B83" s="80" t="s">
        <v>151</v>
      </c>
      <c r="C83" s="81">
        <v>61786026</v>
      </c>
      <c r="D83" s="81">
        <v>63936073</v>
      </c>
      <c r="E83" s="81">
        <v>63936073</v>
      </c>
      <c r="F83" s="81">
        <v>63936073</v>
      </c>
    </row>
    <row r="84" spans="1:6" ht="25.5">
      <c r="A84" s="79" t="s">
        <v>1</v>
      </c>
      <c r="B84" s="80" t="s">
        <v>152</v>
      </c>
      <c r="C84" s="81">
        <v>34615900</v>
      </c>
      <c r="D84" s="81">
        <v>38460075</v>
      </c>
      <c r="E84" s="81">
        <v>38460075</v>
      </c>
      <c r="F84" s="81">
        <v>38460075</v>
      </c>
    </row>
    <row r="85" spans="1:6" ht="38.25">
      <c r="A85" s="79" t="s">
        <v>2</v>
      </c>
      <c r="B85" s="80" t="s">
        <v>153</v>
      </c>
      <c r="C85" s="81">
        <v>36515722</v>
      </c>
      <c r="D85" s="81">
        <v>37012508</v>
      </c>
      <c r="E85" s="81">
        <v>37012508</v>
      </c>
      <c r="F85" s="81">
        <v>37012508</v>
      </c>
    </row>
    <row r="86" spans="1:6" ht="25.5">
      <c r="A86" s="79" t="s">
        <v>4</v>
      </c>
      <c r="B86" s="80" t="s">
        <v>154</v>
      </c>
      <c r="C86" s="81">
        <v>2326830</v>
      </c>
      <c r="D86" s="81">
        <v>2405830</v>
      </c>
      <c r="E86" s="81">
        <v>2405830</v>
      </c>
      <c r="F86" s="81">
        <v>2405830</v>
      </c>
    </row>
    <row r="87" spans="1:6" ht="25.5">
      <c r="A87" s="79" t="s">
        <v>155</v>
      </c>
      <c r="B87" s="80" t="s">
        <v>156</v>
      </c>
      <c r="C87" s="81">
        <v>6847096</v>
      </c>
      <c r="D87" s="81">
        <v>34330300</v>
      </c>
      <c r="E87" s="81">
        <v>34330300</v>
      </c>
      <c r="F87" s="81">
        <v>34330300</v>
      </c>
    </row>
    <row r="88" spans="1:6" ht="12.75">
      <c r="A88" s="79" t="s">
        <v>17</v>
      </c>
      <c r="B88" s="80" t="s">
        <v>157</v>
      </c>
      <c r="C88" s="81">
        <v>0</v>
      </c>
      <c r="D88" s="81">
        <v>1000</v>
      </c>
      <c r="E88" s="81">
        <v>1000</v>
      </c>
      <c r="F88" s="81">
        <v>1000</v>
      </c>
    </row>
    <row r="89" spans="1:6" ht="25.5">
      <c r="A89" s="79" t="s">
        <v>19</v>
      </c>
      <c r="B89" s="80" t="s">
        <v>158</v>
      </c>
      <c r="C89" s="81">
        <v>142091574</v>
      </c>
      <c r="D89" s="81">
        <v>176145786</v>
      </c>
      <c r="E89" s="81">
        <v>176145786</v>
      </c>
      <c r="F89" s="81">
        <v>176145786</v>
      </c>
    </row>
    <row r="90" spans="1:6" ht="25.5">
      <c r="A90" s="79" t="s">
        <v>55</v>
      </c>
      <c r="B90" s="80" t="s">
        <v>159</v>
      </c>
      <c r="C90" s="81">
        <v>3928273</v>
      </c>
      <c r="D90" s="81">
        <v>8786402</v>
      </c>
      <c r="E90" s="81">
        <v>8786402</v>
      </c>
      <c r="F90" s="81">
        <v>8786402</v>
      </c>
    </row>
    <row r="91" spans="1:6" ht="12.75">
      <c r="A91" s="79" t="s">
        <v>161</v>
      </c>
      <c r="B91" s="80" t="s">
        <v>162</v>
      </c>
      <c r="C91" s="81">
        <v>0</v>
      </c>
      <c r="D91" s="81">
        <v>0</v>
      </c>
      <c r="E91" s="81">
        <v>0</v>
      </c>
      <c r="F91" s="81">
        <v>8619802</v>
      </c>
    </row>
    <row r="92" spans="1:6" ht="25.5">
      <c r="A92" s="79" t="s">
        <v>67</v>
      </c>
      <c r="B92" s="80" t="s">
        <v>163</v>
      </c>
      <c r="C92" s="81">
        <v>0</v>
      </c>
      <c r="D92" s="81">
        <v>0</v>
      </c>
      <c r="E92" s="81">
        <v>0</v>
      </c>
      <c r="F92" s="81">
        <v>166600</v>
      </c>
    </row>
    <row r="93" spans="1:6" ht="38.25">
      <c r="A93" s="82" t="s">
        <v>71</v>
      </c>
      <c r="B93" s="83" t="s">
        <v>164</v>
      </c>
      <c r="C93" s="84">
        <v>146019847</v>
      </c>
      <c r="D93" s="84">
        <v>184932188</v>
      </c>
      <c r="E93" s="84">
        <v>184932188</v>
      </c>
      <c r="F93" s="84">
        <v>184932188</v>
      </c>
    </row>
    <row r="94" spans="1:6" ht="25.5">
      <c r="A94" s="79" t="s">
        <v>73</v>
      </c>
      <c r="B94" s="80" t="s">
        <v>165</v>
      </c>
      <c r="C94" s="81">
        <v>13792000</v>
      </c>
      <c r="D94" s="81">
        <v>12621982</v>
      </c>
      <c r="E94" s="81">
        <v>12621982</v>
      </c>
      <c r="F94" s="81">
        <v>12621982</v>
      </c>
    </row>
    <row r="95" spans="1:6" ht="38.25">
      <c r="A95" s="79" t="s">
        <v>166</v>
      </c>
      <c r="B95" s="80" t="s">
        <v>167</v>
      </c>
      <c r="C95" s="81">
        <v>24891378</v>
      </c>
      <c r="D95" s="81">
        <v>29898162</v>
      </c>
      <c r="E95" s="81">
        <v>29898162</v>
      </c>
      <c r="F95" s="81">
        <v>29898162</v>
      </c>
    </row>
    <row r="96" spans="1:6" ht="12.75">
      <c r="A96" s="79" t="s">
        <v>168</v>
      </c>
      <c r="B96" s="80" t="s">
        <v>169</v>
      </c>
      <c r="C96" s="81">
        <v>0</v>
      </c>
      <c r="D96" s="81">
        <v>0</v>
      </c>
      <c r="E96" s="81">
        <v>0</v>
      </c>
      <c r="F96" s="81">
        <v>16930982</v>
      </c>
    </row>
    <row r="97" spans="1:6" ht="38.25">
      <c r="A97" s="79" t="s">
        <v>170</v>
      </c>
      <c r="B97" s="80" t="s">
        <v>171</v>
      </c>
      <c r="C97" s="81">
        <v>0</v>
      </c>
      <c r="D97" s="81">
        <v>0</v>
      </c>
      <c r="E97" s="81">
        <v>0</v>
      </c>
      <c r="F97" s="81">
        <v>12967180</v>
      </c>
    </row>
    <row r="98" spans="1:6" ht="38.25">
      <c r="A98" s="82" t="s">
        <v>172</v>
      </c>
      <c r="B98" s="83" t="s">
        <v>173</v>
      </c>
      <c r="C98" s="84">
        <v>38683378</v>
      </c>
      <c r="D98" s="84">
        <v>42520144</v>
      </c>
      <c r="E98" s="84">
        <v>42520144</v>
      </c>
      <c r="F98" s="84">
        <v>42520144</v>
      </c>
    </row>
    <row r="99" spans="1:6" ht="25.5">
      <c r="A99" s="79" t="s">
        <v>174</v>
      </c>
      <c r="B99" s="80" t="s">
        <v>175</v>
      </c>
      <c r="C99" s="81">
        <v>7472</v>
      </c>
      <c r="D99" s="81">
        <v>7472</v>
      </c>
      <c r="E99" s="81">
        <v>7472</v>
      </c>
      <c r="F99" s="81">
        <v>7472</v>
      </c>
    </row>
    <row r="100" spans="1:6" ht="25.5">
      <c r="A100" s="79" t="s">
        <v>176</v>
      </c>
      <c r="B100" s="80" t="s">
        <v>177</v>
      </c>
      <c r="C100" s="81">
        <v>0</v>
      </c>
      <c r="D100" s="81">
        <v>0</v>
      </c>
      <c r="E100" s="81">
        <v>0</v>
      </c>
      <c r="F100" s="81">
        <v>7472</v>
      </c>
    </row>
    <row r="101" spans="1:6" ht="12.75">
      <c r="A101" s="79" t="s">
        <v>178</v>
      </c>
      <c r="B101" s="80" t="s">
        <v>179</v>
      </c>
      <c r="C101" s="81">
        <v>7472</v>
      </c>
      <c r="D101" s="81">
        <v>7472</v>
      </c>
      <c r="E101" s="81">
        <v>7472</v>
      </c>
      <c r="F101" s="81">
        <v>7472</v>
      </c>
    </row>
    <row r="102" spans="1:6" ht="12.75">
      <c r="A102" s="79" t="s">
        <v>180</v>
      </c>
      <c r="B102" s="80" t="s">
        <v>181</v>
      </c>
      <c r="C102" s="81">
        <v>6624120</v>
      </c>
      <c r="D102" s="81">
        <v>7130784</v>
      </c>
      <c r="E102" s="81">
        <v>7130784</v>
      </c>
      <c r="F102" s="81">
        <v>5824058</v>
      </c>
    </row>
    <row r="103" spans="1:6" ht="12.75">
      <c r="A103" s="79" t="s">
        <v>182</v>
      </c>
      <c r="B103" s="80" t="s">
        <v>183</v>
      </c>
      <c r="C103" s="81">
        <v>0</v>
      </c>
      <c r="D103" s="81">
        <v>0</v>
      </c>
      <c r="E103" s="81">
        <v>0</v>
      </c>
      <c r="F103" s="81">
        <v>2970249</v>
      </c>
    </row>
    <row r="104" spans="1:6" ht="25.5">
      <c r="A104" s="79" t="s">
        <v>184</v>
      </c>
      <c r="B104" s="80" t="s">
        <v>185</v>
      </c>
      <c r="C104" s="81">
        <v>0</v>
      </c>
      <c r="D104" s="81">
        <v>0</v>
      </c>
      <c r="E104" s="81">
        <v>0</v>
      </c>
      <c r="F104" s="81">
        <v>2853809</v>
      </c>
    </row>
    <row r="105" spans="1:6" ht="25.5">
      <c r="A105" s="79" t="s">
        <v>99</v>
      </c>
      <c r="B105" s="80" t="s">
        <v>186</v>
      </c>
      <c r="C105" s="81">
        <v>31923565</v>
      </c>
      <c r="D105" s="81">
        <v>40245760</v>
      </c>
      <c r="E105" s="81">
        <v>40245760</v>
      </c>
      <c r="F105" s="81">
        <v>38552527</v>
      </c>
    </row>
    <row r="106" spans="1:6" ht="38.25">
      <c r="A106" s="79" t="s">
        <v>107</v>
      </c>
      <c r="B106" s="80" t="s">
        <v>187</v>
      </c>
      <c r="C106" s="81">
        <v>0</v>
      </c>
      <c r="D106" s="81">
        <v>0</v>
      </c>
      <c r="E106" s="81">
        <v>0</v>
      </c>
      <c r="F106" s="81">
        <v>38552527</v>
      </c>
    </row>
    <row r="107" spans="1:6" ht="12.75">
      <c r="A107" s="79" t="s">
        <v>188</v>
      </c>
      <c r="B107" s="80" t="s">
        <v>189</v>
      </c>
      <c r="C107" s="81">
        <v>4272646</v>
      </c>
      <c r="D107" s="81">
        <v>5476045</v>
      </c>
      <c r="E107" s="81">
        <v>5476045</v>
      </c>
      <c r="F107" s="81">
        <v>4404650</v>
      </c>
    </row>
    <row r="108" spans="1:6" ht="25.5">
      <c r="A108" s="79" t="s">
        <v>190</v>
      </c>
      <c r="B108" s="80" t="s">
        <v>191</v>
      </c>
      <c r="C108" s="81">
        <v>0</v>
      </c>
      <c r="D108" s="81">
        <v>0</v>
      </c>
      <c r="E108" s="81">
        <v>0</v>
      </c>
      <c r="F108" s="81">
        <v>4404650</v>
      </c>
    </row>
    <row r="109" spans="1:6" ht="25.5">
      <c r="A109" s="79" t="s">
        <v>192</v>
      </c>
      <c r="B109" s="80" t="s">
        <v>193</v>
      </c>
      <c r="C109" s="81">
        <v>250400</v>
      </c>
      <c r="D109" s="81">
        <v>297900</v>
      </c>
      <c r="E109" s="81">
        <v>297900</v>
      </c>
      <c r="F109" s="81">
        <v>254100</v>
      </c>
    </row>
    <row r="110" spans="1:6" ht="25.5">
      <c r="A110" s="79" t="s">
        <v>194</v>
      </c>
      <c r="B110" s="80" t="s">
        <v>195</v>
      </c>
      <c r="C110" s="81">
        <v>0</v>
      </c>
      <c r="D110" s="81">
        <v>0</v>
      </c>
      <c r="E110" s="81">
        <v>0</v>
      </c>
      <c r="F110" s="81">
        <v>254100</v>
      </c>
    </row>
    <row r="111" spans="1:6" ht="25.5">
      <c r="A111" s="79" t="s">
        <v>196</v>
      </c>
      <c r="B111" s="80" t="s">
        <v>197</v>
      </c>
      <c r="C111" s="81">
        <v>36446611</v>
      </c>
      <c r="D111" s="81">
        <v>46019705</v>
      </c>
      <c r="E111" s="81">
        <v>46019705</v>
      </c>
      <c r="F111" s="81">
        <v>43211277</v>
      </c>
    </row>
    <row r="112" spans="1:6" ht="25.5">
      <c r="A112" s="79" t="s">
        <v>198</v>
      </c>
      <c r="B112" s="80" t="s">
        <v>199</v>
      </c>
      <c r="C112" s="81">
        <v>840967</v>
      </c>
      <c r="D112" s="81">
        <v>4821548</v>
      </c>
      <c r="E112" s="81">
        <v>4821548</v>
      </c>
      <c r="F112" s="81">
        <v>1073114</v>
      </c>
    </row>
    <row r="113" spans="1:6" ht="25.5">
      <c r="A113" s="79" t="s">
        <v>200</v>
      </c>
      <c r="B113" s="80" t="s">
        <v>201</v>
      </c>
      <c r="C113" s="81">
        <v>0</v>
      </c>
      <c r="D113" s="81">
        <v>0</v>
      </c>
      <c r="E113" s="81">
        <v>0</v>
      </c>
      <c r="F113" s="81">
        <v>889990</v>
      </c>
    </row>
    <row r="114" spans="1:6" ht="25.5">
      <c r="A114" s="82" t="s">
        <v>202</v>
      </c>
      <c r="B114" s="83" t="s">
        <v>203</v>
      </c>
      <c r="C114" s="84">
        <v>43919170</v>
      </c>
      <c r="D114" s="84">
        <v>57979509</v>
      </c>
      <c r="E114" s="84">
        <v>57979509</v>
      </c>
      <c r="F114" s="84">
        <v>50115921</v>
      </c>
    </row>
    <row r="115" spans="1:6" ht="12.75">
      <c r="A115" s="79" t="s">
        <v>204</v>
      </c>
      <c r="B115" s="80" t="s">
        <v>205</v>
      </c>
      <c r="C115" s="81">
        <v>2316525</v>
      </c>
      <c r="D115" s="81">
        <v>3002471</v>
      </c>
      <c r="E115" s="81">
        <v>3002471</v>
      </c>
      <c r="F115" s="81">
        <v>2560012</v>
      </c>
    </row>
    <row r="116" spans="1:6" ht="25.5">
      <c r="A116" s="79" t="s">
        <v>206</v>
      </c>
      <c r="B116" s="80" t="s">
        <v>207</v>
      </c>
      <c r="C116" s="81">
        <v>0</v>
      </c>
      <c r="D116" s="81">
        <v>0</v>
      </c>
      <c r="E116" s="81">
        <v>0</v>
      </c>
      <c r="F116" s="81">
        <v>1858597</v>
      </c>
    </row>
    <row r="117" spans="1:6" ht="25.5">
      <c r="A117" s="79" t="s">
        <v>125</v>
      </c>
      <c r="B117" s="80" t="s">
        <v>208</v>
      </c>
      <c r="C117" s="81">
        <v>600000</v>
      </c>
      <c r="D117" s="81">
        <v>511557</v>
      </c>
      <c r="E117" s="81">
        <v>511557</v>
      </c>
      <c r="F117" s="81">
        <v>462899</v>
      </c>
    </row>
    <row r="118" spans="1:6" ht="12.75">
      <c r="A118" s="79" t="s">
        <v>129</v>
      </c>
      <c r="B118" s="80" t="s">
        <v>209</v>
      </c>
      <c r="C118" s="81">
        <v>4269786</v>
      </c>
      <c r="D118" s="81">
        <v>4339786</v>
      </c>
      <c r="E118" s="81">
        <v>4339786</v>
      </c>
      <c r="F118" s="81">
        <v>4339786</v>
      </c>
    </row>
    <row r="119" spans="1:6" ht="25.5">
      <c r="A119" s="79" t="s">
        <v>131</v>
      </c>
      <c r="B119" s="80" t="s">
        <v>210</v>
      </c>
      <c r="C119" s="81">
        <v>0</v>
      </c>
      <c r="D119" s="81">
        <v>0</v>
      </c>
      <c r="E119" s="81">
        <v>0</v>
      </c>
      <c r="F119" s="81">
        <v>4269786</v>
      </c>
    </row>
    <row r="120" spans="1:6" ht="12.75">
      <c r="A120" s="79" t="s">
        <v>139</v>
      </c>
      <c r="B120" s="80" t="s">
        <v>212</v>
      </c>
      <c r="C120" s="81">
        <v>1154437</v>
      </c>
      <c r="D120" s="81">
        <v>1342841</v>
      </c>
      <c r="E120" s="81">
        <v>1342841</v>
      </c>
      <c r="F120" s="81">
        <v>1342841</v>
      </c>
    </row>
    <row r="121" spans="1:6" ht="25.5">
      <c r="A121" s="79" t="s">
        <v>213</v>
      </c>
      <c r="B121" s="80" t="s">
        <v>214</v>
      </c>
      <c r="C121" s="81">
        <v>36255</v>
      </c>
      <c r="D121" s="81">
        <v>27516</v>
      </c>
      <c r="E121" s="81">
        <v>27516</v>
      </c>
      <c r="F121" s="81">
        <v>27516</v>
      </c>
    </row>
    <row r="122" spans="1:6" ht="25.5">
      <c r="A122" s="79" t="s">
        <v>215</v>
      </c>
      <c r="B122" s="80" t="s">
        <v>216</v>
      </c>
      <c r="C122" s="81">
        <v>36255</v>
      </c>
      <c r="D122" s="81">
        <v>27516</v>
      </c>
      <c r="E122" s="81">
        <v>27516</v>
      </c>
      <c r="F122" s="81">
        <v>27516</v>
      </c>
    </row>
    <row r="123" spans="1:6" ht="12.75">
      <c r="A123" s="79" t="s">
        <v>217</v>
      </c>
      <c r="B123" s="80" t="s">
        <v>218</v>
      </c>
      <c r="C123" s="81">
        <v>0</v>
      </c>
      <c r="D123" s="81">
        <v>949842</v>
      </c>
      <c r="E123" s="81">
        <v>949842</v>
      </c>
      <c r="F123" s="81">
        <v>949842</v>
      </c>
    </row>
    <row r="124" spans="1:6" ht="25.5">
      <c r="A124" s="79" t="s">
        <v>219</v>
      </c>
      <c r="B124" s="80" t="s">
        <v>220</v>
      </c>
      <c r="C124" s="81">
        <v>20300</v>
      </c>
      <c r="D124" s="81">
        <v>47522</v>
      </c>
      <c r="E124" s="81">
        <v>47522</v>
      </c>
      <c r="F124" s="81">
        <v>47522</v>
      </c>
    </row>
    <row r="125" spans="1:6" ht="12.75">
      <c r="A125" s="79" t="s">
        <v>221</v>
      </c>
      <c r="B125" s="80" t="s">
        <v>222</v>
      </c>
      <c r="C125" s="81">
        <v>0</v>
      </c>
      <c r="D125" s="81">
        <v>0</v>
      </c>
      <c r="E125" s="81">
        <v>0</v>
      </c>
      <c r="F125" s="81">
        <v>34379</v>
      </c>
    </row>
    <row r="126" spans="1:6" ht="38.25">
      <c r="A126" s="82" t="s">
        <v>223</v>
      </c>
      <c r="B126" s="83" t="s">
        <v>224</v>
      </c>
      <c r="C126" s="84">
        <v>8397303</v>
      </c>
      <c r="D126" s="84">
        <v>10221535</v>
      </c>
      <c r="E126" s="84">
        <v>10221535</v>
      </c>
      <c r="F126" s="84">
        <v>9730418</v>
      </c>
    </row>
    <row r="127" spans="1:6" ht="25.5">
      <c r="A127" s="79" t="s">
        <v>225</v>
      </c>
      <c r="B127" s="80" t="s">
        <v>226</v>
      </c>
      <c r="C127" s="81">
        <v>3392175</v>
      </c>
      <c r="D127" s="81">
        <v>3431530</v>
      </c>
      <c r="E127" s="81">
        <v>3431530</v>
      </c>
      <c r="F127" s="81">
        <v>3359440</v>
      </c>
    </row>
    <row r="128" spans="1:6" ht="12.75">
      <c r="A128" s="79" t="s">
        <v>227</v>
      </c>
      <c r="B128" s="80" t="s">
        <v>228</v>
      </c>
      <c r="C128" s="81">
        <v>0</v>
      </c>
      <c r="D128" s="81">
        <v>0</v>
      </c>
      <c r="E128" s="81">
        <v>0</v>
      </c>
      <c r="F128" s="81">
        <v>390050</v>
      </c>
    </row>
    <row r="129" spans="1:6" ht="12.75">
      <c r="A129" s="79" t="s">
        <v>229</v>
      </c>
      <c r="B129" s="80" t="s">
        <v>230</v>
      </c>
      <c r="C129" s="81">
        <v>0</v>
      </c>
      <c r="D129" s="81">
        <v>0</v>
      </c>
      <c r="E129" s="81">
        <v>0</v>
      </c>
      <c r="F129" s="81">
        <v>2969390</v>
      </c>
    </row>
    <row r="130" spans="1:6" ht="25.5">
      <c r="A130" s="82" t="s">
        <v>231</v>
      </c>
      <c r="B130" s="83" t="s">
        <v>232</v>
      </c>
      <c r="C130" s="84">
        <v>3392175</v>
      </c>
      <c r="D130" s="84">
        <v>3431530</v>
      </c>
      <c r="E130" s="84">
        <v>3431530</v>
      </c>
      <c r="F130" s="84">
        <v>3359440</v>
      </c>
    </row>
    <row r="131" spans="1:6" ht="25.5">
      <c r="A131" s="79" t="s">
        <v>233</v>
      </c>
      <c r="B131" s="80" t="s">
        <v>234</v>
      </c>
      <c r="C131" s="81">
        <v>865000</v>
      </c>
      <c r="D131" s="81">
        <v>1164100</v>
      </c>
      <c r="E131" s="81">
        <v>1164100</v>
      </c>
      <c r="F131" s="81">
        <v>1164100</v>
      </c>
    </row>
    <row r="132" spans="1:6" ht="12.75">
      <c r="A132" s="79" t="s">
        <v>235</v>
      </c>
      <c r="B132" s="80" t="s">
        <v>236</v>
      </c>
      <c r="C132" s="81">
        <v>0</v>
      </c>
      <c r="D132" s="81">
        <v>0</v>
      </c>
      <c r="E132" s="81">
        <v>0</v>
      </c>
      <c r="F132" s="81">
        <v>1164100</v>
      </c>
    </row>
    <row r="133" spans="1:6" ht="25.5">
      <c r="A133" s="82" t="s">
        <v>237</v>
      </c>
      <c r="B133" s="83" t="s">
        <v>238</v>
      </c>
      <c r="C133" s="84">
        <v>865000</v>
      </c>
      <c r="D133" s="84">
        <v>1164100</v>
      </c>
      <c r="E133" s="84">
        <v>1164100</v>
      </c>
      <c r="F133" s="84">
        <v>1164100</v>
      </c>
    </row>
    <row r="134" spans="1:6" ht="25.5">
      <c r="A134" s="82" t="s">
        <v>239</v>
      </c>
      <c r="B134" s="83" t="s">
        <v>240</v>
      </c>
      <c r="C134" s="84">
        <v>241276873</v>
      </c>
      <c r="D134" s="84">
        <v>300249006</v>
      </c>
      <c r="E134" s="84">
        <v>300249006</v>
      </c>
      <c r="F134" s="84">
        <v>291822211</v>
      </c>
    </row>
    <row r="135" spans="1:6" ht="12.75">
      <c r="A135" s="18"/>
      <c r="B135" s="18"/>
      <c r="C135" s="18"/>
      <c r="D135" s="18"/>
      <c r="E135" s="18"/>
      <c r="F135" s="18"/>
    </row>
    <row r="136" spans="1:6" ht="12.75">
      <c r="A136" s="35" t="s">
        <v>247</v>
      </c>
      <c r="B136" s="36"/>
      <c r="C136" s="36"/>
      <c r="D136" s="36"/>
      <c r="E136" s="36"/>
      <c r="F136" s="36"/>
    </row>
    <row r="137" spans="1:6" ht="31.5">
      <c r="A137" s="37" t="s">
        <v>8</v>
      </c>
      <c r="B137" s="37" t="s">
        <v>9</v>
      </c>
      <c r="C137" s="37" t="s">
        <v>10</v>
      </c>
      <c r="D137" s="37" t="s">
        <v>11</v>
      </c>
      <c r="E137" s="37" t="s">
        <v>248</v>
      </c>
      <c r="F137" s="37" t="s">
        <v>13</v>
      </c>
    </row>
    <row r="138" spans="1:6" ht="15.75">
      <c r="A138" s="37">
        <v>2</v>
      </c>
      <c r="B138" s="37">
        <v>3</v>
      </c>
      <c r="C138" s="37">
        <v>4</v>
      </c>
      <c r="D138" s="37">
        <v>5</v>
      </c>
      <c r="E138" s="37">
        <v>6</v>
      </c>
      <c r="F138" s="37">
        <v>8</v>
      </c>
    </row>
    <row r="139" spans="1:6" ht="25.5">
      <c r="A139" s="79" t="s">
        <v>249</v>
      </c>
      <c r="B139" s="80" t="s">
        <v>250</v>
      </c>
      <c r="C139" s="81">
        <v>121346409</v>
      </c>
      <c r="D139" s="81">
        <v>121346409</v>
      </c>
      <c r="E139" s="81">
        <v>121346409</v>
      </c>
      <c r="F139" s="81">
        <v>121346409</v>
      </c>
    </row>
    <row r="140" spans="1:6" ht="12.75">
      <c r="A140" s="79" t="s">
        <v>251</v>
      </c>
      <c r="B140" s="80" t="s">
        <v>252</v>
      </c>
      <c r="C140" s="81">
        <v>121346409</v>
      </c>
      <c r="D140" s="81">
        <v>121346409</v>
      </c>
      <c r="E140" s="81">
        <v>121346409</v>
      </c>
      <c r="F140" s="81">
        <v>121346409</v>
      </c>
    </row>
    <row r="141" spans="1:6" ht="25.5">
      <c r="A141" s="79" t="s">
        <v>27</v>
      </c>
      <c r="B141" s="80" t="s">
        <v>253</v>
      </c>
      <c r="C141" s="81">
        <v>0</v>
      </c>
      <c r="D141" s="81">
        <v>5637324</v>
      </c>
      <c r="E141" s="81">
        <v>5637324</v>
      </c>
      <c r="F141" s="81">
        <v>5637324</v>
      </c>
    </row>
    <row r="142" spans="1:6" ht="25.5">
      <c r="A142" s="79" t="s">
        <v>255</v>
      </c>
      <c r="B142" s="80" t="s">
        <v>256</v>
      </c>
      <c r="C142" s="81">
        <v>121346409</v>
      </c>
      <c r="D142" s="81">
        <v>126983733</v>
      </c>
      <c r="E142" s="81">
        <v>126983733</v>
      </c>
      <c r="F142" s="81">
        <v>126983733</v>
      </c>
    </row>
    <row r="143" spans="1:6" ht="25.5">
      <c r="A143" s="82" t="s">
        <v>55</v>
      </c>
      <c r="B143" s="83" t="s">
        <v>257</v>
      </c>
      <c r="C143" s="84">
        <v>121346409</v>
      </c>
      <c r="D143" s="84">
        <v>126983733</v>
      </c>
      <c r="E143" s="84">
        <v>126983733</v>
      </c>
      <c r="F143" s="84">
        <v>126983733</v>
      </c>
    </row>
    <row r="146" spans="1:6" ht="15.75">
      <c r="A146" s="344"/>
      <c r="B146" s="345" t="s">
        <v>601</v>
      </c>
      <c r="C146" s="346"/>
      <c r="D146" s="346"/>
      <c r="E146" s="347"/>
      <c r="F146" s="348">
        <f>+F134+F143-F77-F69</f>
        <v>117938389</v>
      </c>
    </row>
  </sheetData>
  <sheetProtection/>
  <mergeCells count="5">
    <mergeCell ref="A3:F3"/>
    <mergeCell ref="A71:F71"/>
    <mergeCell ref="A80:F80"/>
    <mergeCell ref="A136:F136"/>
    <mergeCell ref="B146:E1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0" style="0" hidden="1" customWidth="1"/>
    <col min="2" max="2" width="73.25390625" style="0" customWidth="1"/>
    <col min="3" max="3" width="0" style="0" hidden="1" customWidth="1"/>
    <col min="4" max="6" width="16.375" style="0" customWidth="1"/>
    <col min="7" max="8" width="16.00390625" style="0" customWidth="1"/>
    <col min="9" max="9" width="13.75390625" style="0" customWidth="1"/>
    <col min="10" max="11" width="16.00390625" style="0" customWidth="1"/>
    <col min="12" max="14" width="17.875" style="0" customWidth="1"/>
  </cols>
  <sheetData>
    <row r="1" ht="20.25">
      <c r="B1" s="89" t="s">
        <v>602</v>
      </c>
    </row>
    <row r="2" ht="13.5" thickBot="1"/>
    <row r="3" ht="12.75">
      <c r="B3" s="90" t="s">
        <v>756</v>
      </c>
    </row>
    <row r="4" ht="13.5" thickBot="1">
      <c r="B4" s="91"/>
    </row>
    <row r="5" spans="1:14" ht="13.5" thickTop="1">
      <c r="A5" s="92" t="s">
        <v>603</v>
      </c>
      <c r="B5" s="93" t="s">
        <v>604</v>
      </c>
      <c r="C5" s="94" t="s">
        <v>605</v>
      </c>
      <c r="D5" s="95" t="s">
        <v>606</v>
      </c>
      <c r="E5" s="96" t="s">
        <v>607</v>
      </c>
      <c r="F5" s="97" t="s">
        <v>608</v>
      </c>
      <c r="G5" s="95" t="s">
        <v>609</v>
      </c>
      <c r="H5" s="98" t="s">
        <v>610</v>
      </c>
      <c r="I5" s="99" t="s">
        <v>611</v>
      </c>
      <c r="J5" s="95" t="s">
        <v>612</v>
      </c>
      <c r="K5" s="100" t="s">
        <v>613</v>
      </c>
      <c r="L5" s="101" t="s">
        <v>614</v>
      </c>
      <c r="M5" s="102" t="s">
        <v>615</v>
      </c>
      <c r="N5" s="103" t="s">
        <v>616</v>
      </c>
    </row>
    <row r="6" spans="1:14" ht="20.25" customHeight="1" thickBot="1">
      <c r="A6" s="104"/>
      <c r="B6" s="105"/>
      <c r="C6" s="106"/>
      <c r="D6" s="107"/>
      <c r="E6" s="108"/>
      <c r="F6" s="109"/>
      <c r="G6" s="107"/>
      <c r="H6" s="110"/>
      <c r="I6" s="111"/>
      <c r="J6" s="107"/>
      <c r="K6" s="112"/>
      <c r="L6" s="113"/>
      <c r="M6" s="114"/>
      <c r="N6" s="115"/>
    </row>
    <row r="7" spans="1:14" ht="3.75" customHeight="1">
      <c r="A7" s="116"/>
      <c r="B7" s="117"/>
      <c r="C7" s="118"/>
      <c r="D7" s="119"/>
      <c r="E7" s="117"/>
      <c r="F7" s="120"/>
      <c r="G7" s="119"/>
      <c r="H7" s="117"/>
      <c r="I7" s="120"/>
      <c r="J7" s="119"/>
      <c r="K7" s="118"/>
      <c r="L7" s="121"/>
      <c r="M7" s="122"/>
      <c r="N7" s="123"/>
    </row>
    <row r="8" spans="1:14" ht="14.25">
      <c r="A8" s="124">
        <v>1</v>
      </c>
      <c r="B8" s="125" t="s">
        <v>617</v>
      </c>
      <c r="C8" s="126" t="s">
        <v>618</v>
      </c>
      <c r="D8" s="127">
        <f>SUM(D9:D10)</f>
        <v>870033</v>
      </c>
      <c r="E8" s="128">
        <f>SUM(E9:E10)</f>
        <v>870033</v>
      </c>
      <c r="F8" s="129">
        <f>SUM(F9:F10)</f>
        <v>870033</v>
      </c>
      <c r="G8" s="127">
        <f>SUM(G9:G10)</f>
        <v>0</v>
      </c>
      <c r="H8" s="128">
        <f>SUM(H9:H10)</f>
        <v>854243</v>
      </c>
      <c r="I8" s="129">
        <f>SUM(I9:I10)</f>
        <v>854243</v>
      </c>
      <c r="J8" s="127">
        <f>SUM(J9:J10)</f>
        <v>3420871</v>
      </c>
      <c r="K8" s="130">
        <f>SUM(K9:K10)</f>
        <v>3420871</v>
      </c>
      <c r="L8" s="127">
        <f>+D8+G8</f>
        <v>870033</v>
      </c>
      <c r="M8" s="128">
        <f>+E8+H8+J8</f>
        <v>5145147</v>
      </c>
      <c r="N8" s="129">
        <f>+F8+I8+K8</f>
        <v>5145147</v>
      </c>
    </row>
    <row r="9" spans="1:14" ht="14.25">
      <c r="A9" s="131">
        <v>2</v>
      </c>
      <c r="B9" s="132" t="s">
        <v>619</v>
      </c>
      <c r="C9" s="133" t="s">
        <v>620</v>
      </c>
      <c r="D9" s="134">
        <v>0</v>
      </c>
      <c r="E9" s="135">
        <v>0</v>
      </c>
      <c r="F9" s="136">
        <v>0</v>
      </c>
      <c r="G9" s="134">
        <v>0</v>
      </c>
      <c r="H9" s="135">
        <v>0</v>
      </c>
      <c r="I9" s="136"/>
      <c r="J9" s="137">
        <f>3213971+206900</f>
        <v>3420871</v>
      </c>
      <c r="K9" s="138">
        <f>1288464+2132407</f>
        <v>3420871</v>
      </c>
      <c r="L9" s="134">
        <f aca="true" t="shared" si="0" ref="L9:M31">+D9+G9</f>
        <v>0</v>
      </c>
      <c r="M9" s="135">
        <f>+J9</f>
        <v>3420871</v>
      </c>
      <c r="N9" s="136">
        <f>+K9</f>
        <v>3420871</v>
      </c>
    </row>
    <row r="10" spans="1:14" ht="14.25">
      <c r="A10" s="131">
        <v>3</v>
      </c>
      <c r="B10" s="132" t="s">
        <v>621</v>
      </c>
      <c r="C10" s="133" t="s">
        <v>622</v>
      </c>
      <c r="D10" s="134">
        <f>559450+1330583-980000-40000</f>
        <v>870033</v>
      </c>
      <c r="E10" s="135">
        <f>559450+1330583-980000-40000</f>
        <v>870033</v>
      </c>
      <c r="F10" s="136">
        <f>+F11+F12</f>
        <v>870033</v>
      </c>
      <c r="G10" s="139">
        <v>0</v>
      </c>
      <c r="H10" s="140">
        <f>+H13+H14</f>
        <v>854243</v>
      </c>
      <c r="I10" s="136">
        <f>+I13+I14</f>
        <v>854243</v>
      </c>
      <c r="J10" s="134"/>
      <c r="K10" s="138"/>
      <c r="L10" s="134">
        <f>+D10+G10</f>
        <v>870033</v>
      </c>
      <c r="M10" s="135">
        <f>+E10+H10</f>
        <v>1724276</v>
      </c>
      <c r="N10" s="136">
        <f>+F10+I10</f>
        <v>1724276</v>
      </c>
    </row>
    <row r="11" spans="1:14" ht="14.25">
      <c r="A11" s="131"/>
      <c r="B11" s="132" t="s">
        <v>623</v>
      </c>
      <c r="C11" s="133"/>
      <c r="D11" s="134">
        <v>559450</v>
      </c>
      <c r="E11" s="135">
        <v>559450</v>
      </c>
      <c r="F11" s="136">
        <v>559450</v>
      </c>
      <c r="G11" s="134"/>
      <c r="H11" s="135"/>
      <c r="I11" s="136"/>
      <c r="J11" s="134"/>
      <c r="K11" s="138"/>
      <c r="L11" s="134">
        <f t="shared" si="0"/>
        <v>559450</v>
      </c>
      <c r="M11" s="135">
        <f>+E11+H11</f>
        <v>559450</v>
      </c>
      <c r="N11" s="136">
        <f aca="true" t="shared" si="1" ref="N11:N27">+F11+I11</f>
        <v>559450</v>
      </c>
    </row>
    <row r="12" spans="1:14" ht="14.25">
      <c r="A12" s="131"/>
      <c r="B12" s="132" t="s">
        <v>624</v>
      </c>
      <c r="C12" s="133"/>
      <c r="D12" s="134">
        <f>1330583-980000-40000</f>
        <v>310583</v>
      </c>
      <c r="E12" s="135">
        <f>1330583-980000-40000</f>
        <v>310583</v>
      </c>
      <c r="F12" s="136">
        <v>310583</v>
      </c>
      <c r="G12" s="134"/>
      <c r="H12" s="135"/>
      <c r="I12" s="136"/>
      <c r="J12" s="134"/>
      <c r="K12" s="138"/>
      <c r="L12" s="134">
        <f t="shared" si="0"/>
        <v>310583</v>
      </c>
      <c r="M12" s="135">
        <f t="shared" si="0"/>
        <v>310583</v>
      </c>
      <c r="N12" s="136">
        <f t="shared" si="1"/>
        <v>310583</v>
      </c>
    </row>
    <row r="13" spans="1:14" ht="14.25">
      <c r="A13" s="131"/>
      <c r="B13" s="132" t="s">
        <v>625</v>
      </c>
      <c r="C13" s="133"/>
      <c r="D13" s="134"/>
      <c r="E13" s="135"/>
      <c r="F13" s="136"/>
      <c r="G13" s="134"/>
      <c r="H13" s="135">
        <v>413472</v>
      </c>
      <c r="I13" s="138">
        <v>413472</v>
      </c>
      <c r="J13" s="134"/>
      <c r="K13" s="138"/>
      <c r="L13" s="134"/>
      <c r="M13" s="135">
        <f>+H13</f>
        <v>413472</v>
      </c>
      <c r="N13" s="136"/>
    </row>
    <row r="14" spans="1:14" ht="14.25">
      <c r="A14" s="131"/>
      <c r="B14" s="132" t="s">
        <v>626</v>
      </c>
      <c r="C14" s="133"/>
      <c r="D14" s="134"/>
      <c r="E14" s="135"/>
      <c r="F14" s="136"/>
      <c r="G14" s="134"/>
      <c r="H14" s="135">
        <f>88346+298522+53903</f>
        <v>440771</v>
      </c>
      <c r="I14" s="138">
        <f>386868+53903</f>
        <v>440771</v>
      </c>
      <c r="J14" s="134"/>
      <c r="K14" s="138"/>
      <c r="L14" s="134"/>
      <c r="M14" s="135"/>
      <c r="N14" s="136"/>
    </row>
    <row r="15" spans="1:14" ht="15">
      <c r="A15" s="141">
        <v>6</v>
      </c>
      <c r="B15" s="142" t="s">
        <v>627</v>
      </c>
      <c r="C15" s="143" t="s">
        <v>628</v>
      </c>
      <c r="D15" s="144">
        <f>SUM(D8)</f>
        <v>870033</v>
      </c>
      <c r="E15" s="145">
        <f>SUM(E8)</f>
        <v>870033</v>
      </c>
      <c r="F15" s="146">
        <f>SUM(F8)</f>
        <v>870033</v>
      </c>
      <c r="G15" s="144">
        <v>0</v>
      </c>
      <c r="H15" s="145">
        <f>+H10</f>
        <v>854243</v>
      </c>
      <c r="I15" s="145">
        <f>+I10</f>
        <v>854243</v>
      </c>
      <c r="J15" s="144">
        <f>SUM(J7:J8)</f>
        <v>3420871</v>
      </c>
      <c r="K15" s="147">
        <f>SUM(K7:K8)</f>
        <v>3420871</v>
      </c>
      <c r="L15" s="144">
        <f t="shared" si="0"/>
        <v>870033</v>
      </c>
      <c r="M15" s="145">
        <f>+E15+H15+J15</f>
        <v>5145147</v>
      </c>
      <c r="N15" s="146">
        <f>+F15+I15+K15</f>
        <v>5145147</v>
      </c>
    </row>
    <row r="16" spans="1:14" ht="14.25">
      <c r="A16" s="148">
        <v>7</v>
      </c>
      <c r="B16" s="149" t="s">
        <v>629</v>
      </c>
      <c r="C16" s="126" t="s">
        <v>630</v>
      </c>
      <c r="D16" s="150">
        <v>775</v>
      </c>
      <c r="E16" s="151">
        <v>283</v>
      </c>
      <c r="F16" s="152">
        <v>283</v>
      </c>
      <c r="G16" s="150">
        <v>0</v>
      </c>
      <c r="H16" s="151">
        <v>0</v>
      </c>
      <c r="I16" s="152"/>
      <c r="J16" s="150"/>
      <c r="K16" s="153"/>
      <c r="L16" s="154">
        <f t="shared" si="0"/>
        <v>775</v>
      </c>
      <c r="M16" s="155">
        <f t="shared" si="0"/>
        <v>283</v>
      </c>
      <c r="N16" s="156">
        <f t="shared" si="1"/>
        <v>283</v>
      </c>
    </row>
    <row r="17" spans="1:14" ht="14.25">
      <c r="A17" s="148">
        <v>8</v>
      </c>
      <c r="B17" s="149" t="s">
        <v>631</v>
      </c>
      <c r="C17" s="126" t="s">
        <v>632</v>
      </c>
      <c r="D17" s="150">
        <f>D18+D19</f>
        <v>1000</v>
      </c>
      <c r="E17" s="151">
        <f>E18+E19</f>
        <v>5093</v>
      </c>
      <c r="F17" s="152">
        <f>F18+F19</f>
        <v>5093</v>
      </c>
      <c r="G17" s="150">
        <v>0</v>
      </c>
      <c r="H17" s="151">
        <v>0</v>
      </c>
      <c r="I17" s="152"/>
      <c r="J17" s="150"/>
      <c r="K17" s="153"/>
      <c r="L17" s="154">
        <f t="shared" si="0"/>
        <v>1000</v>
      </c>
      <c r="M17" s="155">
        <f t="shared" si="0"/>
        <v>5093</v>
      </c>
      <c r="N17" s="156">
        <f t="shared" si="1"/>
        <v>5093</v>
      </c>
    </row>
    <row r="18" spans="1:14" ht="14.25">
      <c r="A18" s="157">
        <v>9</v>
      </c>
      <c r="B18" s="158" t="s">
        <v>633</v>
      </c>
      <c r="C18" s="133"/>
      <c r="D18" s="159">
        <v>1000</v>
      </c>
      <c r="E18" s="140">
        <v>5093</v>
      </c>
      <c r="F18" s="160">
        <v>5093</v>
      </c>
      <c r="G18" s="159">
        <v>0</v>
      </c>
      <c r="H18" s="161">
        <v>0</v>
      </c>
      <c r="I18" s="160"/>
      <c r="J18" s="159"/>
      <c r="K18" s="162"/>
      <c r="L18" s="163">
        <f t="shared" si="0"/>
        <v>1000</v>
      </c>
      <c r="M18" s="164">
        <f t="shared" si="0"/>
        <v>5093</v>
      </c>
      <c r="N18" s="165">
        <f t="shared" si="1"/>
        <v>5093</v>
      </c>
    </row>
    <row r="19" spans="1:14" ht="14.25">
      <c r="A19" s="157">
        <v>10</v>
      </c>
      <c r="B19" s="158" t="s">
        <v>634</v>
      </c>
      <c r="C19" s="133"/>
      <c r="D19" s="159">
        <v>0</v>
      </c>
      <c r="E19" s="161">
        <v>0</v>
      </c>
      <c r="F19" s="160"/>
      <c r="G19" s="159">
        <v>0</v>
      </c>
      <c r="H19" s="161">
        <v>0</v>
      </c>
      <c r="I19" s="160"/>
      <c r="J19" s="159"/>
      <c r="K19" s="162"/>
      <c r="L19" s="163">
        <f t="shared" si="0"/>
        <v>0</v>
      </c>
      <c r="M19" s="164">
        <f t="shared" si="0"/>
        <v>0</v>
      </c>
      <c r="N19" s="165">
        <f t="shared" si="1"/>
        <v>0</v>
      </c>
    </row>
    <row r="20" spans="1:14" ht="15">
      <c r="A20" s="166">
        <v>11</v>
      </c>
      <c r="B20" s="167" t="s">
        <v>635</v>
      </c>
      <c r="C20" s="143" t="s">
        <v>636</v>
      </c>
      <c r="D20" s="168">
        <f>D17+D16</f>
        <v>1775</v>
      </c>
      <c r="E20" s="169">
        <f>E17+E16</f>
        <v>5376</v>
      </c>
      <c r="F20" s="170">
        <f>F17+F16</f>
        <v>5376</v>
      </c>
      <c r="G20" s="168">
        <f>G17+G16</f>
        <v>0</v>
      </c>
      <c r="H20" s="169">
        <f>H17+H16</f>
        <v>0</v>
      </c>
      <c r="I20" s="170">
        <f>I17+I16</f>
        <v>0</v>
      </c>
      <c r="J20" s="168">
        <f>J17+J16</f>
        <v>0</v>
      </c>
      <c r="K20" s="171">
        <f>K17+K16</f>
        <v>0</v>
      </c>
      <c r="L20" s="172">
        <f t="shared" si="0"/>
        <v>1775</v>
      </c>
      <c r="M20" s="173">
        <f t="shared" si="0"/>
        <v>5376</v>
      </c>
      <c r="N20" s="174">
        <f>+F20+I20</f>
        <v>5376</v>
      </c>
    </row>
    <row r="21" spans="1:14" ht="15.75">
      <c r="A21" s="175">
        <v>12</v>
      </c>
      <c r="B21" s="176" t="s">
        <v>637</v>
      </c>
      <c r="C21" s="177" t="s">
        <v>638</v>
      </c>
      <c r="D21" s="178">
        <f>D15+D20</f>
        <v>871808</v>
      </c>
      <c r="E21" s="179">
        <f>E15+E20</f>
        <v>875409</v>
      </c>
      <c r="F21" s="180">
        <f>F15+F20</f>
        <v>875409</v>
      </c>
      <c r="G21" s="178">
        <f>G15+G20</f>
        <v>0</v>
      </c>
      <c r="H21" s="179">
        <f>H15+H20</f>
        <v>854243</v>
      </c>
      <c r="I21" s="180">
        <f>I15+I20</f>
        <v>854243</v>
      </c>
      <c r="J21" s="178">
        <f>J15+J20</f>
        <v>3420871</v>
      </c>
      <c r="K21" s="181">
        <f>K15+K20</f>
        <v>3420871</v>
      </c>
      <c r="L21" s="182">
        <f t="shared" si="0"/>
        <v>871808</v>
      </c>
      <c r="M21" s="183">
        <f>+E21+H21+J21</f>
        <v>5150523</v>
      </c>
      <c r="N21" s="184">
        <f>+F21+I21+K21</f>
        <v>5150523</v>
      </c>
    </row>
    <row r="22" spans="1:14" ht="28.5">
      <c r="A22" s="185">
        <v>13</v>
      </c>
      <c r="B22" s="125" t="s">
        <v>639</v>
      </c>
      <c r="C22" s="186" t="s">
        <v>640</v>
      </c>
      <c r="D22" s="154">
        <f>57049049+1437904-53025338-G22</f>
        <v>5429734</v>
      </c>
      <c r="E22" s="155">
        <f>57049049+1437904-53025338-H22</f>
        <v>5429734</v>
      </c>
      <c r="F22" s="156">
        <f>5461615-I22</f>
        <v>5429734</v>
      </c>
      <c r="G22" s="154">
        <f>71881-40000</f>
        <v>31881</v>
      </c>
      <c r="H22" s="155">
        <f>71881-40000</f>
        <v>31881</v>
      </c>
      <c r="I22" s="156">
        <v>31881</v>
      </c>
      <c r="J22" s="154"/>
      <c r="K22" s="187"/>
      <c r="L22" s="154">
        <f>+D22+G22</f>
        <v>5461615</v>
      </c>
      <c r="M22" s="155">
        <f>+E22+H22</f>
        <v>5461615</v>
      </c>
      <c r="N22" s="156">
        <f t="shared" si="1"/>
        <v>5461615</v>
      </c>
    </row>
    <row r="23" spans="1:14" ht="14.25">
      <c r="A23" s="188">
        <v>14</v>
      </c>
      <c r="B23" s="189" t="s">
        <v>641</v>
      </c>
      <c r="C23" s="190" t="s">
        <v>642</v>
      </c>
      <c r="D23" s="191">
        <f>D22</f>
        <v>5429734</v>
      </c>
      <c r="E23" s="192">
        <f>E22</f>
        <v>5429734</v>
      </c>
      <c r="F23" s="193">
        <f aca="true" t="shared" si="2" ref="F23:K23">F22</f>
        <v>5429734</v>
      </c>
      <c r="G23" s="191">
        <f t="shared" si="2"/>
        <v>31881</v>
      </c>
      <c r="H23" s="192">
        <f t="shared" si="2"/>
        <v>31881</v>
      </c>
      <c r="I23" s="193">
        <f t="shared" si="2"/>
        <v>31881</v>
      </c>
      <c r="J23" s="191">
        <f t="shared" si="2"/>
        <v>0</v>
      </c>
      <c r="K23" s="194">
        <f t="shared" si="2"/>
        <v>0</v>
      </c>
      <c r="L23" s="191">
        <f t="shared" si="0"/>
        <v>5461615</v>
      </c>
      <c r="M23" s="192">
        <f t="shared" si="0"/>
        <v>5461615</v>
      </c>
      <c r="N23" s="193">
        <f t="shared" si="1"/>
        <v>5461615</v>
      </c>
    </row>
    <row r="24" spans="1:14" ht="14.25">
      <c r="A24" s="185"/>
      <c r="B24" s="195" t="s">
        <v>643</v>
      </c>
      <c r="C24" s="186"/>
      <c r="D24" s="163">
        <v>36209600</v>
      </c>
      <c r="E24" s="164">
        <f>37189600-980000</f>
        <v>36209600</v>
      </c>
      <c r="F24" s="165">
        <v>36209600</v>
      </c>
      <c r="G24" s="163">
        <v>980000</v>
      </c>
      <c r="H24" s="164">
        <v>980000</v>
      </c>
      <c r="I24" s="165">
        <v>980000</v>
      </c>
      <c r="J24" s="163"/>
      <c r="K24" s="196"/>
      <c r="L24" s="163">
        <f t="shared" si="0"/>
        <v>37189600</v>
      </c>
      <c r="M24" s="164">
        <f>+E24+H24+J24</f>
        <v>37189600</v>
      </c>
      <c r="N24" s="165">
        <f>+F24+I24+K24</f>
        <v>37189600</v>
      </c>
    </row>
    <row r="25" spans="1:14" ht="14.25">
      <c r="A25" s="197"/>
      <c r="B25" s="198" t="s">
        <v>644</v>
      </c>
      <c r="C25" s="199"/>
      <c r="D25" s="163">
        <v>6496000</v>
      </c>
      <c r="E25" s="164">
        <v>6496000</v>
      </c>
      <c r="F25" s="165">
        <v>6496000</v>
      </c>
      <c r="G25" s="163"/>
      <c r="H25" s="164"/>
      <c r="I25" s="165"/>
      <c r="J25" s="163"/>
      <c r="K25" s="196"/>
      <c r="L25" s="163">
        <f t="shared" si="0"/>
        <v>6496000</v>
      </c>
      <c r="M25" s="164">
        <f t="shared" si="0"/>
        <v>6496000</v>
      </c>
      <c r="N25" s="165">
        <f t="shared" si="1"/>
        <v>6496000</v>
      </c>
    </row>
    <row r="26" spans="1:14" ht="14.25">
      <c r="A26" s="197"/>
      <c r="B26" s="198" t="s">
        <v>645</v>
      </c>
      <c r="C26" s="199"/>
      <c r="D26" s="200">
        <f>36686+200*1.195+28561*11</f>
        <v>351096</v>
      </c>
      <c r="E26" s="201">
        <v>93808</v>
      </c>
      <c r="F26" s="202">
        <f>36686+28561+28561</f>
        <v>93808</v>
      </c>
      <c r="G26" s="159"/>
      <c r="H26" s="161"/>
      <c r="I26" s="160"/>
      <c r="J26" s="159"/>
      <c r="K26" s="162"/>
      <c r="L26" s="163">
        <f t="shared" si="0"/>
        <v>351096</v>
      </c>
      <c r="M26" s="164">
        <f t="shared" si="0"/>
        <v>93808</v>
      </c>
      <c r="N26" s="165">
        <f t="shared" si="1"/>
        <v>93808</v>
      </c>
    </row>
    <row r="27" spans="1:14" ht="14.25">
      <c r="A27" s="197"/>
      <c r="B27" s="198" t="s">
        <v>646</v>
      </c>
      <c r="C27" s="199"/>
      <c r="D27" s="200">
        <f>799635+668682</f>
        <v>1468317</v>
      </c>
      <c r="E27" s="201">
        <f>3016489</f>
        <v>3016489</v>
      </c>
      <c r="F27" s="202">
        <f>3012099+4390</f>
        <v>3016489</v>
      </c>
      <c r="G27" s="159"/>
      <c r="H27" s="161"/>
      <c r="I27" s="160"/>
      <c r="J27" s="159"/>
      <c r="K27" s="162"/>
      <c r="L27" s="163">
        <f t="shared" si="0"/>
        <v>1468317</v>
      </c>
      <c r="M27" s="164">
        <f t="shared" si="0"/>
        <v>3016489</v>
      </c>
      <c r="N27" s="165">
        <f t="shared" si="1"/>
        <v>3016489</v>
      </c>
    </row>
    <row r="28" spans="1:14" ht="15">
      <c r="A28" s="188">
        <v>17</v>
      </c>
      <c r="B28" s="203" t="s">
        <v>647</v>
      </c>
      <c r="C28" s="204" t="s">
        <v>618</v>
      </c>
      <c r="D28" s="205">
        <f>D24+D26+D25+D27</f>
        <v>44525013</v>
      </c>
      <c r="E28" s="206">
        <f>E24+E26+E25+E27</f>
        <v>45815897</v>
      </c>
      <c r="F28" s="207">
        <f>F24+F26+F25+F27</f>
        <v>45815897</v>
      </c>
      <c r="G28" s="205">
        <f>G24+G26+G25+G27</f>
        <v>980000</v>
      </c>
      <c r="H28" s="206">
        <f>H24+H26+H25+H27</f>
        <v>980000</v>
      </c>
      <c r="I28" s="207">
        <f>I24+I26+I25+I27</f>
        <v>980000</v>
      </c>
      <c r="J28" s="205">
        <f>J24+J26+J25+J27</f>
        <v>0</v>
      </c>
      <c r="K28" s="208">
        <f>K24+K26+K25+K27</f>
        <v>0</v>
      </c>
      <c r="L28" s="205">
        <f t="shared" si="0"/>
        <v>45505013</v>
      </c>
      <c r="M28" s="206">
        <f aca="true" t="shared" si="3" ref="M28:N31">+E28+H28+J28</f>
        <v>46795897</v>
      </c>
      <c r="N28" s="207">
        <f t="shared" si="3"/>
        <v>46795897</v>
      </c>
    </row>
    <row r="29" spans="1:14" ht="15">
      <c r="A29" s="209">
        <v>18</v>
      </c>
      <c r="B29" s="203" t="s">
        <v>648</v>
      </c>
      <c r="C29" s="204" t="s">
        <v>649</v>
      </c>
      <c r="D29" s="205">
        <f>+D28+D23</f>
        <v>49954747</v>
      </c>
      <c r="E29" s="206">
        <f>+E28+E23</f>
        <v>51245631</v>
      </c>
      <c r="F29" s="207">
        <f>+F28+F23</f>
        <v>51245631</v>
      </c>
      <c r="G29" s="205">
        <f>+G28+G23</f>
        <v>1011881</v>
      </c>
      <c r="H29" s="206">
        <f>+H28+H23</f>
        <v>1011881</v>
      </c>
      <c r="I29" s="207">
        <f>+I28+I23</f>
        <v>1011881</v>
      </c>
      <c r="J29" s="205">
        <f>+J28+J23</f>
        <v>0</v>
      </c>
      <c r="K29" s="208">
        <f>+K28+K23</f>
        <v>0</v>
      </c>
      <c r="L29" s="210">
        <f t="shared" si="0"/>
        <v>50966628</v>
      </c>
      <c r="M29" s="211">
        <f t="shared" si="3"/>
        <v>52257512</v>
      </c>
      <c r="N29" s="212">
        <f t="shared" si="3"/>
        <v>52257512</v>
      </c>
    </row>
    <row r="30" spans="1:14" ht="16.5" thickBot="1">
      <c r="A30" s="175">
        <v>19</v>
      </c>
      <c r="B30" s="176" t="s">
        <v>650</v>
      </c>
      <c r="C30" s="177" t="s">
        <v>651</v>
      </c>
      <c r="D30" s="178">
        <f>D29</f>
        <v>49954747</v>
      </c>
      <c r="E30" s="179">
        <f>E29</f>
        <v>51245631</v>
      </c>
      <c r="F30" s="180">
        <f aca="true" t="shared" si="4" ref="F30:K30">F29</f>
        <v>51245631</v>
      </c>
      <c r="G30" s="178">
        <f t="shared" si="4"/>
        <v>1011881</v>
      </c>
      <c r="H30" s="179">
        <f t="shared" si="4"/>
        <v>1011881</v>
      </c>
      <c r="I30" s="180">
        <f t="shared" si="4"/>
        <v>1011881</v>
      </c>
      <c r="J30" s="178">
        <f t="shared" si="4"/>
        <v>0</v>
      </c>
      <c r="K30" s="181">
        <f t="shared" si="4"/>
        <v>0</v>
      </c>
      <c r="L30" s="182">
        <f t="shared" si="0"/>
        <v>50966628</v>
      </c>
      <c r="M30" s="183">
        <f t="shared" si="3"/>
        <v>52257512</v>
      </c>
      <c r="N30" s="184">
        <f t="shared" si="3"/>
        <v>52257512</v>
      </c>
    </row>
    <row r="31" spans="1:14" ht="36.75" thickBot="1">
      <c r="A31" s="213">
        <v>20</v>
      </c>
      <c r="B31" s="214" t="s">
        <v>652</v>
      </c>
      <c r="C31" s="215" t="s">
        <v>653</v>
      </c>
      <c r="D31" s="216">
        <f>D30+D21</f>
        <v>50826555</v>
      </c>
      <c r="E31" s="217">
        <f>E30+E21</f>
        <v>52121040</v>
      </c>
      <c r="F31" s="218">
        <f>F30+F21</f>
        <v>52121040</v>
      </c>
      <c r="G31" s="216">
        <f>G30+G21</f>
        <v>1011881</v>
      </c>
      <c r="H31" s="217">
        <f>H30+H21</f>
        <v>1866124</v>
      </c>
      <c r="I31" s="218">
        <f>I30+I21</f>
        <v>1866124</v>
      </c>
      <c r="J31" s="216">
        <f>J30+J21</f>
        <v>3420871</v>
      </c>
      <c r="K31" s="219">
        <f>K30+K21</f>
        <v>3420871</v>
      </c>
      <c r="L31" s="220">
        <f t="shared" si="0"/>
        <v>51838436</v>
      </c>
      <c r="M31" s="221">
        <f t="shared" si="3"/>
        <v>57408035</v>
      </c>
      <c r="N31" s="222">
        <f t="shared" si="3"/>
        <v>57408035</v>
      </c>
    </row>
    <row r="32" spans="1:14" ht="15" thickBot="1">
      <c r="A32" s="223"/>
      <c r="B32" s="224"/>
      <c r="C32" s="224"/>
      <c r="D32" s="225"/>
      <c r="E32" s="225"/>
      <c r="F32" s="225"/>
      <c r="G32" s="225"/>
      <c r="H32" s="225"/>
      <c r="I32" s="225"/>
      <c r="J32" s="225"/>
      <c r="K32" s="225"/>
      <c r="L32" s="226"/>
      <c r="M32" s="227"/>
      <c r="N32" s="227"/>
    </row>
    <row r="33" spans="1:14" ht="15" thickTop="1">
      <c r="A33" s="228">
        <v>1</v>
      </c>
      <c r="B33" s="229" t="s">
        <v>272</v>
      </c>
      <c r="C33" s="230" t="s">
        <v>654</v>
      </c>
      <c r="D33" s="231">
        <f>27020604-118122*8+451495/1.195</f>
        <v>26453448.083682008</v>
      </c>
      <c r="E33" s="232">
        <v>25743615</v>
      </c>
      <c r="F33" s="233">
        <v>25743615</v>
      </c>
      <c r="G33" s="231">
        <v>0</v>
      </c>
      <c r="H33" s="234">
        <v>0</v>
      </c>
      <c r="I33" s="235"/>
      <c r="J33" s="231"/>
      <c r="K33" s="236"/>
      <c r="L33" s="237">
        <f>+D33+G33</f>
        <v>26453448.083682008</v>
      </c>
      <c r="M33" s="238">
        <f>+E33+H33+J33</f>
        <v>25743615</v>
      </c>
      <c r="N33" s="239">
        <f>+F33+I33+K33</f>
        <v>25743615</v>
      </c>
    </row>
    <row r="34" spans="1:14" ht="14.25">
      <c r="A34" s="240">
        <v>2</v>
      </c>
      <c r="B34" s="241" t="s">
        <v>754</v>
      </c>
      <c r="C34" s="242" t="s">
        <v>655</v>
      </c>
      <c r="D34" s="243">
        <f>118122*8</f>
        <v>944976</v>
      </c>
      <c r="E34" s="244">
        <f>118122*8</f>
        <v>944976</v>
      </c>
      <c r="F34" s="245">
        <f>944976</f>
        <v>944976</v>
      </c>
      <c r="G34" s="246">
        <v>0</v>
      </c>
      <c r="H34" s="247">
        <v>0</v>
      </c>
      <c r="I34" s="248"/>
      <c r="J34" s="243"/>
      <c r="K34" s="249"/>
      <c r="L34" s="349">
        <f>+D34+D35+G35</f>
        <v>1895326</v>
      </c>
      <c r="M34" s="351">
        <f>+E34+E35+H35+J35</f>
        <v>2591616.969924812</v>
      </c>
      <c r="N34" s="352">
        <f>+F34+F35+I35+K35</f>
        <v>2591617</v>
      </c>
    </row>
    <row r="35" spans="1:14" ht="14.25">
      <c r="A35" s="250">
        <v>3</v>
      </c>
      <c r="B35" s="241" t="s">
        <v>753</v>
      </c>
      <c r="C35" s="242" t="s">
        <v>655</v>
      </c>
      <c r="D35" s="243">
        <v>930200</v>
      </c>
      <c r="E35" s="251">
        <v>1157241</v>
      </c>
      <c r="F35" s="245">
        <f>1146561+10680</f>
        <v>1157241</v>
      </c>
      <c r="G35" s="246">
        <v>20150</v>
      </c>
      <c r="H35" s="252">
        <f>20150+50000/0.665+254061+1</f>
        <v>349399.96992481203</v>
      </c>
      <c r="I35" s="248">
        <v>349400</v>
      </c>
      <c r="J35" s="252">
        <v>140000</v>
      </c>
      <c r="K35" s="249">
        <v>140000</v>
      </c>
      <c r="L35" s="350"/>
      <c r="M35" s="353">
        <f aca="true" t="shared" si="5" ref="M34:N96">+E35+H35+J35</f>
        <v>1646640.969924812</v>
      </c>
      <c r="N35" s="354">
        <f t="shared" si="5"/>
        <v>1646641</v>
      </c>
    </row>
    <row r="36" spans="1:14" ht="14.25">
      <c r="A36" s="250">
        <v>4</v>
      </c>
      <c r="B36" s="241" t="s">
        <v>656</v>
      </c>
      <c r="C36" s="242" t="s">
        <v>657</v>
      </c>
      <c r="D36" s="243">
        <v>0</v>
      </c>
      <c r="E36" s="244">
        <v>0</v>
      </c>
      <c r="F36" s="245">
        <v>0</v>
      </c>
      <c r="G36" s="246">
        <v>0</v>
      </c>
      <c r="H36" s="247">
        <v>0</v>
      </c>
      <c r="I36" s="248"/>
      <c r="J36" s="243"/>
      <c r="K36" s="249"/>
      <c r="L36" s="243">
        <f aca="true" t="shared" si="6" ref="L34:L95">+D36+G36</f>
        <v>0</v>
      </c>
      <c r="M36" s="244">
        <f t="shared" si="5"/>
        <v>0</v>
      </c>
      <c r="N36" s="249">
        <f t="shared" si="5"/>
        <v>0</v>
      </c>
    </row>
    <row r="37" spans="1:14" ht="14.25">
      <c r="A37" s="240">
        <v>5</v>
      </c>
      <c r="B37" s="241" t="s">
        <v>276</v>
      </c>
      <c r="C37" s="242" t="s">
        <v>658</v>
      </c>
      <c r="D37" s="243">
        <v>1188800</v>
      </c>
      <c r="E37" s="251">
        <v>1198556</v>
      </c>
      <c r="F37" s="245">
        <v>1198556</v>
      </c>
      <c r="G37" s="246">
        <v>0</v>
      </c>
      <c r="H37" s="247">
        <v>0</v>
      </c>
      <c r="I37" s="248"/>
      <c r="J37" s="243"/>
      <c r="K37" s="249"/>
      <c r="L37" s="243">
        <f t="shared" si="6"/>
        <v>1188800</v>
      </c>
      <c r="M37" s="244">
        <f t="shared" si="5"/>
        <v>1198556</v>
      </c>
      <c r="N37" s="249">
        <f t="shared" si="5"/>
        <v>1198556</v>
      </c>
    </row>
    <row r="38" spans="1:14" ht="14.25">
      <c r="A38" s="240">
        <v>6</v>
      </c>
      <c r="B38" s="241" t="s">
        <v>659</v>
      </c>
      <c r="C38" s="242" t="s">
        <v>660</v>
      </c>
      <c r="D38" s="243">
        <v>698868</v>
      </c>
      <c r="E38" s="251">
        <v>602529</v>
      </c>
      <c r="F38" s="245">
        <v>602529</v>
      </c>
      <c r="G38" s="246">
        <v>0</v>
      </c>
      <c r="H38" s="247">
        <v>0</v>
      </c>
      <c r="I38" s="248"/>
      <c r="J38" s="252">
        <f>5588+86866</f>
        <v>92454</v>
      </c>
      <c r="K38" s="249">
        <f>5588+60428+26438</f>
        <v>92454</v>
      </c>
      <c r="L38" s="243">
        <f>+D38+G38</f>
        <v>698868</v>
      </c>
      <c r="M38" s="244">
        <f t="shared" si="5"/>
        <v>694983</v>
      </c>
      <c r="N38" s="249">
        <f t="shared" si="5"/>
        <v>694983</v>
      </c>
    </row>
    <row r="39" spans="1:14" ht="14.25">
      <c r="A39" s="240">
        <v>7</v>
      </c>
      <c r="B39" s="241" t="s">
        <v>661</v>
      </c>
      <c r="C39" s="242" t="s">
        <v>662</v>
      </c>
      <c r="D39" s="243">
        <v>28985</v>
      </c>
      <c r="E39" s="251">
        <v>53185</v>
      </c>
      <c r="F39" s="245">
        <v>53185</v>
      </c>
      <c r="G39" s="246">
        <v>0</v>
      </c>
      <c r="H39" s="247">
        <v>0</v>
      </c>
      <c r="I39" s="248"/>
      <c r="J39" s="243"/>
      <c r="K39" s="249"/>
      <c r="L39" s="243">
        <f t="shared" si="6"/>
        <v>28985</v>
      </c>
      <c r="M39" s="244">
        <f t="shared" si="5"/>
        <v>53185</v>
      </c>
      <c r="N39" s="249">
        <f t="shared" si="5"/>
        <v>53185</v>
      </c>
    </row>
    <row r="40" spans="1:14" ht="14.25">
      <c r="A40" s="240">
        <v>8</v>
      </c>
      <c r="B40" s="241" t="s">
        <v>755</v>
      </c>
      <c r="C40" s="242" t="s">
        <v>663</v>
      </c>
      <c r="D40" s="243">
        <f>351096/1.195</f>
        <v>293804.1841004184</v>
      </c>
      <c r="E40" s="251">
        <v>1029299</v>
      </c>
      <c r="F40" s="245">
        <v>1029299</v>
      </c>
      <c r="G40" s="246">
        <v>0</v>
      </c>
      <c r="H40" s="247">
        <v>0</v>
      </c>
      <c r="I40" s="248"/>
      <c r="J40" s="252">
        <v>1065000</v>
      </c>
      <c r="K40" s="249">
        <f>410000+55000+495000+105000</f>
        <v>1065000</v>
      </c>
      <c r="L40" s="243">
        <f t="shared" si="6"/>
        <v>293804.1841004184</v>
      </c>
      <c r="M40" s="244">
        <f t="shared" si="5"/>
        <v>2094299</v>
      </c>
      <c r="N40" s="249">
        <f t="shared" si="5"/>
        <v>2094299</v>
      </c>
    </row>
    <row r="41" spans="1:14" ht="15">
      <c r="A41" s="253">
        <v>9</v>
      </c>
      <c r="B41" s="254" t="s">
        <v>664</v>
      </c>
      <c r="C41" s="255" t="s">
        <v>665</v>
      </c>
      <c r="D41" s="256">
        <f>SUM(D33:D40)</f>
        <v>30539081.267782427</v>
      </c>
      <c r="E41" s="257">
        <f>SUM(E33:E40)</f>
        <v>30729401</v>
      </c>
      <c r="F41" s="258">
        <f>SUM(F33:F40)</f>
        <v>30729401</v>
      </c>
      <c r="G41" s="256">
        <f>SUM(G33:G40)</f>
        <v>20150</v>
      </c>
      <c r="H41" s="257">
        <f>SUM(H33:H40)</f>
        <v>349399.96992481203</v>
      </c>
      <c r="I41" s="259">
        <f>SUM(I33:I40)</f>
        <v>349400</v>
      </c>
      <c r="J41" s="256">
        <f>SUM(J33:J40)</f>
        <v>1297454</v>
      </c>
      <c r="K41" s="259">
        <f>SUM(K33:K40)</f>
        <v>1297454</v>
      </c>
      <c r="L41" s="260">
        <f t="shared" si="6"/>
        <v>30559231.267782427</v>
      </c>
      <c r="M41" s="261">
        <f t="shared" si="5"/>
        <v>32376254.96992481</v>
      </c>
      <c r="N41" s="262">
        <f t="shared" si="5"/>
        <v>32376255</v>
      </c>
    </row>
    <row r="42" spans="1:14" ht="28.5">
      <c r="A42" s="240">
        <v>10</v>
      </c>
      <c r="B42" s="241" t="s">
        <v>666</v>
      </c>
      <c r="C42" s="242" t="s">
        <v>667</v>
      </c>
      <c r="D42" s="243">
        <v>0</v>
      </c>
      <c r="E42" s="244">
        <v>0</v>
      </c>
      <c r="F42" s="245">
        <v>0</v>
      </c>
      <c r="G42" s="246">
        <v>0</v>
      </c>
      <c r="H42" s="247">
        <v>0</v>
      </c>
      <c r="I42" s="248"/>
      <c r="J42" s="243"/>
      <c r="K42" s="249"/>
      <c r="L42" s="243">
        <f t="shared" si="6"/>
        <v>0</v>
      </c>
      <c r="M42" s="244">
        <f t="shared" si="5"/>
        <v>0</v>
      </c>
      <c r="N42" s="249">
        <f t="shared" si="5"/>
        <v>0</v>
      </c>
    </row>
    <row r="43" spans="1:14" ht="14.25">
      <c r="A43" s="240">
        <v>11</v>
      </c>
      <c r="B43" s="241" t="s">
        <v>668</v>
      </c>
      <c r="C43" s="242" t="s">
        <v>669</v>
      </c>
      <c r="D43" s="243">
        <v>0</v>
      </c>
      <c r="E43" s="244">
        <v>0</v>
      </c>
      <c r="F43" s="245">
        <v>0</v>
      </c>
      <c r="G43" s="246">
        <v>0</v>
      </c>
      <c r="H43" s="247">
        <v>0</v>
      </c>
      <c r="I43" s="248"/>
      <c r="J43" s="252">
        <v>1514792</v>
      </c>
      <c r="K43" s="249">
        <f>396728+182087+536912+399065</f>
        <v>1514792</v>
      </c>
      <c r="L43" s="243">
        <f t="shared" si="6"/>
        <v>0</v>
      </c>
      <c r="M43" s="244">
        <f t="shared" si="5"/>
        <v>1514792</v>
      </c>
      <c r="N43" s="249">
        <f t="shared" si="5"/>
        <v>1514792</v>
      </c>
    </row>
    <row r="44" spans="1:14" ht="15">
      <c r="A44" s="253">
        <v>12</v>
      </c>
      <c r="B44" s="254" t="s">
        <v>670</v>
      </c>
      <c r="C44" s="255" t="s">
        <v>671</v>
      </c>
      <c r="D44" s="256">
        <f>SUM(D42:D43)</f>
        <v>0</v>
      </c>
      <c r="E44" s="257">
        <f>SUM(E42:E43)</f>
        <v>0</v>
      </c>
      <c r="F44" s="258">
        <v>0</v>
      </c>
      <c r="G44" s="256">
        <f>SUM(G42:G43)</f>
        <v>0</v>
      </c>
      <c r="H44" s="263">
        <f>SUM(H42:H43)</f>
        <v>0</v>
      </c>
      <c r="I44" s="264"/>
      <c r="J44" s="256">
        <f>SUM(J42:J43)</f>
        <v>1514792</v>
      </c>
      <c r="K44" s="264">
        <f>SUM(K42:K43)</f>
        <v>1514792</v>
      </c>
      <c r="L44" s="243">
        <f t="shared" si="6"/>
        <v>0</v>
      </c>
      <c r="M44" s="244">
        <f t="shared" si="5"/>
        <v>1514792</v>
      </c>
      <c r="N44" s="249">
        <f t="shared" si="5"/>
        <v>1514792</v>
      </c>
    </row>
    <row r="45" spans="1:14" ht="15">
      <c r="A45" s="253">
        <v>13</v>
      </c>
      <c r="B45" s="254" t="s">
        <v>672</v>
      </c>
      <c r="C45" s="255" t="s">
        <v>673</v>
      </c>
      <c r="D45" s="265">
        <f>D44+D41</f>
        <v>30539081.267782427</v>
      </c>
      <c r="E45" s="266">
        <f>E44+E41</f>
        <v>30729401</v>
      </c>
      <c r="F45" s="267">
        <f>F44+F41</f>
        <v>30729401</v>
      </c>
      <c r="G45" s="265">
        <f>G44+G41</f>
        <v>20150</v>
      </c>
      <c r="H45" s="266">
        <f>H44+H41</f>
        <v>349399.96992481203</v>
      </c>
      <c r="I45" s="268">
        <f>I44+I41</f>
        <v>349400</v>
      </c>
      <c r="J45" s="265">
        <f>J44+J41</f>
        <v>2812246</v>
      </c>
      <c r="K45" s="268">
        <f>K44+K41</f>
        <v>2812246</v>
      </c>
      <c r="L45" s="269">
        <f>+D45+G45</f>
        <v>30559231.267782427</v>
      </c>
      <c r="M45" s="270">
        <f t="shared" si="5"/>
        <v>33891046.96992481</v>
      </c>
      <c r="N45" s="271">
        <f t="shared" si="5"/>
        <v>33891047</v>
      </c>
    </row>
    <row r="46" spans="1:14" ht="15">
      <c r="A46" s="253">
        <v>14</v>
      </c>
      <c r="B46" s="254" t="s">
        <v>674</v>
      </c>
      <c r="C46" s="255" t="s">
        <v>675</v>
      </c>
      <c r="D46" s="265">
        <f>SUM(D47:D50)</f>
        <v>5991509.512217574</v>
      </c>
      <c r="E46" s="266">
        <f>SUM(E47:E50)</f>
        <v>5762140.4</v>
      </c>
      <c r="F46" s="267">
        <f aca="true" t="shared" si="7" ref="F46:K46">SUM(F47:F50)</f>
        <v>5762141</v>
      </c>
      <c r="G46" s="265">
        <f t="shared" si="7"/>
        <v>11731</v>
      </c>
      <c r="H46" s="266">
        <f t="shared" si="7"/>
        <v>69349</v>
      </c>
      <c r="I46" s="268">
        <f t="shared" si="7"/>
        <v>69349</v>
      </c>
      <c r="J46" s="265">
        <f t="shared" si="7"/>
        <v>524818</v>
      </c>
      <c r="K46" s="268">
        <f t="shared" si="7"/>
        <v>524818</v>
      </c>
      <c r="L46" s="269">
        <f t="shared" si="6"/>
        <v>6003240.512217574</v>
      </c>
      <c r="M46" s="270">
        <f t="shared" si="5"/>
        <v>6356307.4</v>
      </c>
      <c r="N46" s="271">
        <f t="shared" si="5"/>
        <v>6356308</v>
      </c>
    </row>
    <row r="47" spans="1:14" ht="14.25">
      <c r="A47" s="240">
        <v>15</v>
      </c>
      <c r="B47" s="272" t="s">
        <v>676</v>
      </c>
      <c r="C47" s="273" t="s">
        <v>677</v>
      </c>
      <c r="D47" s="274">
        <f>(D33+D34+D35+D37+D40)*0.195</f>
        <v>5813189.512217574</v>
      </c>
      <c r="E47" s="275">
        <v>5582357</v>
      </c>
      <c r="F47" s="276">
        <v>5582357</v>
      </c>
      <c r="G47" s="246">
        <v>11731</v>
      </c>
      <c r="H47" s="277">
        <v>69349</v>
      </c>
      <c r="I47" s="248">
        <v>69349</v>
      </c>
      <c r="J47" s="252">
        <v>494409</v>
      </c>
      <c r="K47" s="249">
        <f>155805+43778+205671+89155</f>
        <v>494409</v>
      </c>
      <c r="L47" s="274">
        <f t="shared" si="6"/>
        <v>5824920.512217574</v>
      </c>
      <c r="M47" s="278">
        <f t="shared" si="5"/>
        <v>6146115</v>
      </c>
      <c r="N47" s="279">
        <f t="shared" si="5"/>
        <v>6146115</v>
      </c>
    </row>
    <row r="48" spans="1:14" ht="14.25">
      <c r="A48" s="240">
        <v>16</v>
      </c>
      <c r="B48" s="272" t="s">
        <v>678</v>
      </c>
      <c r="C48" s="273" t="s">
        <v>679</v>
      </c>
      <c r="D48" s="274">
        <v>0</v>
      </c>
      <c r="E48" s="278">
        <v>0</v>
      </c>
      <c r="F48" s="276">
        <v>0</v>
      </c>
      <c r="G48" s="246">
        <v>0</v>
      </c>
      <c r="H48" s="247">
        <v>0</v>
      </c>
      <c r="I48" s="248"/>
      <c r="J48" s="243"/>
      <c r="K48" s="249"/>
      <c r="L48" s="274">
        <f t="shared" si="6"/>
        <v>0</v>
      </c>
      <c r="M48" s="278">
        <f t="shared" si="5"/>
        <v>0</v>
      </c>
      <c r="N48" s="279">
        <f t="shared" si="5"/>
        <v>0</v>
      </c>
    </row>
    <row r="49" spans="1:14" ht="14.25">
      <c r="A49" s="240">
        <v>17</v>
      </c>
      <c r="B49" s="272" t="s">
        <v>680</v>
      </c>
      <c r="C49" s="273" t="s">
        <v>681</v>
      </c>
      <c r="D49" s="274">
        <v>0</v>
      </c>
      <c r="E49" s="278">
        <v>0</v>
      </c>
      <c r="F49" s="276">
        <v>0</v>
      </c>
      <c r="G49" s="246">
        <v>0</v>
      </c>
      <c r="H49" s="247">
        <v>0</v>
      </c>
      <c r="I49" s="248"/>
      <c r="J49" s="243"/>
      <c r="K49" s="249"/>
      <c r="L49" s="274">
        <f t="shared" si="6"/>
        <v>0</v>
      </c>
      <c r="M49" s="278">
        <f t="shared" si="5"/>
        <v>0</v>
      </c>
      <c r="N49" s="279">
        <f t="shared" si="5"/>
        <v>0</v>
      </c>
    </row>
    <row r="50" spans="1:14" ht="14.25">
      <c r="A50" s="240">
        <v>18</v>
      </c>
      <c r="B50" s="272" t="s">
        <v>682</v>
      </c>
      <c r="C50" s="273" t="s">
        <v>683</v>
      </c>
      <c r="D50" s="274">
        <f>D37*0.15</f>
        <v>178320</v>
      </c>
      <c r="E50" s="275">
        <f>E37*0.15</f>
        <v>179783.4</v>
      </c>
      <c r="F50" s="276">
        <v>179784</v>
      </c>
      <c r="G50" s="246">
        <v>0</v>
      </c>
      <c r="H50" s="247">
        <v>0</v>
      </c>
      <c r="I50" s="248"/>
      <c r="J50" s="252">
        <v>30409</v>
      </c>
      <c r="K50" s="249">
        <f>11998+10917+7494</f>
        <v>30409</v>
      </c>
      <c r="L50" s="274">
        <f t="shared" si="6"/>
        <v>178320</v>
      </c>
      <c r="M50" s="278">
        <f t="shared" si="5"/>
        <v>210192.4</v>
      </c>
      <c r="N50" s="279">
        <f t="shared" si="5"/>
        <v>210193</v>
      </c>
    </row>
    <row r="51" spans="1:14" ht="15.75">
      <c r="A51" s="280">
        <v>19</v>
      </c>
      <c r="B51" s="281" t="s">
        <v>684</v>
      </c>
      <c r="C51" s="282" t="s">
        <v>685</v>
      </c>
      <c r="D51" s="283">
        <f>D45+D46</f>
        <v>36530590.78</v>
      </c>
      <c r="E51" s="284">
        <f>E45+E46</f>
        <v>36491541.4</v>
      </c>
      <c r="F51" s="285">
        <f aca="true" t="shared" si="8" ref="F51:K51">F45+F46</f>
        <v>36491542</v>
      </c>
      <c r="G51" s="283">
        <f t="shared" si="8"/>
        <v>31881</v>
      </c>
      <c r="H51" s="284">
        <f t="shared" si="8"/>
        <v>418748.96992481203</v>
      </c>
      <c r="I51" s="286">
        <f t="shared" si="8"/>
        <v>418749</v>
      </c>
      <c r="J51" s="283">
        <f t="shared" si="8"/>
        <v>3337064</v>
      </c>
      <c r="K51" s="286">
        <f t="shared" si="8"/>
        <v>3337064</v>
      </c>
      <c r="L51" s="287">
        <f t="shared" si="6"/>
        <v>36562471.78</v>
      </c>
      <c r="M51" s="288">
        <f t="shared" si="5"/>
        <v>40247354.36992481</v>
      </c>
      <c r="N51" s="289">
        <f t="shared" si="5"/>
        <v>40247355</v>
      </c>
    </row>
    <row r="52" spans="1:14" ht="14.25">
      <c r="A52" s="240">
        <v>20</v>
      </c>
      <c r="B52" s="241" t="s">
        <v>686</v>
      </c>
      <c r="C52" s="242" t="s">
        <v>687</v>
      </c>
      <c r="D52" s="290">
        <v>222049</v>
      </c>
      <c r="E52" s="291">
        <v>89880</v>
      </c>
      <c r="F52" s="292">
        <v>89880</v>
      </c>
      <c r="G52" s="290">
        <f>SUM(G53:G54)</f>
        <v>0</v>
      </c>
      <c r="H52" s="252">
        <v>22400</v>
      </c>
      <c r="I52" s="293">
        <v>22400</v>
      </c>
      <c r="J52" s="290"/>
      <c r="K52" s="294"/>
      <c r="L52" s="243">
        <f t="shared" si="6"/>
        <v>222049</v>
      </c>
      <c r="M52" s="244">
        <f t="shared" si="5"/>
        <v>112280</v>
      </c>
      <c r="N52" s="249">
        <f t="shared" si="5"/>
        <v>112280</v>
      </c>
    </row>
    <row r="53" spans="1:14" ht="14.25">
      <c r="A53" s="240">
        <v>21</v>
      </c>
      <c r="B53" s="295" t="s">
        <v>688</v>
      </c>
      <c r="C53" s="296"/>
      <c r="D53" s="163"/>
      <c r="E53" s="164"/>
      <c r="F53" s="196"/>
      <c r="G53" s="163">
        <v>0</v>
      </c>
      <c r="H53" s="297">
        <v>0</v>
      </c>
      <c r="I53" s="298"/>
      <c r="J53" s="163"/>
      <c r="K53" s="165"/>
      <c r="L53" s="299">
        <f t="shared" si="6"/>
        <v>0</v>
      </c>
      <c r="M53" s="300">
        <f t="shared" si="5"/>
        <v>0</v>
      </c>
      <c r="N53" s="301">
        <f t="shared" si="5"/>
        <v>0</v>
      </c>
    </row>
    <row r="54" spans="1:14" ht="14.25">
      <c r="A54" s="240">
        <v>22</v>
      </c>
      <c r="B54" s="302" t="s">
        <v>689</v>
      </c>
      <c r="C54" s="303"/>
      <c r="D54" s="163"/>
      <c r="E54" s="164"/>
      <c r="F54" s="196"/>
      <c r="G54" s="163">
        <v>0</v>
      </c>
      <c r="H54" s="164">
        <v>0</v>
      </c>
      <c r="I54" s="298"/>
      <c r="J54" s="163"/>
      <c r="K54" s="165"/>
      <c r="L54" s="274">
        <f t="shared" si="6"/>
        <v>0</v>
      </c>
      <c r="M54" s="278">
        <f t="shared" si="5"/>
        <v>0</v>
      </c>
      <c r="N54" s="279">
        <f t="shared" si="5"/>
        <v>0</v>
      </c>
    </row>
    <row r="55" spans="1:14" ht="14.25">
      <c r="A55" s="240">
        <v>23</v>
      </c>
      <c r="B55" s="241" t="s">
        <v>690</v>
      </c>
      <c r="C55" s="242" t="s">
        <v>691</v>
      </c>
      <c r="D55" s="290">
        <v>959506</v>
      </c>
      <c r="E55" s="291">
        <v>1227092</v>
      </c>
      <c r="F55" s="292">
        <v>1227092</v>
      </c>
      <c r="G55" s="290">
        <f>G56</f>
        <v>60000</v>
      </c>
      <c r="H55" s="291">
        <f>H56</f>
        <v>0</v>
      </c>
      <c r="I55" s="294">
        <f>I56</f>
        <v>0</v>
      </c>
      <c r="J55" s="290">
        <v>468</v>
      </c>
      <c r="K55" s="294">
        <v>468</v>
      </c>
      <c r="L55" s="243">
        <f t="shared" si="6"/>
        <v>1019506</v>
      </c>
      <c r="M55" s="244">
        <f t="shared" si="5"/>
        <v>1227560</v>
      </c>
      <c r="N55" s="249">
        <f t="shared" si="5"/>
        <v>1227560</v>
      </c>
    </row>
    <row r="56" spans="1:14" ht="14.25">
      <c r="A56" s="240">
        <v>24</v>
      </c>
      <c r="B56" s="295" t="s">
        <v>692</v>
      </c>
      <c r="C56" s="296"/>
      <c r="D56" s="163"/>
      <c r="E56" s="164"/>
      <c r="F56" s="196"/>
      <c r="G56" s="163">
        <v>60000</v>
      </c>
      <c r="H56" s="164">
        <v>0</v>
      </c>
      <c r="I56" s="298"/>
      <c r="J56" s="163"/>
      <c r="K56" s="165"/>
      <c r="L56" s="274">
        <f t="shared" si="6"/>
        <v>60000</v>
      </c>
      <c r="M56" s="278">
        <f t="shared" si="5"/>
        <v>0</v>
      </c>
      <c r="N56" s="279">
        <f t="shared" si="5"/>
        <v>0</v>
      </c>
    </row>
    <row r="57" spans="1:14" ht="14.25">
      <c r="A57" s="240">
        <v>25</v>
      </c>
      <c r="B57" s="295" t="s">
        <v>693</v>
      </c>
      <c r="C57" s="296"/>
      <c r="D57" s="163"/>
      <c r="E57" s="164"/>
      <c r="F57" s="196"/>
      <c r="G57" s="163"/>
      <c r="H57" s="164"/>
      <c r="I57" s="298"/>
      <c r="J57" s="163"/>
      <c r="K57" s="165"/>
      <c r="L57" s="299">
        <f t="shared" si="6"/>
        <v>0</v>
      </c>
      <c r="M57" s="300">
        <f t="shared" si="5"/>
        <v>0</v>
      </c>
      <c r="N57" s="301">
        <f t="shared" si="5"/>
        <v>0</v>
      </c>
    </row>
    <row r="58" spans="1:14" ht="14.25">
      <c r="A58" s="240">
        <v>26</v>
      </c>
      <c r="B58" s="295" t="s">
        <v>694</v>
      </c>
      <c r="C58" s="296"/>
      <c r="D58" s="163"/>
      <c r="E58" s="164"/>
      <c r="F58" s="196"/>
      <c r="G58" s="163"/>
      <c r="H58" s="164"/>
      <c r="I58" s="298"/>
      <c r="J58" s="163"/>
      <c r="K58" s="165"/>
      <c r="L58" s="274">
        <f t="shared" si="6"/>
        <v>0</v>
      </c>
      <c r="M58" s="278">
        <f t="shared" si="5"/>
        <v>0</v>
      </c>
      <c r="N58" s="279">
        <f t="shared" si="5"/>
        <v>0</v>
      </c>
    </row>
    <row r="59" spans="1:14" ht="14.25">
      <c r="A59" s="240">
        <v>27</v>
      </c>
      <c r="B59" s="295" t="s">
        <v>695</v>
      </c>
      <c r="C59" s="296"/>
      <c r="D59" s="163"/>
      <c r="E59" s="164"/>
      <c r="F59" s="196"/>
      <c r="G59" s="163"/>
      <c r="H59" s="164"/>
      <c r="I59" s="298"/>
      <c r="J59" s="163"/>
      <c r="K59" s="165"/>
      <c r="L59" s="274">
        <f t="shared" si="6"/>
        <v>0</v>
      </c>
      <c r="M59" s="278">
        <f t="shared" si="5"/>
        <v>0</v>
      </c>
      <c r="N59" s="279">
        <f t="shared" si="5"/>
        <v>0</v>
      </c>
    </row>
    <row r="60" spans="1:14" ht="15">
      <c r="A60" s="253">
        <v>28</v>
      </c>
      <c r="B60" s="254" t="s">
        <v>696</v>
      </c>
      <c r="C60" s="255" t="s">
        <v>697</v>
      </c>
      <c r="D60" s="256">
        <f>D55+D52</f>
        <v>1181555</v>
      </c>
      <c r="E60" s="257">
        <f>E55+E52</f>
        <v>1316972</v>
      </c>
      <c r="F60" s="258">
        <f aca="true" t="shared" si="9" ref="F60:K60">F55+F52</f>
        <v>1316972</v>
      </c>
      <c r="G60" s="256">
        <f t="shared" si="9"/>
        <v>60000</v>
      </c>
      <c r="H60" s="257">
        <f t="shared" si="9"/>
        <v>22400</v>
      </c>
      <c r="I60" s="259">
        <f t="shared" si="9"/>
        <v>22400</v>
      </c>
      <c r="J60" s="256">
        <f t="shared" si="9"/>
        <v>468</v>
      </c>
      <c r="K60" s="259">
        <f t="shared" si="9"/>
        <v>468</v>
      </c>
      <c r="L60" s="260">
        <f t="shared" si="6"/>
        <v>1241555</v>
      </c>
      <c r="M60" s="261">
        <f t="shared" si="5"/>
        <v>1339840</v>
      </c>
      <c r="N60" s="262">
        <f t="shared" si="5"/>
        <v>1339840</v>
      </c>
    </row>
    <row r="61" spans="1:14" ht="14.25">
      <c r="A61" s="240">
        <v>29</v>
      </c>
      <c r="B61" s="241" t="s">
        <v>698</v>
      </c>
      <c r="C61" s="242" t="s">
        <v>699</v>
      </c>
      <c r="D61" s="290">
        <v>988100</v>
      </c>
      <c r="E61" s="291">
        <v>602439</v>
      </c>
      <c r="F61" s="292">
        <v>602439</v>
      </c>
      <c r="G61" s="290">
        <v>102184</v>
      </c>
      <c r="H61" s="304">
        <v>78000</v>
      </c>
      <c r="I61" s="293">
        <v>78000</v>
      </c>
      <c r="J61" s="290"/>
      <c r="K61" s="294"/>
      <c r="L61" s="243">
        <f t="shared" si="6"/>
        <v>1090284</v>
      </c>
      <c r="M61" s="244">
        <f t="shared" si="5"/>
        <v>680439</v>
      </c>
      <c r="N61" s="249">
        <f t="shared" si="5"/>
        <v>680439</v>
      </c>
    </row>
    <row r="62" spans="1:14" ht="14.25">
      <c r="A62" s="305">
        <v>30</v>
      </c>
      <c r="B62" s="306" t="s">
        <v>700</v>
      </c>
      <c r="C62" s="273"/>
      <c r="D62" s="299"/>
      <c r="E62" s="300"/>
      <c r="F62" s="307"/>
      <c r="G62" s="299"/>
      <c r="H62" s="308"/>
      <c r="I62" s="309"/>
      <c r="J62" s="299"/>
      <c r="K62" s="301"/>
      <c r="L62" s="299">
        <f t="shared" si="6"/>
        <v>0</v>
      </c>
      <c r="M62" s="300">
        <f t="shared" si="5"/>
        <v>0</v>
      </c>
      <c r="N62" s="301">
        <f t="shared" si="5"/>
        <v>0</v>
      </c>
    </row>
    <row r="63" spans="1:14" ht="14.25">
      <c r="A63" s="305">
        <v>31</v>
      </c>
      <c r="B63" s="306" t="s">
        <v>701</v>
      </c>
      <c r="C63" s="273"/>
      <c r="D63" s="299"/>
      <c r="E63" s="300"/>
      <c r="F63" s="307"/>
      <c r="G63" s="299"/>
      <c r="H63" s="308"/>
      <c r="I63" s="309"/>
      <c r="J63" s="299"/>
      <c r="K63" s="301"/>
      <c r="L63" s="299">
        <f t="shared" si="6"/>
        <v>0</v>
      </c>
      <c r="M63" s="300">
        <f t="shared" si="5"/>
        <v>0</v>
      </c>
      <c r="N63" s="301">
        <f t="shared" si="5"/>
        <v>0</v>
      </c>
    </row>
    <row r="64" spans="1:14" ht="14.25">
      <c r="A64" s="305">
        <v>32</v>
      </c>
      <c r="B64" s="306" t="s">
        <v>702</v>
      </c>
      <c r="C64" s="273"/>
      <c r="D64" s="299"/>
      <c r="E64" s="300"/>
      <c r="F64" s="307"/>
      <c r="G64" s="299"/>
      <c r="H64" s="308"/>
      <c r="I64" s="309"/>
      <c r="J64" s="299"/>
      <c r="K64" s="301"/>
      <c r="L64" s="299">
        <f t="shared" si="6"/>
        <v>0</v>
      </c>
      <c r="M64" s="300">
        <f t="shared" si="5"/>
        <v>0</v>
      </c>
      <c r="N64" s="301">
        <f t="shared" si="5"/>
        <v>0</v>
      </c>
    </row>
    <row r="65" spans="1:14" ht="14.25">
      <c r="A65" s="305">
        <v>33</v>
      </c>
      <c r="B65" s="306" t="s">
        <v>703</v>
      </c>
      <c r="C65" s="273"/>
      <c r="D65" s="299"/>
      <c r="E65" s="300"/>
      <c r="F65" s="307"/>
      <c r="G65" s="299"/>
      <c r="H65" s="308"/>
      <c r="I65" s="309"/>
      <c r="J65" s="299"/>
      <c r="K65" s="301"/>
      <c r="L65" s="299">
        <f t="shared" si="6"/>
        <v>0</v>
      </c>
      <c r="M65" s="300">
        <f t="shared" si="5"/>
        <v>0</v>
      </c>
      <c r="N65" s="301">
        <f t="shared" si="5"/>
        <v>0</v>
      </c>
    </row>
    <row r="66" spans="1:14" ht="14.25">
      <c r="A66" s="240">
        <v>34</v>
      </c>
      <c r="B66" s="241" t="s">
        <v>704</v>
      </c>
      <c r="C66" s="242" t="s">
        <v>705</v>
      </c>
      <c r="D66" s="290">
        <v>113779</v>
      </c>
      <c r="E66" s="291">
        <v>130049</v>
      </c>
      <c r="F66" s="292">
        <v>130049</v>
      </c>
      <c r="G66" s="290">
        <v>81493</v>
      </c>
      <c r="H66" s="304">
        <v>62337</v>
      </c>
      <c r="I66" s="293">
        <v>62337</v>
      </c>
      <c r="J66" s="290"/>
      <c r="K66" s="294"/>
      <c r="L66" s="243">
        <f t="shared" si="6"/>
        <v>195272</v>
      </c>
      <c r="M66" s="244">
        <f t="shared" si="5"/>
        <v>192386</v>
      </c>
      <c r="N66" s="249">
        <f t="shared" si="5"/>
        <v>192386</v>
      </c>
    </row>
    <row r="67" spans="1:14" ht="14.25">
      <c r="A67" s="240">
        <v>35</v>
      </c>
      <c r="B67" s="306" t="s">
        <v>706</v>
      </c>
      <c r="C67" s="273"/>
      <c r="D67" s="299"/>
      <c r="E67" s="300"/>
      <c r="F67" s="307"/>
      <c r="G67" s="299"/>
      <c r="H67" s="308"/>
      <c r="I67" s="309"/>
      <c r="J67" s="299"/>
      <c r="K67" s="301"/>
      <c r="L67" s="299">
        <f t="shared" si="6"/>
        <v>0</v>
      </c>
      <c r="M67" s="300">
        <f t="shared" si="5"/>
        <v>0</v>
      </c>
      <c r="N67" s="301">
        <f t="shared" si="5"/>
        <v>0</v>
      </c>
    </row>
    <row r="68" spans="1:14" ht="15">
      <c r="A68" s="253">
        <v>36</v>
      </c>
      <c r="B68" s="254" t="s">
        <v>707</v>
      </c>
      <c r="C68" s="255" t="s">
        <v>708</v>
      </c>
      <c r="D68" s="256">
        <f>D61+D66</f>
        <v>1101879</v>
      </c>
      <c r="E68" s="257">
        <f>E61+E66</f>
        <v>732488</v>
      </c>
      <c r="F68" s="258">
        <f aca="true" t="shared" si="10" ref="F68:K68">F61+F66</f>
        <v>732488</v>
      </c>
      <c r="G68" s="256">
        <f t="shared" si="10"/>
        <v>183677</v>
      </c>
      <c r="H68" s="257">
        <f t="shared" si="10"/>
        <v>140337</v>
      </c>
      <c r="I68" s="259">
        <f t="shared" si="10"/>
        <v>140337</v>
      </c>
      <c r="J68" s="256">
        <f t="shared" si="10"/>
        <v>0</v>
      </c>
      <c r="K68" s="259">
        <f t="shared" si="10"/>
        <v>0</v>
      </c>
      <c r="L68" s="260">
        <f t="shared" si="6"/>
        <v>1285556</v>
      </c>
      <c r="M68" s="261">
        <f t="shared" si="5"/>
        <v>872825</v>
      </c>
      <c r="N68" s="262">
        <f t="shared" si="5"/>
        <v>872825</v>
      </c>
    </row>
    <row r="69" spans="1:14" ht="14.25">
      <c r="A69" s="240">
        <v>37</v>
      </c>
      <c r="B69" s="241" t="s">
        <v>709</v>
      </c>
      <c r="C69" s="242" t="s">
        <v>710</v>
      </c>
      <c r="D69" s="290">
        <v>369371</v>
      </c>
      <c r="E69" s="291">
        <v>122850</v>
      </c>
      <c r="F69" s="292">
        <f>118314+4197+339</f>
        <v>122850</v>
      </c>
      <c r="G69" s="290">
        <f>539961-135973</f>
        <v>403988</v>
      </c>
      <c r="H69" s="310">
        <v>419151</v>
      </c>
      <c r="I69" s="293">
        <v>419151</v>
      </c>
      <c r="J69" s="290"/>
      <c r="K69" s="294"/>
      <c r="L69" s="243">
        <f t="shared" si="6"/>
        <v>773359</v>
      </c>
      <c r="M69" s="244">
        <f t="shared" si="5"/>
        <v>542001</v>
      </c>
      <c r="N69" s="249">
        <f t="shared" si="5"/>
        <v>542001</v>
      </c>
    </row>
    <row r="70" spans="1:14" ht="14.25">
      <c r="A70" s="240">
        <v>38</v>
      </c>
      <c r="B70" s="306" t="s">
        <v>711</v>
      </c>
      <c r="C70" s="296"/>
      <c r="D70" s="299"/>
      <c r="E70" s="300"/>
      <c r="F70" s="307"/>
      <c r="G70" s="299"/>
      <c r="H70" s="308"/>
      <c r="I70" s="309"/>
      <c r="J70" s="299"/>
      <c r="K70" s="301"/>
      <c r="L70" s="299">
        <f t="shared" si="6"/>
        <v>0</v>
      </c>
      <c r="M70" s="300">
        <f t="shared" si="5"/>
        <v>0</v>
      </c>
      <c r="N70" s="301">
        <f t="shared" si="5"/>
        <v>0</v>
      </c>
    </row>
    <row r="71" spans="1:14" ht="14.25">
      <c r="A71" s="240">
        <v>39</v>
      </c>
      <c r="B71" s="306" t="s">
        <v>712</v>
      </c>
      <c r="C71" s="296"/>
      <c r="D71" s="299"/>
      <c r="E71" s="300"/>
      <c r="F71" s="307"/>
      <c r="G71" s="299"/>
      <c r="H71" s="308"/>
      <c r="I71" s="309"/>
      <c r="J71" s="299"/>
      <c r="K71" s="301"/>
      <c r="L71" s="299">
        <f t="shared" si="6"/>
        <v>0</v>
      </c>
      <c r="M71" s="300">
        <f t="shared" si="5"/>
        <v>0</v>
      </c>
      <c r="N71" s="301">
        <f t="shared" si="5"/>
        <v>0</v>
      </c>
    </row>
    <row r="72" spans="1:14" ht="14.25">
      <c r="A72" s="240">
        <v>40</v>
      </c>
      <c r="B72" s="306" t="s">
        <v>713</v>
      </c>
      <c r="C72" s="296"/>
      <c r="D72" s="274"/>
      <c r="E72" s="278"/>
      <c r="F72" s="276"/>
      <c r="G72" s="274"/>
      <c r="H72" s="278"/>
      <c r="I72" s="311"/>
      <c r="J72" s="274"/>
      <c r="K72" s="279"/>
      <c r="L72" s="274">
        <f t="shared" si="6"/>
        <v>0</v>
      </c>
      <c r="M72" s="278">
        <f t="shared" si="5"/>
        <v>0</v>
      </c>
      <c r="N72" s="279">
        <f t="shared" si="5"/>
        <v>0</v>
      </c>
    </row>
    <row r="73" spans="1:14" ht="14.25">
      <c r="A73" s="240">
        <v>41</v>
      </c>
      <c r="B73" s="241" t="s">
        <v>714</v>
      </c>
      <c r="C73" s="312" t="s">
        <v>715</v>
      </c>
      <c r="D73" s="243">
        <v>500000</v>
      </c>
      <c r="E73" s="244">
        <v>0</v>
      </c>
      <c r="F73" s="245">
        <v>0</v>
      </c>
      <c r="G73" s="243">
        <v>0</v>
      </c>
      <c r="H73" s="244">
        <v>0</v>
      </c>
      <c r="I73" s="313">
        <v>0</v>
      </c>
      <c r="J73" s="243"/>
      <c r="K73" s="249"/>
      <c r="L73" s="243">
        <f t="shared" si="6"/>
        <v>500000</v>
      </c>
      <c r="M73" s="244">
        <f t="shared" si="5"/>
        <v>0</v>
      </c>
      <c r="N73" s="249">
        <f t="shared" si="5"/>
        <v>0</v>
      </c>
    </row>
    <row r="74" spans="1:14" ht="14.25">
      <c r="A74" s="240">
        <v>42</v>
      </c>
      <c r="B74" s="241" t="s">
        <v>716</v>
      </c>
      <c r="C74" s="242" t="s">
        <v>717</v>
      </c>
      <c r="D74" s="243">
        <v>566000</v>
      </c>
      <c r="E74" s="244">
        <v>616000</v>
      </c>
      <c r="F74" s="245">
        <f>564000+52000</f>
        <v>616000</v>
      </c>
      <c r="G74" s="243">
        <v>0</v>
      </c>
      <c r="H74" s="244">
        <v>0</v>
      </c>
      <c r="I74" s="313">
        <v>0</v>
      </c>
      <c r="J74" s="243"/>
      <c r="K74" s="249"/>
      <c r="L74" s="243">
        <f t="shared" si="6"/>
        <v>566000</v>
      </c>
      <c r="M74" s="244">
        <f t="shared" si="5"/>
        <v>616000</v>
      </c>
      <c r="N74" s="249">
        <f t="shared" si="5"/>
        <v>616000</v>
      </c>
    </row>
    <row r="75" spans="1:14" ht="14.25">
      <c r="A75" s="240">
        <v>43</v>
      </c>
      <c r="B75" s="241" t="s">
        <v>718</v>
      </c>
      <c r="C75" s="242" t="s">
        <v>719</v>
      </c>
      <c r="D75" s="243">
        <v>1229625</v>
      </c>
      <c r="E75" s="244">
        <v>1018695</v>
      </c>
      <c r="F75" s="245">
        <v>1018695</v>
      </c>
      <c r="G75" s="243">
        <f>196762-14427</f>
        <v>182335</v>
      </c>
      <c r="H75" s="310">
        <v>480303</v>
      </c>
      <c r="I75" s="313">
        <v>480303</v>
      </c>
      <c r="J75" s="243"/>
      <c r="K75" s="249"/>
      <c r="L75" s="243">
        <f t="shared" si="6"/>
        <v>1411960</v>
      </c>
      <c r="M75" s="244">
        <f t="shared" si="5"/>
        <v>1498998</v>
      </c>
      <c r="N75" s="249">
        <f t="shared" si="5"/>
        <v>1498998</v>
      </c>
    </row>
    <row r="76" spans="1:14" ht="14.25">
      <c r="A76" s="305">
        <v>44</v>
      </c>
      <c r="B76" s="295" t="s">
        <v>720</v>
      </c>
      <c r="C76" s="296"/>
      <c r="D76" s="299"/>
      <c r="E76" s="300"/>
      <c r="F76" s="307"/>
      <c r="G76" s="299"/>
      <c r="H76" s="300"/>
      <c r="I76" s="309"/>
      <c r="J76" s="299"/>
      <c r="K76" s="301"/>
      <c r="L76" s="243">
        <f t="shared" si="6"/>
        <v>0</v>
      </c>
      <c r="M76" s="244">
        <f t="shared" si="5"/>
        <v>0</v>
      </c>
      <c r="N76" s="249">
        <f t="shared" si="5"/>
        <v>0</v>
      </c>
    </row>
    <row r="77" spans="1:14" ht="14.25">
      <c r="A77" s="305">
        <v>45</v>
      </c>
      <c r="B77" s="295" t="s">
        <v>721</v>
      </c>
      <c r="C77" s="296"/>
      <c r="D77" s="299"/>
      <c r="E77" s="300"/>
      <c r="F77" s="307"/>
      <c r="G77" s="299"/>
      <c r="H77" s="300"/>
      <c r="I77" s="309"/>
      <c r="J77" s="299"/>
      <c r="K77" s="301"/>
      <c r="L77" s="243">
        <f t="shared" si="6"/>
        <v>0</v>
      </c>
      <c r="M77" s="244">
        <f t="shared" si="5"/>
        <v>0</v>
      </c>
      <c r="N77" s="249">
        <f t="shared" si="5"/>
        <v>0</v>
      </c>
    </row>
    <row r="78" spans="1:14" ht="14.25">
      <c r="A78" s="305">
        <v>46</v>
      </c>
      <c r="B78" s="295" t="s">
        <v>722</v>
      </c>
      <c r="C78" s="296"/>
      <c r="D78" s="299"/>
      <c r="E78" s="300"/>
      <c r="F78" s="307"/>
      <c r="G78" s="299"/>
      <c r="H78" s="300"/>
      <c r="I78" s="309"/>
      <c r="J78" s="299"/>
      <c r="K78" s="301"/>
      <c r="L78" s="243">
        <f t="shared" si="6"/>
        <v>0</v>
      </c>
      <c r="M78" s="244">
        <f t="shared" si="5"/>
        <v>0</v>
      </c>
      <c r="N78" s="249">
        <f t="shared" si="5"/>
        <v>0</v>
      </c>
    </row>
    <row r="79" spans="1:14" ht="14.25">
      <c r="A79" s="305">
        <v>47</v>
      </c>
      <c r="B79" s="295" t="s">
        <v>723</v>
      </c>
      <c r="C79" s="296"/>
      <c r="D79" s="299"/>
      <c r="E79" s="300"/>
      <c r="F79" s="307"/>
      <c r="G79" s="299"/>
      <c r="H79" s="300"/>
      <c r="I79" s="309"/>
      <c r="J79" s="299"/>
      <c r="K79" s="301"/>
      <c r="L79" s="243">
        <f t="shared" si="6"/>
        <v>0</v>
      </c>
      <c r="M79" s="244">
        <f t="shared" si="5"/>
        <v>0</v>
      </c>
      <c r="N79" s="249">
        <f t="shared" si="5"/>
        <v>0</v>
      </c>
    </row>
    <row r="80" spans="1:14" ht="14.25">
      <c r="A80" s="305">
        <v>48</v>
      </c>
      <c r="B80" s="295" t="s">
        <v>724</v>
      </c>
      <c r="C80" s="296"/>
      <c r="D80" s="299"/>
      <c r="E80" s="300"/>
      <c r="F80" s="307"/>
      <c r="G80" s="299"/>
      <c r="H80" s="300"/>
      <c r="I80" s="309"/>
      <c r="J80" s="299"/>
      <c r="K80" s="301"/>
      <c r="L80" s="243">
        <f t="shared" si="6"/>
        <v>0</v>
      </c>
      <c r="M80" s="244">
        <f t="shared" si="5"/>
        <v>0</v>
      </c>
      <c r="N80" s="249">
        <f t="shared" si="5"/>
        <v>0</v>
      </c>
    </row>
    <row r="81" spans="1:14" ht="15">
      <c r="A81" s="253">
        <v>49</v>
      </c>
      <c r="B81" s="254" t="s">
        <v>725</v>
      </c>
      <c r="C81" s="255" t="s">
        <v>726</v>
      </c>
      <c r="D81" s="256">
        <f>D69+D74+D75+D73</f>
        <v>2664996</v>
      </c>
      <c r="E81" s="257">
        <f>E69+E74+E75+E73</f>
        <v>1757545</v>
      </c>
      <c r="F81" s="258">
        <f aca="true" t="shared" si="11" ref="F81:K81">F69+F74+F75+F73</f>
        <v>1757545</v>
      </c>
      <c r="G81" s="256">
        <f t="shared" si="11"/>
        <v>586323</v>
      </c>
      <c r="H81" s="257">
        <f t="shared" si="11"/>
        <v>899454</v>
      </c>
      <c r="I81" s="259">
        <f t="shared" si="11"/>
        <v>899454</v>
      </c>
      <c r="J81" s="256">
        <f t="shared" si="11"/>
        <v>0</v>
      </c>
      <c r="K81" s="259">
        <f t="shared" si="11"/>
        <v>0</v>
      </c>
      <c r="L81" s="260">
        <f t="shared" si="6"/>
        <v>3251319</v>
      </c>
      <c r="M81" s="261">
        <f t="shared" si="5"/>
        <v>2656999</v>
      </c>
      <c r="N81" s="262">
        <f t="shared" si="5"/>
        <v>2656999</v>
      </c>
    </row>
    <row r="82" spans="1:14" ht="14.25">
      <c r="A82" s="240">
        <v>50</v>
      </c>
      <c r="B82" s="241" t="s">
        <v>727</v>
      </c>
      <c r="C82" s="242" t="s">
        <v>728</v>
      </c>
      <c r="D82" s="243">
        <v>500000</v>
      </c>
      <c r="E82" s="244">
        <v>0</v>
      </c>
      <c r="F82" s="245"/>
      <c r="G82" s="243"/>
      <c r="H82" s="244">
        <v>143817</v>
      </c>
      <c r="I82" s="313">
        <v>143817</v>
      </c>
      <c r="J82" s="243"/>
      <c r="K82" s="249"/>
      <c r="L82" s="243">
        <f t="shared" si="6"/>
        <v>500000</v>
      </c>
      <c r="M82" s="244">
        <f t="shared" si="5"/>
        <v>143817</v>
      </c>
      <c r="N82" s="249">
        <f t="shared" si="5"/>
        <v>143817</v>
      </c>
    </row>
    <row r="83" spans="1:14" ht="15">
      <c r="A83" s="253">
        <v>51</v>
      </c>
      <c r="B83" s="254" t="s">
        <v>729</v>
      </c>
      <c r="C83" s="255" t="s">
        <v>730</v>
      </c>
      <c r="D83" s="256">
        <f>D82</f>
        <v>500000</v>
      </c>
      <c r="E83" s="257">
        <f>E82</f>
        <v>0</v>
      </c>
      <c r="F83" s="258">
        <f aca="true" t="shared" si="12" ref="F83:K83">F82</f>
        <v>0</v>
      </c>
      <c r="G83" s="256">
        <f t="shared" si="12"/>
        <v>0</v>
      </c>
      <c r="H83" s="257">
        <f t="shared" si="12"/>
        <v>143817</v>
      </c>
      <c r="I83" s="259">
        <f t="shared" si="12"/>
        <v>143817</v>
      </c>
      <c r="J83" s="256">
        <f t="shared" si="12"/>
        <v>0</v>
      </c>
      <c r="K83" s="264">
        <f t="shared" si="12"/>
        <v>0</v>
      </c>
      <c r="L83" s="260">
        <f t="shared" si="6"/>
        <v>500000</v>
      </c>
      <c r="M83" s="261">
        <f t="shared" si="5"/>
        <v>143817</v>
      </c>
      <c r="N83" s="262">
        <f t="shared" si="5"/>
        <v>143817</v>
      </c>
    </row>
    <row r="84" spans="1:14" ht="14.25">
      <c r="A84" s="240">
        <v>52</v>
      </c>
      <c r="B84" s="241" t="s">
        <v>731</v>
      </c>
      <c r="C84" s="242" t="s">
        <v>732</v>
      </c>
      <c r="D84" s="243">
        <f>813575+D73*0.27</f>
        <v>948575</v>
      </c>
      <c r="E84" s="244">
        <v>699581</v>
      </c>
      <c r="F84" s="245">
        <v>699581</v>
      </c>
      <c r="G84" s="243">
        <v>150000</v>
      </c>
      <c r="H84" s="244">
        <v>241367</v>
      </c>
      <c r="I84" s="313">
        <v>241367</v>
      </c>
      <c r="J84" s="252">
        <f>12184+1913+8275+12768</f>
        <v>35140</v>
      </c>
      <c r="K84" s="249">
        <f>12184+1913+12768+8275</f>
        <v>35140</v>
      </c>
      <c r="L84" s="243">
        <f t="shared" si="6"/>
        <v>1098575</v>
      </c>
      <c r="M84" s="244">
        <f t="shared" si="5"/>
        <v>976088</v>
      </c>
      <c r="N84" s="249">
        <f t="shared" si="5"/>
        <v>976088</v>
      </c>
    </row>
    <row r="85" spans="1:14" ht="14.25">
      <c r="A85" s="240">
        <v>53</v>
      </c>
      <c r="B85" s="241" t="s">
        <v>733</v>
      </c>
      <c r="C85" s="242" t="s">
        <v>734</v>
      </c>
      <c r="D85" s="154">
        <v>207500</v>
      </c>
      <c r="E85" s="155">
        <f>1251513-J85+1</f>
        <v>1194880</v>
      </c>
      <c r="F85" s="187">
        <v>43299</v>
      </c>
      <c r="G85" s="243"/>
      <c r="H85" s="244"/>
      <c r="I85" s="313"/>
      <c r="J85" s="314">
        <f>16281+40351+2</f>
        <v>56634</v>
      </c>
      <c r="K85" s="249">
        <f>16281+40351+2</f>
        <v>56634</v>
      </c>
      <c r="L85" s="243">
        <f t="shared" si="6"/>
        <v>207500</v>
      </c>
      <c r="M85" s="244">
        <f>+E85+H85+J85</f>
        <v>1251514</v>
      </c>
      <c r="N85" s="249">
        <f t="shared" si="5"/>
        <v>99933</v>
      </c>
    </row>
    <row r="86" spans="1:14" ht="15">
      <c r="A86" s="305">
        <v>56</v>
      </c>
      <c r="B86" s="254" t="s">
        <v>735</v>
      </c>
      <c r="C86" s="255" t="s">
        <v>736</v>
      </c>
      <c r="D86" s="256">
        <f>SUM(D84:D85)</f>
        <v>1156075</v>
      </c>
      <c r="E86" s="257">
        <f>SUM(E84:E85)</f>
        <v>1894461</v>
      </c>
      <c r="F86" s="258">
        <f aca="true" t="shared" si="13" ref="F86:K86">SUM(F84:F85)</f>
        <v>742880</v>
      </c>
      <c r="G86" s="256">
        <f t="shared" si="13"/>
        <v>150000</v>
      </c>
      <c r="H86" s="257">
        <f t="shared" si="13"/>
        <v>241367</v>
      </c>
      <c r="I86" s="259">
        <f t="shared" si="13"/>
        <v>241367</v>
      </c>
      <c r="J86" s="256">
        <f t="shared" si="13"/>
        <v>91774</v>
      </c>
      <c r="K86" s="259">
        <f t="shared" si="13"/>
        <v>91774</v>
      </c>
      <c r="L86" s="260">
        <f t="shared" si="6"/>
        <v>1306075</v>
      </c>
      <c r="M86" s="261">
        <f>+E86+H86+J86</f>
        <v>2227602</v>
      </c>
      <c r="N86" s="262">
        <f t="shared" si="5"/>
        <v>1076021</v>
      </c>
    </row>
    <row r="87" spans="1:14" ht="15">
      <c r="A87" s="253">
        <v>57</v>
      </c>
      <c r="B87" s="254" t="s">
        <v>737</v>
      </c>
      <c r="C87" s="255" t="s">
        <v>738</v>
      </c>
      <c r="D87" s="265">
        <f>D60+D68+D81+D83+D86</f>
        <v>6604505</v>
      </c>
      <c r="E87" s="266">
        <f>E60+E68+E81+E83+E86</f>
        <v>5701466</v>
      </c>
      <c r="F87" s="267">
        <f aca="true" t="shared" si="14" ref="F87:K87">F60+F68+F81+F83+F86</f>
        <v>4549885</v>
      </c>
      <c r="G87" s="265">
        <f t="shared" si="14"/>
        <v>980000</v>
      </c>
      <c r="H87" s="266">
        <f>H60+H68+H81+H83+H86</f>
        <v>1447375</v>
      </c>
      <c r="I87" s="268">
        <f t="shared" si="14"/>
        <v>1447375</v>
      </c>
      <c r="J87" s="265">
        <f t="shared" si="14"/>
        <v>92242</v>
      </c>
      <c r="K87" s="268">
        <f t="shared" si="14"/>
        <v>92242</v>
      </c>
      <c r="L87" s="269">
        <f t="shared" si="6"/>
        <v>7584505</v>
      </c>
      <c r="M87" s="270">
        <f t="shared" si="5"/>
        <v>7241083</v>
      </c>
      <c r="N87" s="271">
        <f t="shared" si="5"/>
        <v>6089502</v>
      </c>
    </row>
    <row r="88" spans="1:14" ht="15.75">
      <c r="A88" s="280">
        <v>58</v>
      </c>
      <c r="B88" s="281" t="s">
        <v>739</v>
      </c>
      <c r="C88" s="282" t="s">
        <v>740</v>
      </c>
      <c r="D88" s="283">
        <f>D51+D87</f>
        <v>43135095.78</v>
      </c>
      <c r="E88" s="284">
        <f>E51+E87</f>
        <v>42193007.4</v>
      </c>
      <c r="F88" s="285">
        <f aca="true" t="shared" si="15" ref="F88:K88">F51+F87</f>
        <v>41041427</v>
      </c>
      <c r="G88" s="283">
        <f t="shared" si="15"/>
        <v>1011881</v>
      </c>
      <c r="H88" s="284">
        <f t="shared" si="15"/>
        <v>1866123.969924812</v>
      </c>
      <c r="I88" s="286">
        <f t="shared" si="15"/>
        <v>1866124</v>
      </c>
      <c r="J88" s="283">
        <f t="shared" si="15"/>
        <v>3429306</v>
      </c>
      <c r="K88" s="286">
        <f t="shared" si="15"/>
        <v>3429306</v>
      </c>
      <c r="L88" s="287">
        <f t="shared" si="6"/>
        <v>44146976.78</v>
      </c>
      <c r="M88" s="288">
        <f t="shared" si="5"/>
        <v>47488437.36992481</v>
      </c>
      <c r="N88" s="289">
        <f t="shared" si="5"/>
        <v>46336857</v>
      </c>
    </row>
    <row r="89" spans="1:14" ht="15.75">
      <c r="A89" s="240">
        <v>59</v>
      </c>
      <c r="B89" s="315" t="s">
        <v>741</v>
      </c>
      <c r="C89" s="316"/>
      <c r="D89" s="290">
        <f>30000/1.27</f>
        <v>23622.047244094487</v>
      </c>
      <c r="E89" s="317">
        <v>2657057</v>
      </c>
      <c r="F89" s="292">
        <v>2657057</v>
      </c>
      <c r="G89" s="318"/>
      <c r="H89" s="319"/>
      <c r="I89" s="320"/>
      <c r="J89" s="318"/>
      <c r="K89" s="321"/>
      <c r="L89" s="243">
        <f t="shared" si="6"/>
        <v>23622.047244094487</v>
      </c>
      <c r="M89" s="244">
        <f>+E89+H89+J89</f>
        <v>2657057</v>
      </c>
      <c r="N89" s="249">
        <f t="shared" si="5"/>
        <v>2657057</v>
      </c>
    </row>
    <row r="90" spans="1:14" ht="15.75">
      <c r="A90" s="240">
        <v>60</v>
      </c>
      <c r="B90" s="241" t="s">
        <v>731</v>
      </c>
      <c r="C90" s="316"/>
      <c r="D90" s="290">
        <f>D89*0.27</f>
        <v>6377.952755905512</v>
      </c>
      <c r="E90" s="317">
        <v>295529</v>
      </c>
      <c r="F90" s="292">
        <v>295529</v>
      </c>
      <c r="G90" s="318"/>
      <c r="H90" s="319"/>
      <c r="I90" s="320"/>
      <c r="J90" s="318"/>
      <c r="K90" s="321"/>
      <c r="L90" s="243">
        <f t="shared" si="6"/>
        <v>6377.952755905512</v>
      </c>
      <c r="M90" s="244">
        <f t="shared" si="5"/>
        <v>295529</v>
      </c>
      <c r="N90" s="249">
        <f t="shared" si="5"/>
        <v>295529</v>
      </c>
    </row>
    <row r="91" spans="1:14" ht="15.75">
      <c r="A91" s="253">
        <v>61</v>
      </c>
      <c r="B91" s="254" t="s">
        <v>742</v>
      </c>
      <c r="C91" s="316"/>
      <c r="D91" s="265">
        <f>SUM(D89:D90)</f>
        <v>30000</v>
      </c>
      <c r="E91" s="266">
        <f>SUM(E89:E90)</f>
        <v>2952586</v>
      </c>
      <c r="F91" s="267">
        <f aca="true" t="shared" si="16" ref="F91:K91">SUM(F89:F90)</f>
        <v>2952586</v>
      </c>
      <c r="G91" s="265">
        <f t="shared" si="16"/>
        <v>0</v>
      </c>
      <c r="H91" s="266">
        <f t="shared" si="16"/>
        <v>0</v>
      </c>
      <c r="I91" s="322">
        <f t="shared" si="16"/>
        <v>0</v>
      </c>
      <c r="J91" s="265">
        <f t="shared" si="16"/>
        <v>0</v>
      </c>
      <c r="K91" s="268">
        <f t="shared" si="16"/>
        <v>0</v>
      </c>
      <c r="L91" s="269">
        <f t="shared" si="6"/>
        <v>30000</v>
      </c>
      <c r="M91" s="270">
        <f t="shared" si="5"/>
        <v>2952586</v>
      </c>
      <c r="N91" s="271">
        <f t="shared" si="5"/>
        <v>2952586</v>
      </c>
    </row>
    <row r="92" spans="1:14" ht="14.25">
      <c r="A92" s="240">
        <v>62</v>
      </c>
      <c r="B92" s="315" t="s">
        <v>743</v>
      </c>
      <c r="C92" s="242" t="s">
        <v>744</v>
      </c>
      <c r="D92" s="243">
        <v>6032645</v>
      </c>
      <c r="E92" s="251">
        <v>5611355</v>
      </c>
      <c r="F92" s="245">
        <v>5611355</v>
      </c>
      <c r="G92" s="243"/>
      <c r="H92" s="244"/>
      <c r="I92" s="313"/>
      <c r="J92" s="243"/>
      <c r="K92" s="249"/>
      <c r="L92" s="243">
        <f t="shared" si="6"/>
        <v>6032645</v>
      </c>
      <c r="M92" s="244">
        <f t="shared" si="5"/>
        <v>5611355</v>
      </c>
      <c r="N92" s="249">
        <f t="shared" si="5"/>
        <v>5611355</v>
      </c>
    </row>
    <row r="93" spans="1:14" ht="14.25">
      <c r="A93" s="240">
        <v>63</v>
      </c>
      <c r="B93" s="241" t="s">
        <v>745</v>
      </c>
      <c r="C93" s="242" t="s">
        <v>746</v>
      </c>
      <c r="D93" s="243">
        <f>D92*0.27</f>
        <v>1628814.1500000001</v>
      </c>
      <c r="E93" s="251">
        <v>1355657</v>
      </c>
      <c r="F93" s="245">
        <v>1355657</v>
      </c>
      <c r="G93" s="243"/>
      <c r="H93" s="244"/>
      <c r="I93" s="313"/>
      <c r="J93" s="243"/>
      <c r="K93" s="249"/>
      <c r="L93" s="243">
        <f t="shared" si="6"/>
        <v>1628814.1500000001</v>
      </c>
      <c r="M93" s="244">
        <f t="shared" si="5"/>
        <v>1355657</v>
      </c>
      <c r="N93" s="249">
        <f t="shared" si="5"/>
        <v>1355657</v>
      </c>
    </row>
    <row r="94" spans="1:14" ht="15">
      <c r="A94" s="253">
        <v>64</v>
      </c>
      <c r="B94" s="323" t="s">
        <v>747</v>
      </c>
      <c r="C94" s="255" t="s">
        <v>748</v>
      </c>
      <c r="D94" s="265">
        <f>D92+D93</f>
        <v>7661459.15</v>
      </c>
      <c r="E94" s="266">
        <f>E92+E93</f>
        <v>6967012</v>
      </c>
      <c r="F94" s="267">
        <f aca="true" t="shared" si="17" ref="F94:K94">F92+F93</f>
        <v>6967012</v>
      </c>
      <c r="G94" s="265">
        <f t="shared" si="17"/>
        <v>0</v>
      </c>
      <c r="H94" s="266">
        <f t="shared" si="17"/>
        <v>0</v>
      </c>
      <c r="I94" s="268">
        <f t="shared" si="17"/>
        <v>0</v>
      </c>
      <c r="J94" s="265">
        <f t="shared" si="17"/>
        <v>0</v>
      </c>
      <c r="K94" s="268">
        <f t="shared" si="17"/>
        <v>0</v>
      </c>
      <c r="L94" s="269">
        <f t="shared" si="6"/>
        <v>7661459.15</v>
      </c>
      <c r="M94" s="270">
        <f t="shared" si="5"/>
        <v>6967012</v>
      </c>
      <c r="N94" s="271">
        <f t="shared" si="5"/>
        <v>6967012</v>
      </c>
    </row>
    <row r="95" spans="1:14" ht="16.5" thickBot="1">
      <c r="A95" s="324">
        <v>65</v>
      </c>
      <c r="B95" s="325" t="s">
        <v>749</v>
      </c>
      <c r="C95" s="326" t="s">
        <v>750</v>
      </c>
      <c r="D95" s="327">
        <f>D88+D91+D94</f>
        <v>50826554.93</v>
      </c>
      <c r="E95" s="328">
        <f>E88+E91+E94</f>
        <v>52112605.4</v>
      </c>
      <c r="F95" s="329">
        <f>F88+F91+F94</f>
        <v>50961025</v>
      </c>
      <c r="G95" s="327">
        <f>G88+G91+G94</f>
        <v>1011881</v>
      </c>
      <c r="H95" s="328">
        <f>H88+H91+H94</f>
        <v>1866123.969924812</v>
      </c>
      <c r="I95" s="330">
        <f>I88+I91+I94</f>
        <v>1866124</v>
      </c>
      <c r="J95" s="178">
        <f>J88+J91+J94</f>
        <v>3429306</v>
      </c>
      <c r="K95" s="180">
        <f>K88+K91+K94</f>
        <v>3429306</v>
      </c>
      <c r="L95" s="182">
        <f t="shared" si="6"/>
        <v>51838435.93</v>
      </c>
      <c r="M95" s="183">
        <f t="shared" si="5"/>
        <v>57408035.36992481</v>
      </c>
      <c r="N95" s="184">
        <f t="shared" si="5"/>
        <v>56256455</v>
      </c>
    </row>
    <row r="96" spans="1:14" ht="18.75" thickBot="1">
      <c r="A96" s="331">
        <v>66</v>
      </c>
      <c r="B96" s="332" t="s">
        <v>751</v>
      </c>
      <c r="C96" s="333" t="s">
        <v>752</v>
      </c>
      <c r="D96" s="334">
        <f>D95</f>
        <v>50826554.93</v>
      </c>
      <c r="E96" s="335">
        <f>E95</f>
        <v>52112605.4</v>
      </c>
      <c r="F96" s="336">
        <f>F95</f>
        <v>50961025</v>
      </c>
      <c r="G96" s="334">
        <f>G95</f>
        <v>1011881</v>
      </c>
      <c r="H96" s="335">
        <f>H95</f>
        <v>1866123.969924812</v>
      </c>
      <c r="I96" s="337">
        <f>I95</f>
        <v>1866124</v>
      </c>
      <c r="J96" s="338">
        <f>J95</f>
        <v>3429306</v>
      </c>
      <c r="K96" s="339">
        <f>K95</f>
        <v>3429306</v>
      </c>
      <c r="L96" s="338">
        <f>+D96+G96</f>
        <v>51838435.93</v>
      </c>
      <c r="M96" s="340">
        <f t="shared" si="5"/>
        <v>57408035.36992481</v>
      </c>
      <c r="N96" s="339">
        <f t="shared" si="5"/>
        <v>56256455</v>
      </c>
    </row>
    <row r="97" spans="4:13" ht="14.25">
      <c r="D97" s="341">
        <f>D31-D96</f>
        <v>0.07000000029802322</v>
      </c>
      <c r="E97" s="341">
        <f>E31-E96</f>
        <v>8434.60000000149</v>
      </c>
      <c r="F97" s="341">
        <f>+F31-F96</f>
        <v>1160015</v>
      </c>
      <c r="G97" s="40">
        <f>G31-G96</f>
        <v>0</v>
      </c>
      <c r="H97" s="40">
        <f>H31-H96</f>
        <v>0.03007518802769482</v>
      </c>
      <c r="I97" s="40">
        <f>+I31-I96</f>
        <v>0</v>
      </c>
      <c r="J97" s="40">
        <f>+J31-J96</f>
        <v>-8435</v>
      </c>
      <c r="K97" s="40">
        <f>+K31-K96</f>
        <v>-8435</v>
      </c>
      <c r="L97" s="342">
        <f>L31-L96</f>
        <v>0.07000000029802322</v>
      </c>
      <c r="M97" s="342">
        <f>M31-M96</f>
        <v>-0.3699248135089874</v>
      </c>
    </row>
    <row r="98" spans="12:14" ht="18">
      <c r="L98" s="355" t="s">
        <v>601</v>
      </c>
      <c r="M98" s="355"/>
      <c r="N98" s="356">
        <f>N31-N96</f>
        <v>1151580</v>
      </c>
    </row>
  </sheetData>
  <sheetProtection/>
  <mergeCells count="20">
    <mergeCell ref="L98:M98"/>
    <mergeCell ref="L5:L6"/>
    <mergeCell ref="M5:M6"/>
    <mergeCell ref="N5:N6"/>
    <mergeCell ref="A32:L32"/>
    <mergeCell ref="L34:L35"/>
    <mergeCell ref="M34:M35"/>
    <mergeCell ref="N34:N35"/>
    <mergeCell ref="F5:F6"/>
    <mergeCell ref="G5:G6"/>
    <mergeCell ref="H5:H6"/>
    <mergeCell ref="I5:I6"/>
    <mergeCell ref="J5:J6"/>
    <mergeCell ref="K5:K6"/>
    <mergeCell ref="B3:B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8.125" style="0" customWidth="1"/>
    <col min="2" max="2" width="49.625" style="0" customWidth="1"/>
    <col min="3" max="3" width="10.75390625" style="0" customWidth="1"/>
    <col min="4" max="4" width="20.25390625" style="0" bestFit="1" customWidth="1"/>
    <col min="5" max="6" width="20.25390625" style="0" customWidth="1"/>
    <col min="7" max="7" width="20.25390625" style="0" bestFit="1" customWidth="1"/>
    <col min="8" max="9" width="20.25390625" style="0" customWidth="1"/>
    <col min="10" max="12" width="23.375" style="0" customWidth="1"/>
  </cols>
  <sheetData>
    <row r="1" spans="1:12" ht="20.25">
      <c r="A1" s="357"/>
      <c r="B1" s="89" t="s">
        <v>757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13.5" thickBo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2" ht="15.75" thickTop="1">
      <c r="A3" s="357"/>
      <c r="B3" s="357"/>
      <c r="C3" s="357"/>
      <c r="D3" s="358" t="s">
        <v>10</v>
      </c>
      <c r="E3" s="466" t="s">
        <v>580</v>
      </c>
      <c r="F3" s="359" t="s">
        <v>13</v>
      </c>
      <c r="G3" s="360" t="s">
        <v>10</v>
      </c>
      <c r="H3" s="466" t="s">
        <v>580</v>
      </c>
      <c r="I3" s="361" t="s">
        <v>13</v>
      </c>
      <c r="J3" s="362" t="s">
        <v>10</v>
      </c>
      <c r="K3" s="363" t="s">
        <v>580</v>
      </c>
      <c r="L3" s="363" t="s">
        <v>13</v>
      </c>
    </row>
    <row r="4" spans="1:12" ht="32.25" thickBot="1">
      <c r="A4" s="364" t="s">
        <v>603</v>
      </c>
      <c r="B4" s="365" t="s">
        <v>604</v>
      </c>
      <c r="C4" s="366" t="s">
        <v>605</v>
      </c>
      <c r="D4" s="343" t="s">
        <v>579</v>
      </c>
      <c r="E4" s="467" t="s">
        <v>579</v>
      </c>
      <c r="F4" s="367" t="s">
        <v>579</v>
      </c>
      <c r="G4" s="368" t="s">
        <v>758</v>
      </c>
      <c r="H4" s="467" t="s">
        <v>758</v>
      </c>
      <c r="I4" s="369" t="s">
        <v>758</v>
      </c>
      <c r="J4" s="370" t="s">
        <v>258</v>
      </c>
      <c r="K4" s="371" t="s">
        <v>258</v>
      </c>
      <c r="L4" s="371" t="s">
        <v>258</v>
      </c>
    </row>
    <row r="5" spans="1:12" ht="15.75">
      <c r="A5" s="364"/>
      <c r="B5" s="373" t="s">
        <v>805</v>
      </c>
      <c r="C5" s="373" t="s">
        <v>806</v>
      </c>
      <c r="D5" s="375">
        <f>D6</f>
        <v>0</v>
      </c>
      <c r="E5" s="468"/>
      <c r="F5" s="376">
        <f>F6</f>
        <v>1300000</v>
      </c>
      <c r="G5" s="375"/>
      <c r="H5" s="468"/>
      <c r="I5" s="376"/>
      <c r="J5" s="379">
        <f>+D5+G5</f>
        <v>0</v>
      </c>
      <c r="K5" s="379">
        <f>+E5+H5</f>
        <v>0</v>
      </c>
      <c r="L5" s="379">
        <f>+F5+I5</f>
        <v>1300000</v>
      </c>
    </row>
    <row r="6" spans="1:12" ht="15.75">
      <c r="A6" s="364"/>
      <c r="B6" s="373" t="s">
        <v>807</v>
      </c>
      <c r="C6" s="373"/>
      <c r="D6" s="375"/>
      <c r="E6" s="468"/>
      <c r="F6" s="376">
        <v>1300000</v>
      </c>
      <c r="G6" s="375"/>
      <c r="H6" s="468"/>
      <c r="I6" s="376"/>
      <c r="J6" s="379">
        <f aca="true" t="shared" si="0" ref="J6:K69">+D6+G6</f>
        <v>0</v>
      </c>
      <c r="K6" s="379">
        <f t="shared" si="0"/>
        <v>0</v>
      </c>
      <c r="L6" s="380">
        <f aca="true" t="shared" si="1" ref="L6:L69">+F6+I6</f>
        <v>1300000</v>
      </c>
    </row>
    <row r="7" spans="1:12" s="85" customFormat="1" ht="15.75">
      <c r="A7" s="364"/>
      <c r="B7" s="460" t="s">
        <v>809</v>
      </c>
      <c r="C7" s="461" t="s">
        <v>808</v>
      </c>
      <c r="D7" s="462"/>
      <c r="E7" s="469"/>
      <c r="F7" s="463">
        <f>+F5</f>
        <v>1300000</v>
      </c>
      <c r="G7" s="464"/>
      <c r="H7" s="469"/>
      <c r="I7" s="465"/>
      <c r="J7" s="407">
        <f t="shared" si="0"/>
        <v>0</v>
      </c>
      <c r="K7" s="407">
        <f t="shared" si="0"/>
        <v>0</v>
      </c>
      <c r="L7" s="408">
        <f t="shared" si="1"/>
        <v>1300000</v>
      </c>
    </row>
    <row r="8" spans="1:12" ht="14.25">
      <c r="A8" s="372" t="s">
        <v>759</v>
      </c>
      <c r="B8" s="373" t="s">
        <v>760</v>
      </c>
      <c r="C8" s="374" t="s">
        <v>761</v>
      </c>
      <c r="D8" s="375"/>
      <c r="E8" s="468"/>
      <c r="F8" s="376"/>
      <c r="G8" s="377">
        <v>9849787.692913385</v>
      </c>
      <c r="H8" s="468">
        <v>10004311</v>
      </c>
      <c r="I8" s="378">
        <v>10004311</v>
      </c>
      <c r="J8" s="379">
        <f t="shared" si="0"/>
        <v>9849787.692913385</v>
      </c>
      <c r="K8" s="379">
        <f t="shared" si="0"/>
        <v>10004311</v>
      </c>
      <c r="L8" s="380">
        <f t="shared" si="1"/>
        <v>10004311</v>
      </c>
    </row>
    <row r="9" spans="1:12" ht="14.25">
      <c r="A9" s="372" t="s">
        <v>762</v>
      </c>
      <c r="B9" s="373" t="s">
        <v>763</v>
      </c>
      <c r="C9" s="374" t="s">
        <v>764</v>
      </c>
      <c r="D9" s="375"/>
      <c r="E9" s="468"/>
      <c r="F9" s="376"/>
      <c r="G9" s="377">
        <v>1993502.3622047245</v>
      </c>
      <c r="H9" s="468">
        <v>1599792</v>
      </c>
      <c r="I9" s="378">
        <v>1599792</v>
      </c>
      <c r="J9" s="379">
        <f t="shared" si="0"/>
        <v>1993502.3622047245</v>
      </c>
      <c r="K9" s="379">
        <f t="shared" si="0"/>
        <v>1599792</v>
      </c>
      <c r="L9" s="380">
        <f t="shared" si="1"/>
        <v>1599792</v>
      </c>
    </row>
    <row r="10" spans="1:12" ht="14.25">
      <c r="A10" s="372" t="s">
        <v>765</v>
      </c>
      <c r="B10" s="381" t="s">
        <v>766</v>
      </c>
      <c r="C10" s="374" t="s">
        <v>767</v>
      </c>
      <c r="D10" s="375"/>
      <c r="E10" s="468"/>
      <c r="F10" s="376"/>
      <c r="G10" s="377">
        <v>3197688.3148818896</v>
      </c>
      <c r="H10" s="468">
        <v>3133049</v>
      </c>
      <c r="I10" s="378">
        <v>3133049</v>
      </c>
      <c r="J10" s="379">
        <f t="shared" si="0"/>
        <v>3197688.3148818896</v>
      </c>
      <c r="K10" s="379">
        <f t="shared" si="0"/>
        <v>3133049</v>
      </c>
      <c r="L10" s="380">
        <f t="shared" si="1"/>
        <v>3133049</v>
      </c>
    </row>
    <row r="11" spans="1:12" ht="14.25">
      <c r="A11" s="372" t="s">
        <v>768</v>
      </c>
      <c r="B11" s="149" t="s">
        <v>629</v>
      </c>
      <c r="C11" s="374" t="s">
        <v>630</v>
      </c>
      <c r="D11" s="375">
        <v>177</v>
      </c>
      <c r="E11" s="468">
        <v>124</v>
      </c>
      <c r="F11" s="376">
        <v>124</v>
      </c>
      <c r="G11" s="377"/>
      <c r="H11" s="468"/>
      <c r="I11" s="378"/>
      <c r="J11" s="379">
        <f t="shared" si="0"/>
        <v>177</v>
      </c>
      <c r="K11" s="379">
        <f t="shared" si="0"/>
        <v>124</v>
      </c>
      <c r="L11" s="380">
        <f t="shared" si="1"/>
        <v>124</v>
      </c>
    </row>
    <row r="12" spans="1:12" ht="14.25">
      <c r="A12" s="382" t="s">
        <v>769</v>
      </c>
      <c r="B12" s="149" t="s">
        <v>770</v>
      </c>
      <c r="C12" s="126" t="s">
        <v>632</v>
      </c>
      <c r="D12" s="375">
        <v>10000</v>
      </c>
      <c r="E12" s="468">
        <v>16515</v>
      </c>
      <c r="F12" s="376">
        <v>16515</v>
      </c>
      <c r="G12" s="383"/>
      <c r="H12" s="482">
        <v>13</v>
      </c>
      <c r="I12" s="384">
        <v>13</v>
      </c>
      <c r="J12" s="379">
        <f t="shared" si="0"/>
        <v>10000</v>
      </c>
      <c r="K12" s="379">
        <f t="shared" si="0"/>
        <v>16528</v>
      </c>
      <c r="L12" s="380">
        <f t="shared" si="1"/>
        <v>16528</v>
      </c>
    </row>
    <row r="13" spans="1:12" ht="14.25">
      <c r="A13" s="382">
        <v>6</v>
      </c>
      <c r="B13" s="149" t="s">
        <v>771</v>
      </c>
      <c r="C13" s="126" t="s">
        <v>632</v>
      </c>
      <c r="D13" s="375"/>
      <c r="E13" s="468"/>
      <c r="F13" s="376"/>
      <c r="G13" s="383"/>
      <c r="H13" s="482"/>
      <c r="I13" s="384"/>
      <c r="J13" s="379">
        <f t="shared" si="0"/>
        <v>0</v>
      </c>
      <c r="K13" s="379">
        <f t="shared" si="0"/>
        <v>0</v>
      </c>
      <c r="L13" s="380">
        <f t="shared" si="1"/>
        <v>0</v>
      </c>
    </row>
    <row r="14" spans="1:12" ht="15">
      <c r="A14" s="385" t="s">
        <v>772</v>
      </c>
      <c r="B14" s="167" t="s">
        <v>635</v>
      </c>
      <c r="C14" s="143" t="s">
        <v>636</v>
      </c>
      <c r="D14" s="386">
        <v>10177</v>
      </c>
      <c r="E14" s="470">
        <f>+E11+E12</f>
        <v>16639</v>
      </c>
      <c r="F14" s="387">
        <f>SUM(F11:F12)</f>
        <v>16639</v>
      </c>
      <c r="G14" s="388">
        <v>15040978.37</v>
      </c>
      <c r="H14" s="470">
        <f>SUM(H8:H12)</f>
        <v>14737165</v>
      </c>
      <c r="I14" s="171">
        <f>SUM(I8:I13)</f>
        <v>14737165</v>
      </c>
      <c r="J14" s="389">
        <f t="shared" si="0"/>
        <v>15051155.37</v>
      </c>
      <c r="K14" s="389">
        <f t="shared" si="0"/>
        <v>14753804</v>
      </c>
      <c r="L14" s="322">
        <f t="shared" si="1"/>
        <v>14753804</v>
      </c>
    </row>
    <row r="15" spans="1:12" ht="15">
      <c r="A15" s="390" t="s">
        <v>773</v>
      </c>
      <c r="B15" s="391" t="s">
        <v>637</v>
      </c>
      <c r="C15" s="392" t="s">
        <v>638</v>
      </c>
      <c r="D15" s="393">
        <v>10177</v>
      </c>
      <c r="E15" s="471">
        <f>+E14</f>
        <v>16639</v>
      </c>
      <c r="F15" s="394">
        <f>+F14+F7</f>
        <v>1316639</v>
      </c>
      <c r="G15" s="395">
        <v>15040978.37</v>
      </c>
      <c r="H15" s="471">
        <f>+H14</f>
        <v>14737165</v>
      </c>
      <c r="I15" s="396">
        <f>+I14</f>
        <v>14737165</v>
      </c>
      <c r="J15" s="397">
        <f t="shared" si="0"/>
        <v>15051155.37</v>
      </c>
      <c r="K15" s="397">
        <f t="shared" si="0"/>
        <v>14753804</v>
      </c>
      <c r="L15" s="398">
        <f t="shared" si="1"/>
        <v>16053804</v>
      </c>
    </row>
    <row r="16" spans="1:12" ht="28.5">
      <c r="A16" s="372" t="s">
        <v>774</v>
      </c>
      <c r="B16" s="125" t="s">
        <v>775</v>
      </c>
      <c r="C16" s="186" t="s">
        <v>640</v>
      </c>
      <c r="D16" s="399">
        <v>2193277</v>
      </c>
      <c r="E16" s="472">
        <v>2193277</v>
      </c>
      <c r="F16" s="400">
        <v>2193277</v>
      </c>
      <c r="G16" s="401">
        <v>0</v>
      </c>
      <c r="H16" s="472"/>
      <c r="I16" s="402">
        <v>0</v>
      </c>
      <c r="J16" s="379">
        <f t="shared" si="0"/>
        <v>2193277</v>
      </c>
      <c r="K16" s="379">
        <f t="shared" si="0"/>
        <v>2193277</v>
      </c>
      <c r="L16" s="380">
        <f t="shared" si="1"/>
        <v>2193277</v>
      </c>
    </row>
    <row r="17" spans="1:12" ht="15">
      <c r="A17" s="385" t="s">
        <v>776</v>
      </c>
      <c r="B17" s="142" t="s">
        <v>641</v>
      </c>
      <c r="C17" s="204" t="s">
        <v>642</v>
      </c>
      <c r="D17" s="403">
        <v>2193277</v>
      </c>
      <c r="E17" s="473">
        <f>+E16</f>
        <v>2193277</v>
      </c>
      <c r="F17" s="404">
        <v>2193277</v>
      </c>
      <c r="G17" s="405">
        <v>0</v>
      </c>
      <c r="H17" s="473"/>
      <c r="I17" s="406">
        <v>0</v>
      </c>
      <c r="J17" s="407">
        <f t="shared" si="0"/>
        <v>2193277</v>
      </c>
      <c r="K17" s="407">
        <f t="shared" si="0"/>
        <v>2193277</v>
      </c>
      <c r="L17" s="408">
        <f t="shared" si="1"/>
        <v>2193277</v>
      </c>
    </row>
    <row r="18" spans="1:12" ht="14.25">
      <c r="A18" s="382" t="s">
        <v>23</v>
      </c>
      <c r="B18" s="195" t="s">
        <v>643</v>
      </c>
      <c r="C18" s="199"/>
      <c r="D18" s="409">
        <v>34615900</v>
      </c>
      <c r="E18" s="474">
        <v>37805072</v>
      </c>
      <c r="F18" s="410">
        <f>37155072+650000</f>
        <v>37805072</v>
      </c>
      <c r="G18" s="411">
        <v>18780155</v>
      </c>
      <c r="H18" s="474">
        <v>20229001</v>
      </c>
      <c r="I18" s="412">
        <f>19309001+920000</f>
        <v>20229001</v>
      </c>
      <c r="J18" s="413">
        <f t="shared" si="0"/>
        <v>53396055</v>
      </c>
      <c r="K18" s="413">
        <f t="shared" si="0"/>
        <v>58034073</v>
      </c>
      <c r="L18" s="414">
        <f t="shared" si="1"/>
        <v>58034073</v>
      </c>
    </row>
    <row r="19" spans="1:12" ht="14.25">
      <c r="A19" s="382"/>
      <c r="B19" s="195" t="s">
        <v>777</v>
      </c>
      <c r="C19" s="199"/>
      <c r="D19" s="415">
        <v>2451079</v>
      </c>
      <c r="E19" s="475">
        <f>5701437</f>
        <v>5701437</v>
      </c>
      <c r="F19" s="416">
        <f>4160599+767210</f>
        <v>4927809</v>
      </c>
      <c r="G19" s="417">
        <v>0</v>
      </c>
      <c r="H19" s="475">
        <f>4749632</f>
        <v>4749632</v>
      </c>
      <c r="I19" s="418">
        <v>6823260</v>
      </c>
      <c r="J19" s="419">
        <f t="shared" si="0"/>
        <v>2451079</v>
      </c>
      <c r="K19" s="419">
        <f t="shared" si="0"/>
        <v>10451069</v>
      </c>
      <c r="L19" s="420">
        <f t="shared" si="1"/>
        <v>11751069</v>
      </c>
    </row>
    <row r="20" spans="1:12" ht="15">
      <c r="A20" s="372"/>
      <c r="B20" s="421" t="s">
        <v>647</v>
      </c>
      <c r="C20" s="204" t="s">
        <v>778</v>
      </c>
      <c r="D20" s="403">
        <v>37066979</v>
      </c>
      <c r="E20" s="473">
        <f>+E18+E19</f>
        <v>43506509</v>
      </c>
      <c r="F20" s="404">
        <f>SUM(F18:F19)</f>
        <v>42732881</v>
      </c>
      <c r="G20" s="405">
        <v>18780155</v>
      </c>
      <c r="H20" s="473">
        <f>+H18+H19</f>
        <v>24978633</v>
      </c>
      <c r="I20" s="406">
        <f>SUM(I18:I19)</f>
        <v>27052261</v>
      </c>
      <c r="J20" s="407">
        <f t="shared" si="0"/>
        <v>55847134</v>
      </c>
      <c r="K20" s="407">
        <f t="shared" si="0"/>
        <v>68485142</v>
      </c>
      <c r="L20" s="408">
        <f t="shared" si="1"/>
        <v>69785142</v>
      </c>
    </row>
    <row r="21" spans="1:12" ht="15">
      <c r="A21" s="385" t="s">
        <v>401</v>
      </c>
      <c r="B21" s="421" t="s">
        <v>648</v>
      </c>
      <c r="C21" s="204" t="s">
        <v>649</v>
      </c>
      <c r="D21" s="403">
        <v>39260256</v>
      </c>
      <c r="E21" s="473">
        <f>+E17+E20</f>
        <v>45699786</v>
      </c>
      <c r="F21" s="404">
        <f>+F17+F20</f>
        <v>44926158</v>
      </c>
      <c r="G21" s="405">
        <v>18780155</v>
      </c>
      <c r="H21" s="473">
        <f>+H20</f>
        <v>24978633</v>
      </c>
      <c r="I21" s="406">
        <f>+I20</f>
        <v>27052261</v>
      </c>
      <c r="J21" s="407">
        <f t="shared" si="0"/>
        <v>58040411</v>
      </c>
      <c r="K21" s="407">
        <f t="shared" si="0"/>
        <v>70678419</v>
      </c>
      <c r="L21" s="408">
        <f t="shared" si="1"/>
        <v>71978419</v>
      </c>
    </row>
    <row r="22" spans="1:12" ht="15.75" thickBot="1">
      <c r="A22" s="390" t="s">
        <v>249</v>
      </c>
      <c r="B22" s="391" t="s">
        <v>650</v>
      </c>
      <c r="C22" s="392" t="s">
        <v>651</v>
      </c>
      <c r="D22" s="393">
        <v>39260256</v>
      </c>
      <c r="E22" s="471">
        <f>+E21</f>
        <v>45699786</v>
      </c>
      <c r="F22" s="394">
        <f>+F21</f>
        <v>44926158</v>
      </c>
      <c r="G22" s="395">
        <v>18780155</v>
      </c>
      <c r="H22" s="471">
        <f>+H21</f>
        <v>24978633</v>
      </c>
      <c r="I22" s="396">
        <f>+I21</f>
        <v>27052261</v>
      </c>
      <c r="J22" s="397">
        <f t="shared" si="0"/>
        <v>58040411</v>
      </c>
      <c r="K22" s="397">
        <f t="shared" si="0"/>
        <v>70678419</v>
      </c>
      <c r="L22" s="398">
        <f t="shared" si="1"/>
        <v>71978419</v>
      </c>
    </row>
    <row r="23" spans="1:12" ht="18.75" thickBot="1">
      <c r="A23" s="213" t="s">
        <v>25</v>
      </c>
      <c r="B23" s="214" t="s">
        <v>652</v>
      </c>
      <c r="C23" s="215" t="s">
        <v>653</v>
      </c>
      <c r="D23" s="422">
        <v>39270433</v>
      </c>
      <c r="E23" s="476">
        <f>+E22</f>
        <v>45699786</v>
      </c>
      <c r="F23" s="423">
        <f>+F22</f>
        <v>44926158</v>
      </c>
      <c r="G23" s="424">
        <v>33821133.37</v>
      </c>
      <c r="H23" s="476">
        <f>+H15+H22</f>
        <v>39715798</v>
      </c>
      <c r="I23" s="425">
        <f>+I15+I22</f>
        <v>41789426</v>
      </c>
      <c r="J23" s="426">
        <f t="shared" si="0"/>
        <v>73091566.37</v>
      </c>
      <c r="K23" s="426">
        <f t="shared" si="0"/>
        <v>85415584</v>
      </c>
      <c r="L23" s="427">
        <f t="shared" si="1"/>
        <v>86715584</v>
      </c>
    </row>
    <row r="24" spans="1:12" ht="14.25">
      <c r="A24" s="428"/>
      <c r="B24" s="229"/>
      <c r="C24" s="230"/>
      <c r="D24" s="429"/>
      <c r="E24" s="477"/>
      <c r="F24" s="430"/>
      <c r="G24" s="304"/>
      <c r="H24" s="477"/>
      <c r="I24" s="292"/>
      <c r="J24" s="431">
        <f t="shared" si="0"/>
        <v>0</v>
      </c>
      <c r="K24" s="431">
        <f t="shared" si="0"/>
        <v>0</v>
      </c>
      <c r="L24" s="248">
        <f t="shared" si="1"/>
        <v>0</v>
      </c>
    </row>
    <row r="25" spans="1:12" ht="14.25">
      <c r="A25" s="432">
        <v>1</v>
      </c>
      <c r="B25" s="433" t="s">
        <v>272</v>
      </c>
      <c r="C25" s="242" t="s">
        <v>654</v>
      </c>
      <c r="D25" s="429">
        <v>23980637</v>
      </c>
      <c r="E25" s="477">
        <v>26349178</v>
      </c>
      <c r="F25" s="430">
        <v>26349178</v>
      </c>
      <c r="G25" s="304">
        <v>10382900</v>
      </c>
      <c r="H25" s="477">
        <v>10839743</v>
      </c>
      <c r="I25" s="292">
        <v>10839743</v>
      </c>
      <c r="J25" s="434">
        <f t="shared" si="0"/>
        <v>34363537</v>
      </c>
      <c r="K25" s="434">
        <f t="shared" si="0"/>
        <v>37188921</v>
      </c>
      <c r="L25" s="313">
        <f t="shared" si="1"/>
        <v>37188921</v>
      </c>
    </row>
    <row r="26" spans="1:12" ht="14.25">
      <c r="A26" s="432"/>
      <c r="B26" s="433" t="s">
        <v>779</v>
      </c>
      <c r="C26" s="242" t="s">
        <v>780</v>
      </c>
      <c r="D26" s="429"/>
      <c r="E26" s="477">
        <v>1577209</v>
      </c>
      <c r="F26" s="430">
        <v>1577209</v>
      </c>
      <c r="G26" s="304"/>
      <c r="H26" s="477"/>
      <c r="I26" s="292"/>
      <c r="J26" s="434">
        <f t="shared" si="0"/>
        <v>0</v>
      </c>
      <c r="K26" s="434">
        <f t="shared" si="0"/>
        <v>1577209</v>
      </c>
      <c r="L26" s="313">
        <f t="shared" si="1"/>
        <v>1577209</v>
      </c>
    </row>
    <row r="27" spans="1:12" ht="14.25">
      <c r="A27" s="432">
        <v>2</v>
      </c>
      <c r="B27" s="433" t="s">
        <v>781</v>
      </c>
      <c r="C27" s="242" t="s">
        <v>657</v>
      </c>
      <c r="D27" s="429">
        <v>1827000</v>
      </c>
      <c r="E27" s="477">
        <v>1827000</v>
      </c>
      <c r="F27" s="430">
        <v>1827000</v>
      </c>
      <c r="G27" s="304">
        <v>390000</v>
      </c>
      <c r="H27" s="477">
        <v>390000</v>
      </c>
      <c r="I27" s="292">
        <v>390000</v>
      </c>
      <c r="J27" s="434">
        <f t="shared" si="0"/>
        <v>2217000</v>
      </c>
      <c r="K27" s="434">
        <f t="shared" si="0"/>
        <v>2217000</v>
      </c>
      <c r="L27" s="313">
        <f t="shared" si="1"/>
        <v>2217000</v>
      </c>
    </row>
    <row r="28" spans="1:12" ht="14.25">
      <c r="A28" s="432">
        <v>3</v>
      </c>
      <c r="B28" s="241" t="s">
        <v>276</v>
      </c>
      <c r="C28" s="242" t="s">
        <v>658</v>
      </c>
      <c r="D28" s="429">
        <v>1139400</v>
      </c>
      <c r="E28" s="477">
        <v>994570</v>
      </c>
      <c r="F28" s="430">
        <v>994570</v>
      </c>
      <c r="G28" s="304">
        <v>506401</v>
      </c>
      <c r="H28" s="477">
        <v>509400</v>
      </c>
      <c r="I28" s="292">
        <v>509400</v>
      </c>
      <c r="J28" s="434">
        <f t="shared" si="0"/>
        <v>1645801</v>
      </c>
      <c r="K28" s="434">
        <f t="shared" si="0"/>
        <v>1503970</v>
      </c>
      <c r="L28" s="313">
        <f t="shared" si="1"/>
        <v>1503970</v>
      </c>
    </row>
    <row r="29" spans="1:12" ht="14.25">
      <c r="A29" s="432">
        <v>4</v>
      </c>
      <c r="B29" s="241" t="s">
        <v>659</v>
      </c>
      <c r="C29" s="242" t="s">
        <v>660</v>
      </c>
      <c r="D29" s="429">
        <v>0</v>
      </c>
      <c r="E29" s="477">
        <v>16854</v>
      </c>
      <c r="F29" s="430">
        <v>16854</v>
      </c>
      <c r="G29" s="304">
        <v>119988</v>
      </c>
      <c r="H29" s="477">
        <v>146907</v>
      </c>
      <c r="I29" s="292">
        <v>146907</v>
      </c>
      <c r="J29" s="434">
        <f t="shared" si="0"/>
        <v>119988</v>
      </c>
      <c r="K29" s="434">
        <f t="shared" si="0"/>
        <v>163761</v>
      </c>
      <c r="L29" s="313">
        <f t="shared" si="1"/>
        <v>163761</v>
      </c>
    </row>
    <row r="30" spans="1:12" ht="14.25">
      <c r="A30" s="432">
        <v>5</v>
      </c>
      <c r="B30" s="241" t="s">
        <v>279</v>
      </c>
      <c r="C30" s="242" t="s">
        <v>663</v>
      </c>
      <c r="D30" s="429">
        <v>2164674</v>
      </c>
      <c r="E30" s="477">
        <v>138047</v>
      </c>
      <c r="F30" s="430">
        <v>138047</v>
      </c>
      <c r="G30" s="304">
        <v>0</v>
      </c>
      <c r="H30" s="477">
        <v>62578</v>
      </c>
      <c r="I30" s="292">
        <v>62578</v>
      </c>
      <c r="J30" s="434">
        <f t="shared" si="0"/>
        <v>2164674</v>
      </c>
      <c r="K30" s="434">
        <f t="shared" si="0"/>
        <v>200625</v>
      </c>
      <c r="L30" s="313">
        <f t="shared" si="1"/>
        <v>200625</v>
      </c>
    </row>
    <row r="31" spans="1:12" ht="15">
      <c r="A31" s="435">
        <v>6</v>
      </c>
      <c r="B31" s="254" t="s">
        <v>664</v>
      </c>
      <c r="C31" s="255" t="s">
        <v>665</v>
      </c>
      <c r="D31" s="436">
        <v>29111711</v>
      </c>
      <c r="E31" s="478">
        <f>SUM(E25:E30)</f>
        <v>30902858</v>
      </c>
      <c r="F31" s="437">
        <f>SUM(F25:F30)</f>
        <v>30902858</v>
      </c>
      <c r="G31" s="263">
        <v>11399289</v>
      </c>
      <c r="H31" s="478">
        <f>SUM(H25:H30)</f>
        <v>11948628</v>
      </c>
      <c r="I31" s="258">
        <f>SUM(I25:I30)</f>
        <v>11948628</v>
      </c>
      <c r="J31" s="438">
        <f t="shared" si="0"/>
        <v>40511000</v>
      </c>
      <c r="K31" s="438">
        <f t="shared" si="0"/>
        <v>42851486</v>
      </c>
      <c r="L31" s="264">
        <f t="shared" si="1"/>
        <v>42851486</v>
      </c>
    </row>
    <row r="32" spans="1:12" ht="28.5">
      <c r="A32" s="435">
        <v>7</v>
      </c>
      <c r="B32" s="241" t="s">
        <v>782</v>
      </c>
      <c r="C32" s="312" t="s">
        <v>667</v>
      </c>
      <c r="D32" s="429">
        <v>0</v>
      </c>
      <c r="E32" s="477">
        <v>1454600</v>
      </c>
      <c r="F32" s="430">
        <v>1454600</v>
      </c>
      <c r="G32" s="304">
        <v>0</v>
      </c>
      <c r="H32" s="477"/>
      <c r="I32" s="292">
        <v>0</v>
      </c>
      <c r="J32" s="439">
        <f t="shared" si="0"/>
        <v>0</v>
      </c>
      <c r="K32" s="439">
        <f t="shared" si="0"/>
        <v>1454600</v>
      </c>
      <c r="L32" s="293">
        <f t="shared" si="1"/>
        <v>1454600</v>
      </c>
    </row>
    <row r="33" spans="1:12" ht="15">
      <c r="A33" s="435"/>
      <c r="B33" s="241" t="s">
        <v>668</v>
      </c>
      <c r="C33" s="312" t="s">
        <v>783</v>
      </c>
      <c r="D33" s="429"/>
      <c r="E33" s="477">
        <v>71643</v>
      </c>
      <c r="F33" s="430">
        <v>71643</v>
      </c>
      <c r="G33" s="304"/>
      <c r="H33" s="477"/>
      <c r="I33" s="292"/>
      <c r="J33" s="439">
        <f t="shared" si="0"/>
        <v>0</v>
      </c>
      <c r="K33" s="439">
        <f t="shared" si="0"/>
        <v>71643</v>
      </c>
      <c r="L33" s="293">
        <f t="shared" si="1"/>
        <v>71643</v>
      </c>
    </row>
    <row r="34" spans="1:12" ht="15">
      <c r="A34" s="435">
        <v>8</v>
      </c>
      <c r="B34" s="254" t="s">
        <v>670</v>
      </c>
      <c r="C34" s="440" t="s">
        <v>671</v>
      </c>
      <c r="D34" s="436">
        <v>0</v>
      </c>
      <c r="E34" s="478">
        <f>SUM(E32:E33)</f>
        <v>1526243</v>
      </c>
      <c r="F34" s="437">
        <f>+F32+F33</f>
        <v>1526243</v>
      </c>
      <c r="G34" s="263">
        <v>0</v>
      </c>
      <c r="H34" s="478"/>
      <c r="I34" s="258">
        <v>0</v>
      </c>
      <c r="J34" s="438">
        <f t="shared" si="0"/>
        <v>0</v>
      </c>
      <c r="K34" s="438">
        <f t="shared" si="0"/>
        <v>1526243</v>
      </c>
      <c r="L34" s="264">
        <f t="shared" si="1"/>
        <v>1526243</v>
      </c>
    </row>
    <row r="35" spans="1:12" ht="15">
      <c r="A35" s="435">
        <v>9</v>
      </c>
      <c r="B35" s="254" t="s">
        <v>672</v>
      </c>
      <c r="C35" s="255" t="s">
        <v>673</v>
      </c>
      <c r="D35" s="386">
        <v>29111711</v>
      </c>
      <c r="E35" s="470">
        <f>+E31+E34</f>
        <v>32429101</v>
      </c>
      <c r="F35" s="387">
        <f>+F31+F34</f>
        <v>32429101</v>
      </c>
      <c r="G35" s="388">
        <v>11399289</v>
      </c>
      <c r="H35" s="470">
        <f>+H31</f>
        <v>11948628</v>
      </c>
      <c r="I35" s="171">
        <f>+I31</f>
        <v>11948628</v>
      </c>
      <c r="J35" s="389">
        <f t="shared" si="0"/>
        <v>40511000</v>
      </c>
      <c r="K35" s="389">
        <f t="shared" si="0"/>
        <v>44377729</v>
      </c>
      <c r="L35" s="322">
        <f t="shared" si="1"/>
        <v>44377729</v>
      </c>
    </row>
    <row r="36" spans="1:12" ht="30">
      <c r="A36" s="435">
        <v>10</v>
      </c>
      <c r="B36" s="254" t="s">
        <v>784</v>
      </c>
      <c r="C36" s="255" t="s">
        <v>675</v>
      </c>
      <c r="D36" s="386">
        <v>5847693.6450000005</v>
      </c>
      <c r="E36" s="470">
        <f>SUM(E37:E40)</f>
        <v>6455725</v>
      </c>
      <c r="F36" s="387">
        <f>SUM(F37:F40)</f>
        <v>6455725</v>
      </c>
      <c r="G36" s="388">
        <v>2275423.845</v>
      </c>
      <c r="H36" s="470">
        <f>SUM(H37:H40)</f>
        <v>2275660</v>
      </c>
      <c r="I36" s="171">
        <f>SUM(I37:I40)</f>
        <v>2275660</v>
      </c>
      <c r="J36" s="389">
        <f t="shared" si="0"/>
        <v>8123117.49</v>
      </c>
      <c r="K36" s="389">
        <f t="shared" si="0"/>
        <v>8731385</v>
      </c>
      <c r="L36" s="322">
        <f t="shared" si="1"/>
        <v>8731385</v>
      </c>
    </row>
    <row r="37" spans="1:12" ht="14.25">
      <c r="A37" s="432">
        <v>11</v>
      </c>
      <c r="B37" s="272" t="s">
        <v>676</v>
      </c>
      <c r="C37" s="273" t="s">
        <v>675</v>
      </c>
      <c r="D37" s="441">
        <v>5676783.6450000005</v>
      </c>
      <c r="E37" s="479">
        <v>5980696</v>
      </c>
      <c r="F37" s="442">
        <v>5980696</v>
      </c>
      <c r="G37" s="308">
        <v>2199463.6950000003</v>
      </c>
      <c r="H37" s="479">
        <v>2199248</v>
      </c>
      <c r="I37" s="307">
        <v>2199248</v>
      </c>
      <c r="J37" s="443">
        <f t="shared" si="0"/>
        <v>7876247.340000001</v>
      </c>
      <c r="K37" s="443">
        <f t="shared" si="0"/>
        <v>8179944</v>
      </c>
      <c r="L37" s="311">
        <f t="shared" si="1"/>
        <v>8179944</v>
      </c>
    </row>
    <row r="38" spans="1:12" ht="14.25">
      <c r="A38" s="432"/>
      <c r="B38" s="272" t="s">
        <v>680</v>
      </c>
      <c r="C38" s="273" t="s">
        <v>675</v>
      </c>
      <c r="D38" s="441">
        <v>0</v>
      </c>
      <c r="E38" s="479">
        <v>325840</v>
      </c>
      <c r="F38" s="442">
        <v>325840</v>
      </c>
      <c r="G38" s="308"/>
      <c r="H38" s="479"/>
      <c r="I38" s="307"/>
      <c r="J38" s="443">
        <f t="shared" si="0"/>
        <v>0</v>
      </c>
      <c r="K38" s="443">
        <f t="shared" si="0"/>
        <v>325840</v>
      </c>
      <c r="L38" s="311">
        <f t="shared" si="1"/>
        <v>325840</v>
      </c>
    </row>
    <row r="39" spans="1:12" ht="28.5">
      <c r="A39" s="432"/>
      <c r="B39" s="272" t="s">
        <v>785</v>
      </c>
      <c r="C39" s="273" t="s">
        <v>675</v>
      </c>
      <c r="D39" s="441"/>
      <c r="E39" s="479"/>
      <c r="F39" s="442"/>
      <c r="G39" s="308"/>
      <c r="H39" s="479"/>
      <c r="I39" s="307"/>
      <c r="J39" s="443">
        <f t="shared" si="0"/>
        <v>0</v>
      </c>
      <c r="K39" s="443">
        <f t="shared" si="0"/>
        <v>0</v>
      </c>
      <c r="L39" s="311">
        <f t="shared" si="1"/>
        <v>0</v>
      </c>
    </row>
    <row r="40" spans="1:12" ht="14.25">
      <c r="A40" s="432">
        <v>13</v>
      </c>
      <c r="B40" s="272" t="s">
        <v>682</v>
      </c>
      <c r="C40" s="273" t="s">
        <v>675</v>
      </c>
      <c r="D40" s="441">
        <v>170910</v>
      </c>
      <c r="E40" s="479">
        <v>149189</v>
      </c>
      <c r="F40" s="442">
        <v>149189</v>
      </c>
      <c r="G40" s="308">
        <v>75960.15000000001</v>
      </c>
      <c r="H40" s="479">
        <v>76412</v>
      </c>
      <c r="I40" s="307">
        <v>76412</v>
      </c>
      <c r="J40" s="443">
        <f t="shared" si="0"/>
        <v>246870.15000000002</v>
      </c>
      <c r="K40" s="443">
        <f t="shared" si="0"/>
        <v>225601</v>
      </c>
      <c r="L40" s="311">
        <f t="shared" si="1"/>
        <v>225601</v>
      </c>
    </row>
    <row r="41" spans="1:12" ht="31.5">
      <c r="A41" s="444">
        <v>14</v>
      </c>
      <c r="B41" s="281" t="s">
        <v>684</v>
      </c>
      <c r="C41" s="282" t="s">
        <v>685</v>
      </c>
      <c r="D41" s="445">
        <v>34959404.645</v>
      </c>
      <c r="E41" s="480">
        <f>+E35+E36</f>
        <v>38884826</v>
      </c>
      <c r="F41" s="446">
        <f>+F35+F36</f>
        <v>38884826</v>
      </c>
      <c r="G41" s="447">
        <v>13674712.845</v>
      </c>
      <c r="H41" s="480">
        <f>+H35+H36</f>
        <v>14224288</v>
      </c>
      <c r="I41" s="285">
        <f>+I35+I36</f>
        <v>14224288</v>
      </c>
      <c r="J41" s="448">
        <f t="shared" si="0"/>
        <v>48634117.49</v>
      </c>
      <c r="K41" s="448">
        <f t="shared" si="0"/>
        <v>53109114</v>
      </c>
      <c r="L41" s="449">
        <f t="shared" si="1"/>
        <v>53109114</v>
      </c>
    </row>
    <row r="42" spans="1:12" ht="14.25">
      <c r="A42" s="432">
        <v>15</v>
      </c>
      <c r="B42" s="241" t="s">
        <v>686</v>
      </c>
      <c r="C42" s="242" t="s">
        <v>687</v>
      </c>
      <c r="D42" s="429">
        <v>262847</v>
      </c>
      <c r="E42" s="477">
        <v>285837</v>
      </c>
      <c r="F42" s="430">
        <v>285837</v>
      </c>
      <c r="G42" s="304">
        <v>0</v>
      </c>
      <c r="H42" s="477">
        <v>5339</v>
      </c>
      <c r="I42" s="292">
        <v>5339</v>
      </c>
      <c r="J42" s="439">
        <f t="shared" si="0"/>
        <v>262847</v>
      </c>
      <c r="K42" s="439">
        <f t="shared" si="0"/>
        <v>291176</v>
      </c>
      <c r="L42" s="293">
        <f t="shared" si="1"/>
        <v>291176</v>
      </c>
    </row>
    <row r="43" spans="1:12" ht="14.25">
      <c r="A43" s="432">
        <v>16</v>
      </c>
      <c r="B43" s="241" t="s">
        <v>690</v>
      </c>
      <c r="C43" s="242" t="s">
        <v>691</v>
      </c>
      <c r="D43" s="429">
        <v>1123332</v>
      </c>
      <c r="E43" s="477">
        <v>1333393</v>
      </c>
      <c r="F43" s="430">
        <f>1273086+60307</f>
        <v>1333393</v>
      </c>
      <c r="G43" s="304">
        <v>15011451.118110236</v>
      </c>
      <c r="H43" s="477">
        <v>17842594</v>
      </c>
      <c r="I43" s="292">
        <v>17842594</v>
      </c>
      <c r="J43" s="439">
        <f t="shared" si="0"/>
        <v>16134783.118110236</v>
      </c>
      <c r="K43" s="439">
        <f t="shared" si="0"/>
        <v>19175987</v>
      </c>
      <c r="L43" s="293">
        <f t="shared" si="1"/>
        <v>19175987</v>
      </c>
    </row>
    <row r="44" spans="1:12" ht="15">
      <c r="A44" s="435">
        <v>17</v>
      </c>
      <c r="B44" s="254" t="s">
        <v>696</v>
      </c>
      <c r="C44" s="255" t="s">
        <v>697</v>
      </c>
      <c r="D44" s="436">
        <v>1386179</v>
      </c>
      <c r="E44" s="478">
        <f>SUM(E42:E43)</f>
        <v>1619230</v>
      </c>
      <c r="F44" s="437">
        <f>+F42+F43</f>
        <v>1619230</v>
      </c>
      <c r="G44" s="263">
        <v>15011451.118110236</v>
      </c>
      <c r="H44" s="478">
        <f>SUM(H42:H43)</f>
        <v>17847933</v>
      </c>
      <c r="I44" s="258">
        <f>SUM(I42:I43)</f>
        <v>17847933</v>
      </c>
      <c r="J44" s="438">
        <f t="shared" si="0"/>
        <v>16397630.118110236</v>
      </c>
      <c r="K44" s="438">
        <f t="shared" si="0"/>
        <v>19467163</v>
      </c>
      <c r="L44" s="264">
        <f t="shared" si="1"/>
        <v>19467163</v>
      </c>
    </row>
    <row r="45" spans="1:12" ht="14.25">
      <c r="A45" s="432">
        <v>18</v>
      </c>
      <c r="B45" s="241" t="s">
        <v>698</v>
      </c>
      <c r="C45" s="242" t="s">
        <v>699</v>
      </c>
      <c r="D45" s="429">
        <v>45833</v>
      </c>
      <c r="E45" s="477">
        <v>45675</v>
      </c>
      <c r="F45" s="430">
        <v>45675</v>
      </c>
      <c r="G45" s="304">
        <v>65512</v>
      </c>
      <c r="H45" s="477">
        <v>60000</v>
      </c>
      <c r="I45" s="292">
        <v>60000</v>
      </c>
      <c r="J45" s="439">
        <f t="shared" si="0"/>
        <v>111345</v>
      </c>
      <c r="K45" s="439">
        <f t="shared" si="0"/>
        <v>105675</v>
      </c>
      <c r="L45" s="293">
        <f t="shared" si="1"/>
        <v>105675</v>
      </c>
    </row>
    <row r="46" spans="1:12" ht="14.25">
      <c r="A46" s="432">
        <v>19</v>
      </c>
      <c r="B46" s="241" t="s">
        <v>704</v>
      </c>
      <c r="C46" s="242" t="s">
        <v>705</v>
      </c>
      <c r="D46" s="429">
        <v>24913</v>
      </c>
      <c r="E46" s="477">
        <v>24303</v>
      </c>
      <c r="F46" s="430">
        <v>24303</v>
      </c>
      <c r="G46" s="304">
        <v>0</v>
      </c>
      <c r="H46" s="477">
        <v>0</v>
      </c>
      <c r="I46" s="292">
        <v>0</v>
      </c>
      <c r="J46" s="439">
        <f t="shared" si="0"/>
        <v>24913</v>
      </c>
      <c r="K46" s="439">
        <f t="shared" si="0"/>
        <v>24303</v>
      </c>
      <c r="L46" s="293">
        <f t="shared" si="1"/>
        <v>24303</v>
      </c>
    </row>
    <row r="47" spans="1:12" ht="15">
      <c r="A47" s="435">
        <v>20</v>
      </c>
      <c r="B47" s="254" t="s">
        <v>707</v>
      </c>
      <c r="C47" s="255" t="s">
        <v>708</v>
      </c>
      <c r="D47" s="436">
        <v>70746</v>
      </c>
      <c r="E47" s="478">
        <f>SUM(E45:E46)</f>
        <v>69978</v>
      </c>
      <c r="F47" s="437">
        <f>+F45+F46</f>
        <v>69978</v>
      </c>
      <c r="G47" s="263">
        <v>65512</v>
      </c>
      <c r="H47" s="478">
        <f>+H45+H46</f>
        <v>60000</v>
      </c>
      <c r="I47" s="258">
        <v>60000</v>
      </c>
      <c r="J47" s="438">
        <f t="shared" si="0"/>
        <v>136258</v>
      </c>
      <c r="K47" s="438">
        <f t="shared" si="0"/>
        <v>129978</v>
      </c>
      <c r="L47" s="264">
        <f t="shared" si="1"/>
        <v>129978</v>
      </c>
    </row>
    <row r="48" spans="1:12" ht="14.25">
      <c r="A48" s="432">
        <v>21</v>
      </c>
      <c r="B48" s="241" t="s">
        <v>709</v>
      </c>
      <c r="C48" s="242" t="s">
        <v>710</v>
      </c>
      <c r="D48" s="429">
        <v>1077258</v>
      </c>
      <c r="E48" s="477">
        <v>498244</v>
      </c>
      <c r="F48" s="430">
        <v>498244</v>
      </c>
      <c r="G48" s="304">
        <v>1275155</v>
      </c>
      <c r="H48" s="477">
        <v>1041212</v>
      </c>
      <c r="I48" s="292">
        <v>1041212</v>
      </c>
      <c r="J48" s="439">
        <f t="shared" si="0"/>
        <v>2352413</v>
      </c>
      <c r="K48" s="439">
        <f t="shared" si="0"/>
        <v>1539456</v>
      </c>
      <c r="L48" s="293">
        <f t="shared" si="1"/>
        <v>1539456</v>
      </c>
    </row>
    <row r="49" spans="1:12" ht="14.25">
      <c r="A49" s="432">
        <v>22</v>
      </c>
      <c r="B49" s="241" t="s">
        <v>786</v>
      </c>
      <c r="C49" s="242" t="s">
        <v>787</v>
      </c>
      <c r="D49" s="429"/>
      <c r="E49" s="477">
        <v>3810</v>
      </c>
      <c r="F49" s="430">
        <v>3810</v>
      </c>
      <c r="G49" s="304">
        <v>8413</v>
      </c>
      <c r="H49" s="477">
        <v>0</v>
      </c>
      <c r="I49" s="292">
        <v>0</v>
      </c>
      <c r="J49" s="439">
        <f t="shared" si="0"/>
        <v>8413</v>
      </c>
      <c r="K49" s="439">
        <f t="shared" si="0"/>
        <v>3810</v>
      </c>
      <c r="L49" s="293">
        <f t="shared" si="1"/>
        <v>3810</v>
      </c>
    </row>
    <row r="50" spans="1:12" ht="14.25">
      <c r="A50" s="432">
        <v>23</v>
      </c>
      <c r="B50" s="241" t="s">
        <v>788</v>
      </c>
      <c r="C50" s="242" t="s">
        <v>789</v>
      </c>
      <c r="D50" s="429"/>
      <c r="E50" s="477">
        <v>17327</v>
      </c>
      <c r="F50" s="430">
        <v>17327</v>
      </c>
      <c r="G50" s="304">
        <v>0</v>
      </c>
      <c r="H50" s="477">
        <v>0</v>
      </c>
      <c r="I50" s="292">
        <v>0</v>
      </c>
      <c r="J50" s="439">
        <f t="shared" si="0"/>
        <v>0</v>
      </c>
      <c r="K50" s="439">
        <f t="shared" si="0"/>
        <v>17327</v>
      </c>
      <c r="L50" s="293">
        <f t="shared" si="1"/>
        <v>17327</v>
      </c>
    </row>
    <row r="51" spans="1:12" ht="14.25">
      <c r="A51" s="432">
        <v>24</v>
      </c>
      <c r="B51" s="241" t="s">
        <v>790</v>
      </c>
      <c r="C51" s="242" t="s">
        <v>715</v>
      </c>
      <c r="D51" s="429">
        <v>6933</v>
      </c>
      <c r="E51" s="477">
        <v>0</v>
      </c>
      <c r="F51" s="430">
        <v>0</v>
      </c>
      <c r="G51" s="304">
        <v>240410</v>
      </c>
      <c r="H51" s="477">
        <v>456851</v>
      </c>
      <c r="I51" s="292">
        <v>456851</v>
      </c>
      <c r="J51" s="439">
        <f t="shared" si="0"/>
        <v>247343</v>
      </c>
      <c r="K51" s="439">
        <f t="shared" si="0"/>
        <v>456851</v>
      </c>
      <c r="L51" s="293">
        <f t="shared" si="1"/>
        <v>456851</v>
      </c>
    </row>
    <row r="52" spans="1:12" ht="14.25">
      <c r="A52" s="432">
        <v>25</v>
      </c>
      <c r="B52" s="241" t="s">
        <v>716</v>
      </c>
      <c r="C52" s="242" t="s">
        <v>717</v>
      </c>
      <c r="D52" s="429">
        <v>495205</v>
      </c>
      <c r="E52" s="477">
        <v>975200</v>
      </c>
      <c r="F52" s="430">
        <v>975200</v>
      </c>
      <c r="G52" s="304">
        <v>6724</v>
      </c>
      <c r="H52" s="477">
        <v>34500</v>
      </c>
      <c r="I52" s="292">
        <v>34500</v>
      </c>
      <c r="J52" s="434">
        <f t="shared" si="0"/>
        <v>501929</v>
      </c>
      <c r="K52" s="434">
        <f t="shared" si="0"/>
        <v>1009700</v>
      </c>
      <c r="L52" s="313">
        <f t="shared" si="1"/>
        <v>1009700</v>
      </c>
    </row>
    <row r="53" spans="1:12" ht="14.25">
      <c r="A53" s="432">
        <v>26</v>
      </c>
      <c r="B53" s="241" t="s">
        <v>791</v>
      </c>
      <c r="C53" s="242" t="s">
        <v>719</v>
      </c>
      <c r="D53" s="429">
        <v>401021</v>
      </c>
      <c r="E53" s="477">
        <v>965693</v>
      </c>
      <c r="F53" s="430">
        <f>522929+442764</f>
        <v>965693</v>
      </c>
      <c r="G53" s="304">
        <v>172091</v>
      </c>
      <c r="H53" s="477">
        <v>117622</v>
      </c>
      <c r="I53" s="292">
        <v>117622</v>
      </c>
      <c r="J53" s="434">
        <f t="shared" si="0"/>
        <v>573112</v>
      </c>
      <c r="K53" s="434">
        <f t="shared" si="0"/>
        <v>1083315</v>
      </c>
      <c r="L53" s="313">
        <f t="shared" si="1"/>
        <v>1083315</v>
      </c>
    </row>
    <row r="54" spans="1:12" ht="15">
      <c r="A54" s="435">
        <v>27</v>
      </c>
      <c r="B54" s="254" t="s">
        <v>725</v>
      </c>
      <c r="C54" s="255" t="s">
        <v>726</v>
      </c>
      <c r="D54" s="436">
        <v>1980417</v>
      </c>
      <c r="E54" s="478">
        <f>SUM(E48:E53)</f>
        <v>2460274</v>
      </c>
      <c r="F54" s="437">
        <f>SUM(F48:F53)</f>
        <v>2460274</v>
      </c>
      <c r="G54" s="263">
        <v>1702793</v>
      </c>
      <c r="H54" s="478">
        <f>SUM(H48:H53)</f>
        <v>1650185</v>
      </c>
      <c r="I54" s="258">
        <f>SUM(I48:I53)</f>
        <v>1650185</v>
      </c>
      <c r="J54" s="438">
        <f t="shared" si="0"/>
        <v>3683210</v>
      </c>
      <c r="K54" s="438">
        <f t="shared" si="0"/>
        <v>4110459</v>
      </c>
      <c r="L54" s="264">
        <f t="shared" si="1"/>
        <v>4110459</v>
      </c>
    </row>
    <row r="55" spans="1:12" ht="14.25">
      <c r="A55" s="432">
        <v>28</v>
      </c>
      <c r="B55" s="241" t="s">
        <v>792</v>
      </c>
      <c r="C55" s="242" t="s">
        <v>793</v>
      </c>
      <c r="D55" s="429">
        <v>0</v>
      </c>
      <c r="E55" s="477">
        <v>0</v>
      </c>
      <c r="F55" s="430">
        <v>0</v>
      </c>
      <c r="G55" s="304"/>
      <c r="H55" s="477"/>
      <c r="I55" s="292"/>
      <c r="J55" s="443">
        <f t="shared" si="0"/>
        <v>0</v>
      </c>
      <c r="K55" s="443">
        <f t="shared" si="0"/>
        <v>0</v>
      </c>
      <c r="L55" s="311">
        <f t="shared" si="1"/>
        <v>0</v>
      </c>
    </row>
    <row r="56" spans="1:12" ht="15">
      <c r="A56" s="435">
        <v>29</v>
      </c>
      <c r="B56" s="254" t="s">
        <v>729</v>
      </c>
      <c r="C56" s="255" t="s">
        <v>730</v>
      </c>
      <c r="D56" s="436">
        <v>0</v>
      </c>
      <c r="E56" s="478">
        <v>0</v>
      </c>
      <c r="F56" s="437">
        <v>0</v>
      </c>
      <c r="G56" s="263">
        <v>0</v>
      </c>
      <c r="H56" s="478"/>
      <c r="I56" s="258">
        <v>0</v>
      </c>
      <c r="J56" s="438">
        <f t="shared" si="0"/>
        <v>0</v>
      </c>
      <c r="K56" s="438">
        <f t="shared" si="0"/>
        <v>0</v>
      </c>
      <c r="L56" s="264">
        <f t="shared" si="1"/>
        <v>0</v>
      </c>
    </row>
    <row r="57" spans="1:12" ht="28.5">
      <c r="A57" s="432">
        <v>30</v>
      </c>
      <c r="B57" s="241" t="s">
        <v>731</v>
      </c>
      <c r="C57" s="242" t="s">
        <v>732</v>
      </c>
      <c r="D57" s="429">
        <v>614309</v>
      </c>
      <c r="E57" s="477">
        <v>556583</v>
      </c>
      <c r="F57" s="430">
        <f>526864+29719</f>
        <v>556583</v>
      </c>
      <c r="G57" s="304">
        <v>3216270.8818897638</v>
      </c>
      <c r="H57" s="477">
        <v>3768349</v>
      </c>
      <c r="I57" s="292">
        <v>3768349</v>
      </c>
      <c r="J57" s="434">
        <f t="shared" si="0"/>
        <v>3830579.8818897638</v>
      </c>
      <c r="K57" s="434">
        <f t="shared" si="0"/>
        <v>4324932</v>
      </c>
      <c r="L57" s="313">
        <f t="shared" si="1"/>
        <v>4324932</v>
      </c>
    </row>
    <row r="58" spans="1:12" ht="14.25">
      <c r="A58" s="432">
        <v>31</v>
      </c>
      <c r="B58" s="241" t="s">
        <v>794</v>
      </c>
      <c r="C58" s="242" t="s">
        <v>795</v>
      </c>
      <c r="D58" s="429"/>
      <c r="E58" s="477"/>
      <c r="F58" s="430"/>
      <c r="G58" s="304">
        <v>0</v>
      </c>
      <c r="H58" s="477">
        <v>2165000</v>
      </c>
      <c r="I58" s="292">
        <v>2165000</v>
      </c>
      <c r="J58" s="434">
        <f t="shared" si="0"/>
        <v>0</v>
      </c>
      <c r="K58" s="434">
        <f t="shared" si="0"/>
        <v>2165000</v>
      </c>
      <c r="L58" s="313">
        <f t="shared" si="1"/>
        <v>2165000</v>
      </c>
    </row>
    <row r="59" spans="1:12" ht="14.25">
      <c r="A59" s="432">
        <v>32</v>
      </c>
      <c r="B59" s="241" t="s">
        <v>796</v>
      </c>
      <c r="C59" s="242" t="s">
        <v>734</v>
      </c>
      <c r="D59" s="429">
        <v>48702</v>
      </c>
      <c r="E59" s="477">
        <v>5297</v>
      </c>
      <c r="F59" s="430">
        <v>5297</v>
      </c>
      <c r="G59" s="304">
        <v>150394</v>
      </c>
      <c r="H59" s="477">
        <v>43</v>
      </c>
      <c r="I59" s="292">
        <v>43</v>
      </c>
      <c r="J59" s="434">
        <f t="shared" si="0"/>
        <v>199096</v>
      </c>
      <c r="K59" s="434">
        <f t="shared" si="0"/>
        <v>5340</v>
      </c>
      <c r="L59" s="313">
        <f t="shared" si="1"/>
        <v>5340</v>
      </c>
    </row>
    <row r="60" spans="1:12" s="487" customFormat="1" ht="14.25">
      <c r="A60" s="483"/>
      <c r="B60" s="306" t="s">
        <v>810</v>
      </c>
      <c r="C60" s="273" t="s">
        <v>734</v>
      </c>
      <c r="D60" s="484">
        <v>0</v>
      </c>
      <c r="E60" s="485">
        <f>1546178-5340</f>
        <v>1540838</v>
      </c>
      <c r="F60" s="486">
        <v>0</v>
      </c>
      <c r="G60" s="308"/>
      <c r="H60" s="479"/>
      <c r="I60" s="307"/>
      <c r="J60" s="443">
        <f t="shared" si="0"/>
        <v>0</v>
      </c>
      <c r="K60" s="443">
        <f t="shared" si="0"/>
        <v>1540838</v>
      </c>
      <c r="L60" s="311">
        <f t="shared" si="1"/>
        <v>0</v>
      </c>
    </row>
    <row r="61" spans="1:12" ht="30">
      <c r="A61" s="435">
        <v>33</v>
      </c>
      <c r="B61" s="254" t="s">
        <v>735</v>
      </c>
      <c r="C61" s="255" t="s">
        <v>736</v>
      </c>
      <c r="D61" s="436">
        <v>663011</v>
      </c>
      <c r="E61" s="478">
        <f>+E57+E59+E60</f>
        <v>2102718</v>
      </c>
      <c r="F61" s="437">
        <f>SUM(F57:F59)</f>
        <v>561880</v>
      </c>
      <c r="G61" s="263">
        <v>3366664.8818897638</v>
      </c>
      <c r="H61" s="478">
        <f>+H57+H58+H59</f>
        <v>5933392</v>
      </c>
      <c r="I61" s="258">
        <f>SUM(I57:I60)</f>
        <v>5933392</v>
      </c>
      <c r="J61" s="438">
        <f t="shared" si="0"/>
        <v>4029675.8818897638</v>
      </c>
      <c r="K61" s="438">
        <f>+E61+H61</f>
        <v>8036110</v>
      </c>
      <c r="L61" s="264">
        <f t="shared" si="1"/>
        <v>6495272</v>
      </c>
    </row>
    <row r="62" spans="1:12" ht="15">
      <c r="A62" s="435">
        <v>34</v>
      </c>
      <c r="B62" s="254" t="s">
        <v>737</v>
      </c>
      <c r="C62" s="255" t="s">
        <v>738</v>
      </c>
      <c r="D62" s="386">
        <v>4100353</v>
      </c>
      <c r="E62" s="470">
        <f>+E44+E47+E54+E61</f>
        <v>6252200</v>
      </c>
      <c r="F62" s="387">
        <f>+F44+F47+F54+F61</f>
        <v>4711362</v>
      </c>
      <c r="G62" s="388">
        <v>20146421</v>
      </c>
      <c r="H62" s="470">
        <f>+H44+H47+H54+H61</f>
        <v>25491510</v>
      </c>
      <c r="I62" s="171">
        <f>+I44+I47+I54+I61</f>
        <v>25491510</v>
      </c>
      <c r="J62" s="389">
        <f t="shared" si="0"/>
        <v>24246774</v>
      </c>
      <c r="K62" s="389">
        <f t="shared" si="0"/>
        <v>31743710</v>
      </c>
      <c r="L62" s="322">
        <f t="shared" si="1"/>
        <v>30202872</v>
      </c>
    </row>
    <row r="63" spans="1:12" ht="15.75">
      <c r="A63" s="444">
        <v>35</v>
      </c>
      <c r="B63" s="281" t="s">
        <v>739</v>
      </c>
      <c r="C63" s="282" t="s">
        <v>740</v>
      </c>
      <c r="D63" s="445">
        <v>39059757.645</v>
      </c>
      <c r="E63" s="480">
        <f>+E41+E62</f>
        <v>45137026</v>
      </c>
      <c r="F63" s="446">
        <f>+F41+F62</f>
        <v>43596188</v>
      </c>
      <c r="G63" s="447">
        <v>33821133.845</v>
      </c>
      <c r="H63" s="480">
        <f>+H41+H62</f>
        <v>39715798</v>
      </c>
      <c r="I63" s="285">
        <f>+I41+I62</f>
        <v>39715798</v>
      </c>
      <c r="J63" s="448">
        <f t="shared" si="0"/>
        <v>72880891.49000001</v>
      </c>
      <c r="K63" s="448">
        <f t="shared" si="0"/>
        <v>84852824</v>
      </c>
      <c r="L63" s="449">
        <f t="shared" si="1"/>
        <v>83311986</v>
      </c>
    </row>
    <row r="64" spans="1:12" ht="14.25">
      <c r="A64" s="432"/>
      <c r="B64" s="315" t="s">
        <v>797</v>
      </c>
      <c r="C64" s="242"/>
      <c r="D64" s="429"/>
      <c r="E64" s="477">
        <v>190142</v>
      </c>
      <c r="F64" s="430">
        <v>190142</v>
      </c>
      <c r="G64" s="304"/>
      <c r="H64" s="477"/>
      <c r="I64" s="292"/>
      <c r="J64" s="434">
        <f t="shared" si="0"/>
        <v>0</v>
      </c>
      <c r="K64" s="434">
        <f t="shared" si="0"/>
        <v>190142</v>
      </c>
      <c r="L64" s="313">
        <f t="shared" si="1"/>
        <v>190142</v>
      </c>
    </row>
    <row r="65" spans="1:12" ht="14.25">
      <c r="A65" s="432">
        <v>36</v>
      </c>
      <c r="B65" s="315" t="s">
        <v>798</v>
      </c>
      <c r="C65" s="242" t="s">
        <v>799</v>
      </c>
      <c r="D65" s="429">
        <v>177637</v>
      </c>
      <c r="E65" s="477">
        <v>252976</v>
      </c>
      <c r="F65" s="430">
        <v>252976</v>
      </c>
      <c r="G65" s="304">
        <v>0</v>
      </c>
      <c r="H65" s="477"/>
      <c r="I65" s="292">
        <v>0</v>
      </c>
      <c r="J65" s="434">
        <f t="shared" si="0"/>
        <v>177637</v>
      </c>
      <c r="K65" s="434">
        <f t="shared" si="0"/>
        <v>252976</v>
      </c>
      <c r="L65" s="313">
        <f t="shared" si="1"/>
        <v>252976</v>
      </c>
    </row>
    <row r="66" spans="1:12" ht="28.5">
      <c r="A66" s="432">
        <v>37</v>
      </c>
      <c r="B66" s="241" t="s">
        <v>800</v>
      </c>
      <c r="C66" s="242" t="s">
        <v>801</v>
      </c>
      <c r="D66" s="429">
        <v>33038</v>
      </c>
      <c r="E66" s="477">
        <v>119642</v>
      </c>
      <c r="F66" s="430">
        <v>119642</v>
      </c>
      <c r="G66" s="304">
        <v>0</v>
      </c>
      <c r="H66" s="477"/>
      <c r="I66" s="292">
        <v>0</v>
      </c>
      <c r="J66" s="434">
        <f t="shared" si="0"/>
        <v>33038</v>
      </c>
      <c r="K66" s="434">
        <f t="shared" si="0"/>
        <v>119642</v>
      </c>
      <c r="L66" s="313">
        <f t="shared" si="1"/>
        <v>119642</v>
      </c>
    </row>
    <row r="67" spans="1:12" ht="15">
      <c r="A67" s="435">
        <v>38</v>
      </c>
      <c r="B67" s="323" t="s">
        <v>742</v>
      </c>
      <c r="C67" s="255" t="s">
        <v>748</v>
      </c>
      <c r="D67" s="386">
        <v>210675</v>
      </c>
      <c r="E67" s="470">
        <f>SUM(E64:E66)</f>
        <v>562760</v>
      </c>
      <c r="F67" s="387">
        <f>SUM(F64:F66)</f>
        <v>562760</v>
      </c>
      <c r="G67" s="388">
        <v>0</v>
      </c>
      <c r="H67" s="470">
        <v>0</v>
      </c>
      <c r="I67" s="171">
        <v>0</v>
      </c>
      <c r="J67" s="389">
        <f t="shared" si="0"/>
        <v>210675</v>
      </c>
      <c r="K67" s="389">
        <f t="shared" si="0"/>
        <v>562760</v>
      </c>
      <c r="L67" s="322">
        <f t="shared" si="1"/>
        <v>562760</v>
      </c>
    </row>
    <row r="68" spans="1:12" ht="14.25">
      <c r="A68" s="432">
        <v>39</v>
      </c>
      <c r="B68" s="24" t="s">
        <v>743</v>
      </c>
      <c r="C68" s="312" t="s">
        <v>744</v>
      </c>
      <c r="D68" s="429">
        <v>0</v>
      </c>
      <c r="E68" s="477"/>
      <c r="F68" s="430">
        <v>0</v>
      </c>
      <c r="G68" s="304">
        <v>0</v>
      </c>
      <c r="H68" s="477"/>
      <c r="I68" s="292">
        <v>0</v>
      </c>
      <c r="J68" s="434">
        <f t="shared" si="0"/>
        <v>0</v>
      </c>
      <c r="K68" s="434">
        <f t="shared" si="0"/>
        <v>0</v>
      </c>
      <c r="L68" s="313">
        <f t="shared" si="1"/>
        <v>0</v>
      </c>
    </row>
    <row r="69" spans="1:12" ht="28.5">
      <c r="A69" s="432">
        <v>40</v>
      </c>
      <c r="B69" s="241" t="s">
        <v>800</v>
      </c>
      <c r="C69" s="312" t="s">
        <v>746</v>
      </c>
      <c r="D69" s="429">
        <v>0</v>
      </c>
      <c r="E69" s="477"/>
      <c r="F69" s="430">
        <v>0</v>
      </c>
      <c r="G69" s="304">
        <v>0</v>
      </c>
      <c r="H69" s="477"/>
      <c r="I69" s="292">
        <v>0</v>
      </c>
      <c r="J69" s="434">
        <f t="shared" si="0"/>
        <v>0</v>
      </c>
      <c r="K69" s="434">
        <f t="shared" si="0"/>
        <v>0</v>
      </c>
      <c r="L69" s="313">
        <f t="shared" si="1"/>
        <v>0</v>
      </c>
    </row>
    <row r="70" spans="1:12" ht="15">
      <c r="A70" s="450">
        <v>41</v>
      </c>
      <c r="B70" s="323" t="s">
        <v>747</v>
      </c>
      <c r="C70" s="451" t="s">
        <v>802</v>
      </c>
      <c r="D70" s="386">
        <v>0</v>
      </c>
      <c r="E70" s="470">
        <v>0</v>
      </c>
      <c r="F70" s="387">
        <v>0</v>
      </c>
      <c r="G70" s="388">
        <v>0</v>
      </c>
      <c r="H70" s="470">
        <v>0</v>
      </c>
      <c r="I70" s="171">
        <v>0</v>
      </c>
      <c r="J70" s="389">
        <f>+D70+G70</f>
        <v>0</v>
      </c>
      <c r="K70" s="389">
        <f>+E70+H70</f>
        <v>0</v>
      </c>
      <c r="L70" s="322">
        <f>+F70+I70</f>
        <v>0</v>
      </c>
    </row>
    <row r="71" spans="1:12" ht="31.5">
      <c r="A71" s="444">
        <v>42</v>
      </c>
      <c r="B71" s="281" t="s">
        <v>803</v>
      </c>
      <c r="C71" s="282" t="s">
        <v>804</v>
      </c>
      <c r="D71" s="445">
        <v>210675</v>
      </c>
      <c r="E71" s="480">
        <f>+E67+E70</f>
        <v>562760</v>
      </c>
      <c r="F71" s="446">
        <f>+F67</f>
        <v>562760</v>
      </c>
      <c r="G71" s="447">
        <v>0</v>
      </c>
      <c r="H71" s="480">
        <f>+H67+H70</f>
        <v>0</v>
      </c>
      <c r="I71" s="285">
        <v>0</v>
      </c>
      <c r="J71" s="448">
        <f>+D71+G71</f>
        <v>210675</v>
      </c>
      <c r="K71" s="448">
        <f>+E71+H71</f>
        <v>562760</v>
      </c>
      <c r="L71" s="449">
        <f>+F71+I71</f>
        <v>562760</v>
      </c>
    </row>
    <row r="72" spans="1:12" ht="15.75" thickBot="1">
      <c r="A72" s="390">
        <v>43</v>
      </c>
      <c r="B72" s="391" t="s">
        <v>749</v>
      </c>
      <c r="C72" s="392" t="s">
        <v>750</v>
      </c>
      <c r="D72" s="393">
        <v>39270432.645</v>
      </c>
      <c r="E72" s="471">
        <f>+E63+E71</f>
        <v>45699786</v>
      </c>
      <c r="F72" s="394">
        <f>+F63+F71</f>
        <v>44158948</v>
      </c>
      <c r="G72" s="395">
        <v>33821133.845</v>
      </c>
      <c r="H72" s="471">
        <f>+H63+H71</f>
        <v>39715798</v>
      </c>
      <c r="I72" s="396">
        <f>+I63</f>
        <v>39715798</v>
      </c>
      <c r="J72" s="397">
        <f>+D72+G72</f>
        <v>73091566.49000001</v>
      </c>
      <c r="K72" s="397">
        <f>+E72+H72</f>
        <v>85415584</v>
      </c>
      <c r="L72" s="398">
        <f>+F72+I72</f>
        <v>83874746</v>
      </c>
    </row>
    <row r="73" spans="1:12" ht="18.75" thickBot="1">
      <c r="A73" s="331">
        <v>44</v>
      </c>
      <c r="B73" s="332" t="s">
        <v>751</v>
      </c>
      <c r="C73" s="452" t="s">
        <v>752</v>
      </c>
      <c r="D73" s="453">
        <v>39270432.645</v>
      </c>
      <c r="E73" s="481">
        <f>+E72</f>
        <v>45699786</v>
      </c>
      <c r="F73" s="454">
        <f>+F72</f>
        <v>44158948</v>
      </c>
      <c r="G73" s="455">
        <v>33821133.845</v>
      </c>
      <c r="H73" s="481">
        <f>+H72</f>
        <v>39715798</v>
      </c>
      <c r="I73" s="456">
        <f>+I72</f>
        <v>39715798</v>
      </c>
      <c r="J73" s="457">
        <f>+D73+G73</f>
        <v>73091566.49000001</v>
      </c>
      <c r="K73" s="457">
        <f>+E73+H73</f>
        <v>85415584</v>
      </c>
      <c r="L73" s="458">
        <f>+F73+I73</f>
        <v>83874746</v>
      </c>
    </row>
    <row r="74" spans="1:11" ht="12.75">
      <c r="A74" s="357"/>
      <c r="B74" s="357"/>
      <c r="C74" s="357"/>
      <c r="D74" s="459">
        <v>0.35499999672174454</v>
      </c>
      <c r="E74" s="459">
        <f>+E23-E73</f>
        <v>0</v>
      </c>
      <c r="F74" s="459">
        <f>+F23-F73</f>
        <v>767210</v>
      </c>
      <c r="G74" s="459">
        <v>-0.4750000014901161</v>
      </c>
      <c r="H74" s="459">
        <f>+H23-H73</f>
        <v>0</v>
      </c>
      <c r="I74" s="459">
        <f>+I23-I73</f>
        <v>2073628</v>
      </c>
      <c r="J74" s="459">
        <v>-0.12000000476837158</v>
      </c>
      <c r="K74" s="459">
        <f>+K23-K73</f>
        <v>0</v>
      </c>
    </row>
    <row r="75" spans="10:12" ht="18">
      <c r="J75" s="355" t="s">
        <v>601</v>
      </c>
      <c r="K75" s="355"/>
      <c r="L75" s="356">
        <f>+L23-L73</f>
        <v>2840838</v>
      </c>
    </row>
  </sheetData>
  <sheetProtection/>
  <mergeCells count="1">
    <mergeCell ref="J75:K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18">
      <c r="A1" s="19" t="s">
        <v>259</v>
      </c>
      <c r="B1" s="20"/>
      <c r="C1" s="20"/>
    </row>
    <row r="2" spans="1:3" ht="18">
      <c r="A2" s="21" t="s">
        <v>8</v>
      </c>
      <c r="B2" s="21" t="s">
        <v>9</v>
      </c>
      <c r="C2" s="21" t="s">
        <v>260</v>
      </c>
    </row>
    <row r="3" spans="1:3" ht="18">
      <c r="A3" s="22">
        <v>1</v>
      </c>
      <c r="B3" s="22">
        <v>2</v>
      </c>
      <c r="C3" s="22">
        <v>3</v>
      </c>
    </row>
    <row r="4" spans="1:3" ht="28.5">
      <c r="A4" s="23" t="s">
        <v>0</v>
      </c>
      <c r="B4" s="24" t="s">
        <v>261</v>
      </c>
      <c r="C4" s="25">
        <v>313026538</v>
      </c>
    </row>
    <row r="5" spans="1:3" ht="28.5">
      <c r="A5" s="23" t="s">
        <v>1</v>
      </c>
      <c r="B5" s="24" t="s">
        <v>262</v>
      </c>
      <c r="C5" s="25">
        <v>320698594</v>
      </c>
    </row>
    <row r="6" spans="1:3" ht="30">
      <c r="A6" s="26" t="s">
        <v>2</v>
      </c>
      <c r="B6" s="27" t="s">
        <v>263</v>
      </c>
      <c r="C6" s="28">
        <v>-7672056</v>
      </c>
    </row>
    <row r="7" spans="1:3" ht="28.5">
      <c r="A7" s="23" t="s">
        <v>4</v>
      </c>
      <c r="B7" s="24" t="s">
        <v>264</v>
      </c>
      <c r="C7" s="25">
        <v>249903025</v>
      </c>
    </row>
    <row r="8" spans="1:3" ht="28.5">
      <c r="A8" s="23" t="s">
        <v>155</v>
      </c>
      <c r="B8" s="24" t="s">
        <v>265</v>
      </c>
      <c r="C8" s="25">
        <v>120300162</v>
      </c>
    </row>
    <row r="9" spans="1:3" ht="30">
      <c r="A9" s="26" t="s">
        <v>17</v>
      </c>
      <c r="B9" s="27" t="s">
        <v>266</v>
      </c>
      <c r="C9" s="28">
        <v>129602863</v>
      </c>
    </row>
    <row r="10" spans="1:3" ht="30">
      <c r="A10" s="26" t="s">
        <v>19</v>
      </c>
      <c r="B10" s="27" t="s">
        <v>267</v>
      </c>
      <c r="C10" s="28">
        <v>121930807</v>
      </c>
    </row>
    <row r="11" spans="1:3" ht="15">
      <c r="A11" s="26" t="s">
        <v>27</v>
      </c>
      <c r="B11" s="27" t="s">
        <v>268</v>
      </c>
      <c r="C11" s="28">
        <v>121930807</v>
      </c>
    </row>
    <row r="12" spans="1:3" ht="30">
      <c r="A12" s="26" t="s">
        <v>31</v>
      </c>
      <c r="B12" s="27" t="s">
        <v>269</v>
      </c>
      <c r="C12" s="28">
        <v>121930807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pane ySplit="3" topLeftCell="A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3.00390625" style="0" bestFit="1" customWidth="1"/>
    <col min="2" max="2" width="41.00390625" style="0" customWidth="1"/>
    <col min="3" max="3" width="31.00390625" style="0" bestFit="1" customWidth="1"/>
    <col min="4" max="4" width="29.25390625" style="0" bestFit="1" customWidth="1"/>
    <col min="5" max="5" width="31.00390625" style="0" bestFit="1" customWidth="1"/>
    <col min="6" max="6" width="24.25390625" style="0" bestFit="1" customWidth="1"/>
    <col min="7" max="7" width="25.125" style="0" bestFit="1" customWidth="1"/>
    <col min="8" max="8" width="23.00390625" style="0" bestFit="1" customWidth="1"/>
    <col min="9" max="9" width="17.625" style="0" bestFit="1" customWidth="1"/>
    <col min="10" max="10" width="15.125" style="0" bestFit="1" customWidth="1"/>
    <col min="11" max="11" width="25.25390625" style="0" bestFit="1" customWidth="1"/>
    <col min="12" max="12" width="26.625" style="0" bestFit="1" customWidth="1"/>
  </cols>
  <sheetData>
    <row r="1" spans="1:12" ht="12.75">
      <c r="A1" s="35" t="s">
        <v>270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47.25">
      <c r="A2" s="37" t="s">
        <v>8</v>
      </c>
      <c r="B2" s="37" t="s">
        <v>9</v>
      </c>
      <c r="C2" s="37" t="s">
        <v>271</v>
      </c>
      <c r="D2" s="37" t="s">
        <v>272</v>
      </c>
      <c r="E2" s="37" t="s">
        <v>273</v>
      </c>
      <c r="F2" s="37" t="s">
        <v>274</v>
      </c>
      <c r="G2" s="37" t="s">
        <v>275</v>
      </c>
      <c r="H2" s="37" t="s">
        <v>276</v>
      </c>
      <c r="I2" s="37" t="s">
        <v>277</v>
      </c>
      <c r="J2" s="37" t="s">
        <v>278</v>
      </c>
      <c r="K2" s="37" t="s">
        <v>279</v>
      </c>
      <c r="L2" s="37" t="s">
        <v>280</v>
      </c>
    </row>
    <row r="3" spans="1:12" ht="15.7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</row>
    <row r="4" spans="1:12" ht="25.5">
      <c r="A4" s="5" t="s">
        <v>6</v>
      </c>
      <c r="B4" s="6" t="s">
        <v>281</v>
      </c>
      <c r="C4" s="7">
        <v>1</v>
      </c>
      <c r="D4" s="7">
        <v>4619600</v>
      </c>
      <c r="E4" s="7">
        <v>626388</v>
      </c>
      <c r="F4" s="7">
        <v>0</v>
      </c>
      <c r="G4" s="7">
        <v>0</v>
      </c>
      <c r="H4" s="7">
        <v>149774</v>
      </c>
      <c r="I4" s="7">
        <v>130916</v>
      </c>
      <c r="J4" s="7">
        <v>0</v>
      </c>
      <c r="K4" s="7">
        <v>0</v>
      </c>
      <c r="L4" s="7">
        <v>0</v>
      </c>
    </row>
    <row r="5" spans="1:12" ht="12.75">
      <c r="A5" s="5" t="s">
        <v>35</v>
      </c>
      <c r="B5" s="6" t="s">
        <v>282</v>
      </c>
      <c r="C5" s="7">
        <v>7</v>
      </c>
      <c r="D5" s="7">
        <v>21124015</v>
      </c>
      <c r="E5" s="7">
        <v>1965229</v>
      </c>
      <c r="F5" s="7">
        <v>0</v>
      </c>
      <c r="G5" s="7">
        <v>0</v>
      </c>
      <c r="H5" s="7">
        <v>1048782</v>
      </c>
      <c r="I5" s="7">
        <v>617252</v>
      </c>
      <c r="J5" s="7">
        <v>0</v>
      </c>
      <c r="K5" s="7">
        <v>2094299</v>
      </c>
      <c r="L5" s="7">
        <v>0</v>
      </c>
    </row>
    <row r="6" spans="1:12" ht="38.25">
      <c r="A6" s="8" t="s">
        <v>45</v>
      </c>
      <c r="B6" s="9" t="s">
        <v>283</v>
      </c>
      <c r="C6" s="10">
        <v>8</v>
      </c>
      <c r="D6" s="10">
        <v>25743615</v>
      </c>
      <c r="E6" s="10">
        <v>2591617</v>
      </c>
      <c r="F6" s="10">
        <v>0</v>
      </c>
      <c r="G6" s="10">
        <v>0</v>
      </c>
      <c r="H6" s="10">
        <v>1198556</v>
      </c>
      <c r="I6" s="10">
        <v>748168</v>
      </c>
      <c r="J6" s="10">
        <v>0</v>
      </c>
      <c r="K6" s="10">
        <v>2094299</v>
      </c>
      <c r="L6" s="10">
        <v>0</v>
      </c>
    </row>
    <row r="7" spans="1:12" ht="12.75">
      <c r="A7" s="5" t="s">
        <v>53</v>
      </c>
      <c r="B7" s="6" t="s">
        <v>284</v>
      </c>
      <c r="C7" s="7">
        <v>10</v>
      </c>
      <c r="D7" s="7">
        <v>24568201</v>
      </c>
      <c r="E7" s="7">
        <v>0</v>
      </c>
      <c r="F7" s="7">
        <v>0</v>
      </c>
      <c r="G7" s="7">
        <v>390000</v>
      </c>
      <c r="H7" s="7">
        <v>1100822</v>
      </c>
      <c r="I7" s="7">
        <v>176527</v>
      </c>
      <c r="J7" s="7">
        <v>0</v>
      </c>
      <c r="K7" s="7">
        <v>200625</v>
      </c>
      <c r="L7" s="7">
        <v>0</v>
      </c>
    </row>
    <row r="8" spans="1:12" ht="12.75">
      <c r="A8" s="5" t="s">
        <v>59</v>
      </c>
      <c r="B8" s="6" t="s">
        <v>285</v>
      </c>
      <c r="C8" s="7">
        <v>1</v>
      </c>
      <c r="D8" s="7">
        <v>989850</v>
      </c>
      <c r="E8" s="7">
        <v>0</v>
      </c>
      <c r="F8" s="7">
        <v>0</v>
      </c>
      <c r="G8" s="7">
        <v>0</v>
      </c>
      <c r="H8" s="7">
        <v>64152</v>
      </c>
      <c r="I8" s="7">
        <v>0</v>
      </c>
      <c r="J8" s="7">
        <v>0</v>
      </c>
      <c r="K8" s="7">
        <v>0</v>
      </c>
      <c r="L8" s="7">
        <v>0</v>
      </c>
    </row>
    <row r="9" spans="1:12" ht="12.75">
      <c r="A9" s="5" t="s">
        <v>61</v>
      </c>
      <c r="B9" s="6" t="s">
        <v>286</v>
      </c>
      <c r="C9" s="7">
        <v>1</v>
      </c>
      <c r="D9" s="7">
        <v>1337710</v>
      </c>
      <c r="E9" s="7">
        <v>0</v>
      </c>
      <c r="F9" s="7">
        <v>0</v>
      </c>
      <c r="G9" s="7">
        <v>0</v>
      </c>
      <c r="H9" s="7">
        <v>31575</v>
      </c>
      <c r="I9" s="7">
        <v>0</v>
      </c>
      <c r="J9" s="7">
        <v>0</v>
      </c>
      <c r="K9" s="7">
        <v>0</v>
      </c>
      <c r="L9" s="7">
        <v>0</v>
      </c>
    </row>
    <row r="10" spans="1:12" ht="12.75">
      <c r="A10" s="5" t="s">
        <v>63</v>
      </c>
      <c r="B10" s="6" t="s">
        <v>287</v>
      </c>
      <c r="C10" s="7">
        <v>1</v>
      </c>
      <c r="D10" s="7">
        <v>4384800</v>
      </c>
      <c r="E10" s="7">
        <v>0</v>
      </c>
      <c r="F10" s="7">
        <v>325670</v>
      </c>
      <c r="G10" s="7">
        <v>1827000</v>
      </c>
      <c r="H10" s="7">
        <v>116396</v>
      </c>
      <c r="I10" s="7">
        <v>0</v>
      </c>
      <c r="J10" s="7">
        <v>0</v>
      </c>
      <c r="K10" s="7">
        <v>0</v>
      </c>
      <c r="L10" s="7">
        <v>0</v>
      </c>
    </row>
    <row r="11" spans="1:12" ht="12.75">
      <c r="A11" s="5" t="s">
        <v>67</v>
      </c>
      <c r="B11" s="6" t="s">
        <v>288</v>
      </c>
      <c r="C11" s="7">
        <v>2</v>
      </c>
      <c r="D11" s="7">
        <v>9179910</v>
      </c>
      <c r="E11" s="7">
        <v>0</v>
      </c>
      <c r="F11" s="7">
        <v>1251539</v>
      </c>
      <c r="G11" s="7">
        <v>0</v>
      </c>
      <c r="H11" s="7">
        <v>254700</v>
      </c>
      <c r="I11" s="7">
        <v>0</v>
      </c>
      <c r="J11" s="7">
        <v>0</v>
      </c>
      <c r="K11" s="7">
        <v>0</v>
      </c>
      <c r="L11" s="7">
        <v>0</v>
      </c>
    </row>
    <row r="12" spans="1:12" ht="25.5">
      <c r="A12" s="8" t="s">
        <v>245</v>
      </c>
      <c r="B12" s="9" t="s">
        <v>289</v>
      </c>
      <c r="C12" s="10">
        <v>15</v>
      </c>
      <c r="D12" s="10">
        <v>40460471</v>
      </c>
      <c r="E12" s="10">
        <v>0</v>
      </c>
      <c r="F12" s="10">
        <v>1577209</v>
      </c>
      <c r="G12" s="10">
        <v>2217000</v>
      </c>
      <c r="H12" s="10">
        <v>1567645</v>
      </c>
      <c r="I12" s="10">
        <v>176527</v>
      </c>
      <c r="J12" s="10">
        <v>0</v>
      </c>
      <c r="K12" s="10">
        <v>200625</v>
      </c>
      <c r="L12" s="10">
        <v>0</v>
      </c>
    </row>
    <row r="13" spans="1:12" ht="38.25">
      <c r="A13" s="5" t="s">
        <v>290</v>
      </c>
      <c r="B13" s="6" t="s">
        <v>291</v>
      </c>
      <c r="C13" s="7">
        <v>3</v>
      </c>
      <c r="D13" s="7">
        <v>6283618</v>
      </c>
      <c r="E13" s="7">
        <v>0</v>
      </c>
      <c r="F13" s="7">
        <v>0</v>
      </c>
      <c r="G13" s="7">
        <v>0</v>
      </c>
      <c r="H13" s="7">
        <v>127350</v>
      </c>
      <c r="I13" s="7">
        <v>0</v>
      </c>
      <c r="J13" s="7">
        <v>0</v>
      </c>
      <c r="K13" s="7">
        <v>113868</v>
      </c>
      <c r="L13" s="7">
        <v>0</v>
      </c>
    </row>
    <row r="14" spans="1:12" ht="12.75">
      <c r="A14" s="5" t="s">
        <v>172</v>
      </c>
      <c r="B14" s="6" t="s">
        <v>292</v>
      </c>
      <c r="C14" s="7">
        <v>7</v>
      </c>
      <c r="D14" s="7">
        <v>7940516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131017</v>
      </c>
      <c r="L14" s="7">
        <v>0</v>
      </c>
    </row>
    <row r="15" spans="1:12" ht="25.5">
      <c r="A15" s="8" t="s">
        <v>293</v>
      </c>
      <c r="B15" s="9" t="s">
        <v>294</v>
      </c>
      <c r="C15" s="10">
        <v>10</v>
      </c>
      <c r="D15" s="10">
        <v>14224134</v>
      </c>
      <c r="E15" s="10">
        <v>0</v>
      </c>
      <c r="F15" s="10">
        <v>0</v>
      </c>
      <c r="G15" s="10">
        <v>0</v>
      </c>
      <c r="H15" s="10">
        <v>127350</v>
      </c>
      <c r="I15" s="10">
        <v>0</v>
      </c>
      <c r="J15" s="10">
        <v>0</v>
      </c>
      <c r="K15" s="10">
        <v>244885</v>
      </c>
      <c r="L15" s="10">
        <v>0</v>
      </c>
    </row>
    <row r="16" spans="1:12" ht="12.75">
      <c r="A16" s="5" t="s">
        <v>295</v>
      </c>
      <c r="B16" s="6" t="s">
        <v>296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7020010</v>
      </c>
    </row>
    <row r="17" spans="1:12" ht="25.5">
      <c r="A17" s="8" t="s">
        <v>297</v>
      </c>
      <c r="B17" s="9" t="s">
        <v>298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7020010</v>
      </c>
    </row>
    <row r="18" spans="1:12" ht="25.5">
      <c r="A18" s="8" t="s">
        <v>299</v>
      </c>
      <c r="B18" s="9" t="s">
        <v>300</v>
      </c>
      <c r="C18" s="10">
        <v>34</v>
      </c>
      <c r="D18" s="10">
        <v>80428220</v>
      </c>
      <c r="E18" s="10">
        <v>2591617</v>
      </c>
      <c r="F18" s="10">
        <v>1577209</v>
      </c>
      <c r="G18" s="10">
        <v>2217000</v>
      </c>
      <c r="H18" s="10">
        <v>2893551</v>
      </c>
      <c r="I18" s="10">
        <v>924695</v>
      </c>
      <c r="J18" s="10">
        <v>0</v>
      </c>
      <c r="K18" s="10">
        <v>2539809</v>
      </c>
      <c r="L18" s="10">
        <v>7020010</v>
      </c>
    </row>
    <row r="19" spans="1:12" ht="38.25">
      <c r="A19" s="5" t="s">
        <v>301</v>
      </c>
      <c r="B19" s="6" t="s">
        <v>302</v>
      </c>
      <c r="C19" s="7">
        <v>34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25.5">
      <c r="A20" s="5" t="s">
        <v>303</v>
      </c>
      <c r="B20" s="6" t="s">
        <v>304</v>
      </c>
      <c r="C20" s="7">
        <v>36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38.25">
      <c r="A21" s="5" t="s">
        <v>95</v>
      </c>
      <c r="B21" s="6" t="s">
        <v>305</v>
      </c>
      <c r="C21" s="7">
        <v>34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3"/>
    </sheetView>
  </sheetViews>
  <sheetFormatPr defaultColWidth="9.00390625" defaultRowHeight="12.75"/>
  <cols>
    <col min="1" max="1" width="3.00390625" style="0" bestFit="1" customWidth="1"/>
    <col min="2" max="2" width="41.00390625" style="0" customWidth="1"/>
    <col min="3" max="3" width="28.25390625" style="0" bestFit="1" customWidth="1"/>
    <col min="4" max="4" width="27.00390625" style="0" bestFit="1" customWidth="1"/>
    <col min="5" max="5" width="27.625" style="0" bestFit="1" customWidth="1"/>
    <col min="6" max="6" width="31.375" style="0" bestFit="1" customWidth="1"/>
    <col min="7" max="7" width="26.25390625" style="0" bestFit="1" customWidth="1"/>
    <col min="8" max="8" width="31.875" style="0" bestFit="1" customWidth="1"/>
    <col min="9" max="9" width="32.375" style="0" bestFit="1" customWidth="1"/>
    <col min="10" max="10" width="20.00390625" style="0" bestFit="1" customWidth="1"/>
  </cols>
  <sheetData>
    <row r="1" spans="1:10" ht="12.75">
      <c r="A1" s="35" t="s">
        <v>306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47.25">
      <c r="A2" s="37" t="s">
        <v>8</v>
      </c>
      <c r="B2" s="37" t="s">
        <v>9</v>
      </c>
      <c r="C2" s="37" t="s">
        <v>307</v>
      </c>
      <c r="D2" s="37" t="s">
        <v>308</v>
      </c>
      <c r="E2" s="37" t="s">
        <v>309</v>
      </c>
      <c r="F2" s="37" t="s">
        <v>310</v>
      </c>
      <c r="G2" s="37" t="s">
        <v>311</v>
      </c>
      <c r="H2" s="37" t="s">
        <v>312</v>
      </c>
      <c r="I2" s="37" t="s">
        <v>313</v>
      </c>
      <c r="J2" s="37" t="s">
        <v>314</v>
      </c>
    </row>
    <row r="3" spans="1:10" ht="15.7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</row>
    <row r="4" spans="1:10" ht="12.75">
      <c r="A4" s="5" t="s">
        <v>0</v>
      </c>
      <c r="B4" s="6" t="s">
        <v>315</v>
      </c>
      <c r="C4" s="7">
        <v>0</v>
      </c>
      <c r="D4" s="7">
        <v>4</v>
      </c>
      <c r="E4" s="7">
        <v>4</v>
      </c>
      <c r="F4" s="7">
        <v>0</v>
      </c>
      <c r="G4" s="7">
        <v>0</v>
      </c>
      <c r="H4" s="7">
        <v>4</v>
      </c>
      <c r="I4" s="7">
        <v>4</v>
      </c>
      <c r="J4" s="7">
        <v>8</v>
      </c>
    </row>
    <row r="5" spans="1:10" ht="12.75">
      <c r="A5" s="5" t="s">
        <v>1</v>
      </c>
      <c r="B5" s="6" t="s">
        <v>316</v>
      </c>
      <c r="C5" s="7">
        <v>0</v>
      </c>
      <c r="D5" s="7">
        <v>0</v>
      </c>
      <c r="E5" s="7">
        <v>0</v>
      </c>
      <c r="F5" s="7">
        <v>0</v>
      </c>
      <c r="G5" s="7">
        <v>4</v>
      </c>
      <c r="H5" s="7">
        <v>0</v>
      </c>
      <c r="I5" s="7">
        <v>4</v>
      </c>
      <c r="J5" s="7">
        <v>4</v>
      </c>
    </row>
    <row r="6" spans="1:10" ht="12.75">
      <c r="A6" s="8" t="s">
        <v>2</v>
      </c>
      <c r="B6" s="9" t="s">
        <v>317</v>
      </c>
      <c r="C6" s="10">
        <v>0</v>
      </c>
      <c r="D6" s="10">
        <v>4</v>
      </c>
      <c r="E6" s="10">
        <v>4</v>
      </c>
      <c r="F6" s="10">
        <v>0</v>
      </c>
      <c r="G6" s="10">
        <v>4</v>
      </c>
      <c r="H6" s="10">
        <v>4</v>
      </c>
      <c r="I6" s="10">
        <v>8</v>
      </c>
      <c r="J6" s="10">
        <v>12</v>
      </c>
    </row>
    <row r="7" spans="1:10" ht="12.75">
      <c r="A7" s="5" t="s">
        <v>155</v>
      </c>
      <c r="B7" s="6" t="s">
        <v>318</v>
      </c>
      <c r="C7" s="7">
        <v>0</v>
      </c>
      <c r="D7" s="7">
        <v>0</v>
      </c>
      <c r="E7" s="7">
        <v>0</v>
      </c>
      <c r="F7" s="7">
        <v>0</v>
      </c>
      <c r="G7" s="7">
        <v>4</v>
      </c>
      <c r="H7" s="7">
        <v>0</v>
      </c>
      <c r="I7" s="7">
        <v>4</v>
      </c>
      <c r="J7" s="7">
        <v>4</v>
      </c>
    </row>
    <row r="8" spans="1:10" ht="12.75">
      <c r="A8" s="5" t="s">
        <v>249</v>
      </c>
      <c r="B8" s="6" t="s">
        <v>319</v>
      </c>
      <c r="C8" s="7">
        <v>0</v>
      </c>
      <c r="D8" s="7">
        <v>0</v>
      </c>
      <c r="E8" s="7">
        <v>0</v>
      </c>
      <c r="F8" s="7">
        <v>0</v>
      </c>
      <c r="G8" s="7">
        <v>3</v>
      </c>
      <c r="H8" s="7">
        <v>0</v>
      </c>
      <c r="I8" s="7">
        <v>3</v>
      </c>
      <c r="J8" s="7">
        <v>3</v>
      </c>
    </row>
    <row r="9" spans="1:10" ht="12.75">
      <c r="A9" s="8" t="s">
        <v>25</v>
      </c>
      <c r="B9" s="9" t="s">
        <v>320</v>
      </c>
      <c r="C9" s="10">
        <v>0</v>
      </c>
      <c r="D9" s="10">
        <v>0</v>
      </c>
      <c r="E9" s="10">
        <v>0</v>
      </c>
      <c r="F9" s="10">
        <v>0</v>
      </c>
      <c r="G9" s="10">
        <v>7</v>
      </c>
      <c r="H9" s="10">
        <v>0</v>
      </c>
      <c r="I9" s="10">
        <v>7</v>
      </c>
      <c r="J9" s="10">
        <v>7</v>
      </c>
    </row>
    <row r="10" spans="1:10" ht="12.75">
      <c r="A10" s="5" t="s">
        <v>41</v>
      </c>
      <c r="B10" s="6" t="s">
        <v>321</v>
      </c>
      <c r="C10" s="7">
        <v>1</v>
      </c>
      <c r="D10" s="7">
        <v>0</v>
      </c>
      <c r="E10" s="7">
        <v>1</v>
      </c>
      <c r="F10" s="7">
        <v>3</v>
      </c>
      <c r="G10" s="7">
        <v>4</v>
      </c>
      <c r="H10" s="7">
        <v>0</v>
      </c>
      <c r="I10" s="7">
        <v>7</v>
      </c>
      <c r="J10" s="7">
        <v>8</v>
      </c>
    </row>
    <row r="11" spans="1:10" ht="12.75">
      <c r="A11" s="5" t="s">
        <v>43</v>
      </c>
      <c r="B11" s="6" t="s">
        <v>319</v>
      </c>
      <c r="C11" s="7">
        <v>0</v>
      </c>
      <c r="D11" s="7">
        <v>0</v>
      </c>
      <c r="E11" s="7">
        <v>0</v>
      </c>
      <c r="F11" s="7">
        <v>7</v>
      </c>
      <c r="G11" s="7">
        <v>0</v>
      </c>
      <c r="H11" s="7">
        <v>0</v>
      </c>
      <c r="I11" s="7">
        <v>7</v>
      </c>
      <c r="J11" s="7">
        <v>7</v>
      </c>
    </row>
    <row r="12" spans="1:10" ht="12.75">
      <c r="A12" s="8" t="s">
        <v>45</v>
      </c>
      <c r="B12" s="9" t="s">
        <v>322</v>
      </c>
      <c r="C12" s="10">
        <v>1</v>
      </c>
      <c r="D12" s="10">
        <v>0</v>
      </c>
      <c r="E12" s="10">
        <v>1</v>
      </c>
      <c r="F12" s="10">
        <v>10</v>
      </c>
      <c r="G12" s="10">
        <v>4</v>
      </c>
      <c r="H12" s="10">
        <v>0</v>
      </c>
      <c r="I12" s="10">
        <v>14</v>
      </c>
      <c r="J12" s="10">
        <v>15</v>
      </c>
    </row>
    <row r="13" spans="1:10" ht="12.75">
      <c r="A13" s="8" t="s">
        <v>47</v>
      </c>
      <c r="B13" s="9" t="s">
        <v>323</v>
      </c>
      <c r="C13" s="10">
        <v>1</v>
      </c>
      <c r="D13" s="10">
        <v>4</v>
      </c>
      <c r="E13" s="10">
        <v>5</v>
      </c>
      <c r="F13" s="10">
        <v>10</v>
      </c>
      <c r="G13" s="10">
        <v>15</v>
      </c>
      <c r="H13" s="10">
        <v>4</v>
      </c>
      <c r="I13" s="10">
        <v>29</v>
      </c>
      <c r="J13" s="10">
        <v>34</v>
      </c>
    </row>
    <row r="14" spans="1:10" ht="25.5">
      <c r="A14" s="8" t="s">
        <v>49</v>
      </c>
      <c r="B14" s="9" t="s">
        <v>324</v>
      </c>
      <c r="C14" s="10">
        <v>0</v>
      </c>
      <c r="D14" s="10">
        <v>1</v>
      </c>
      <c r="E14" s="10">
        <v>1</v>
      </c>
      <c r="F14" s="10">
        <v>0</v>
      </c>
      <c r="G14" s="10">
        <v>7</v>
      </c>
      <c r="H14" s="10">
        <v>0</v>
      </c>
      <c r="I14" s="10">
        <v>7</v>
      </c>
      <c r="J14" s="10">
        <v>8</v>
      </c>
    </row>
    <row r="15" spans="1:10" ht="12.75">
      <c r="A15" s="5" t="s">
        <v>51</v>
      </c>
      <c r="B15" s="6" t="s">
        <v>325</v>
      </c>
      <c r="C15" s="7">
        <v>0</v>
      </c>
      <c r="D15" s="7">
        <v>1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</row>
    <row r="16" spans="1:10" ht="12.75">
      <c r="A16" s="5" t="s">
        <v>326</v>
      </c>
      <c r="B16" s="6" t="s">
        <v>327</v>
      </c>
      <c r="C16" s="7">
        <v>0</v>
      </c>
      <c r="D16" s="7">
        <v>0</v>
      </c>
      <c r="E16" s="7">
        <v>0</v>
      </c>
      <c r="F16" s="7">
        <v>0</v>
      </c>
      <c r="G16" s="7">
        <v>7</v>
      </c>
      <c r="H16" s="7">
        <v>0</v>
      </c>
      <c r="I16" s="7">
        <v>7</v>
      </c>
      <c r="J16" s="7">
        <v>7</v>
      </c>
    </row>
    <row r="17" spans="1:10" ht="12.75">
      <c r="A17" s="8" t="s">
        <v>55</v>
      </c>
      <c r="B17" s="9" t="s">
        <v>328</v>
      </c>
      <c r="C17" s="10">
        <v>1</v>
      </c>
      <c r="D17" s="10">
        <v>2</v>
      </c>
      <c r="E17" s="10">
        <v>3</v>
      </c>
      <c r="F17" s="10">
        <v>0</v>
      </c>
      <c r="G17" s="10">
        <v>8</v>
      </c>
      <c r="H17" s="10">
        <v>4</v>
      </c>
      <c r="I17" s="10">
        <v>12</v>
      </c>
      <c r="J17" s="10">
        <v>15</v>
      </c>
    </row>
    <row r="18" spans="1:10" ht="12.75">
      <c r="A18" s="5" t="s">
        <v>57</v>
      </c>
      <c r="B18" s="6" t="s">
        <v>325</v>
      </c>
      <c r="C18" s="7">
        <v>0</v>
      </c>
      <c r="D18" s="7">
        <v>2</v>
      </c>
      <c r="E18" s="7">
        <v>2</v>
      </c>
      <c r="F18" s="7">
        <v>0</v>
      </c>
      <c r="G18" s="7">
        <v>4</v>
      </c>
      <c r="H18" s="7">
        <v>4</v>
      </c>
      <c r="I18" s="7">
        <v>8</v>
      </c>
      <c r="J18" s="7">
        <v>10</v>
      </c>
    </row>
    <row r="19" spans="1:10" ht="12.75">
      <c r="A19" s="5" t="s">
        <v>61</v>
      </c>
      <c r="B19" s="6" t="s">
        <v>329</v>
      </c>
      <c r="C19" s="7">
        <v>1</v>
      </c>
      <c r="D19" s="7">
        <v>0</v>
      </c>
      <c r="E19" s="7">
        <v>1</v>
      </c>
      <c r="F19" s="7">
        <v>0</v>
      </c>
      <c r="G19" s="7">
        <v>4</v>
      </c>
      <c r="H19" s="7">
        <v>0</v>
      </c>
      <c r="I19" s="7">
        <v>4</v>
      </c>
      <c r="J19" s="7">
        <v>5</v>
      </c>
    </row>
    <row r="20" spans="1:10" ht="25.5">
      <c r="A20" s="8" t="s">
        <v>330</v>
      </c>
      <c r="B20" s="9" t="s">
        <v>331</v>
      </c>
      <c r="C20" s="10">
        <v>0</v>
      </c>
      <c r="D20" s="10">
        <v>0</v>
      </c>
      <c r="E20" s="10">
        <v>0</v>
      </c>
      <c r="F20" s="10">
        <v>10</v>
      </c>
      <c r="G20" s="10">
        <v>0</v>
      </c>
      <c r="H20" s="10">
        <v>0</v>
      </c>
      <c r="I20" s="10">
        <v>10</v>
      </c>
      <c r="J20" s="10">
        <v>10</v>
      </c>
    </row>
    <row r="21" spans="1:10" ht="12.75">
      <c r="A21" s="5" t="s">
        <v>89</v>
      </c>
      <c r="B21" s="6" t="s">
        <v>329</v>
      </c>
      <c r="C21" s="7">
        <v>0</v>
      </c>
      <c r="D21" s="7">
        <v>0</v>
      </c>
      <c r="E21" s="7">
        <v>0</v>
      </c>
      <c r="F21" s="7">
        <v>10</v>
      </c>
      <c r="G21" s="7">
        <v>0</v>
      </c>
      <c r="H21" s="7">
        <v>0</v>
      </c>
      <c r="I21" s="7">
        <v>10</v>
      </c>
      <c r="J21" s="7">
        <v>10</v>
      </c>
    </row>
    <row r="22" spans="1:10" ht="12.75">
      <c r="A22" s="8" t="s">
        <v>91</v>
      </c>
      <c r="B22" s="9" t="s">
        <v>332</v>
      </c>
      <c r="C22" s="10">
        <v>0</v>
      </c>
      <c r="D22" s="10">
        <v>0</v>
      </c>
      <c r="E22" s="10">
        <v>0</v>
      </c>
      <c r="F22" s="10">
        <v>7</v>
      </c>
      <c r="G22" s="10">
        <v>0</v>
      </c>
      <c r="H22" s="10">
        <v>0</v>
      </c>
      <c r="I22" s="10">
        <v>7</v>
      </c>
      <c r="J22" s="10">
        <v>7</v>
      </c>
    </row>
    <row r="23" spans="1:10" ht="12.75">
      <c r="A23" s="5" t="s">
        <v>333</v>
      </c>
      <c r="B23" s="6" t="s">
        <v>329</v>
      </c>
      <c r="C23" s="7">
        <v>0</v>
      </c>
      <c r="D23" s="7">
        <v>0</v>
      </c>
      <c r="E23" s="7">
        <v>0</v>
      </c>
      <c r="F23" s="7">
        <v>7</v>
      </c>
      <c r="G23" s="7">
        <v>0</v>
      </c>
      <c r="H23" s="7">
        <v>0</v>
      </c>
      <c r="I23" s="7">
        <v>7</v>
      </c>
      <c r="J23" s="7">
        <v>7</v>
      </c>
    </row>
    <row r="24" spans="1:10" ht="12.75">
      <c r="A24" s="8" t="s">
        <v>334</v>
      </c>
      <c r="B24" s="9" t="s">
        <v>335</v>
      </c>
      <c r="C24" s="10">
        <v>0</v>
      </c>
      <c r="D24" s="10">
        <v>1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</row>
    <row r="25" spans="1:10" ht="12.75">
      <c r="A25" s="5" t="s">
        <v>336</v>
      </c>
      <c r="B25" s="6" t="s">
        <v>325</v>
      </c>
      <c r="C25" s="7">
        <v>0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</row>
    <row r="26" spans="1:10" ht="25.5">
      <c r="A26" s="8" t="s">
        <v>166</v>
      </c>
      <c r="B26" s="9" t="s">
        <v>337</v>
      </c>
      <c r="C26" s="10">
        <v>0</v>
      </c>
      <c r="D26" s="10">
        <v>0</v>
      </c>
      <c r="E26" s="10">
        <v>0</v>
      </c>
      <c r="F26" s="10">
        <v>1</v>
      </c>
      <c r="G26" s="10">
        <v>1</v>
      </c>
      <c r="H26" s="10">
        <v>1</v>
      </c>
      <c r="I26" s="10">
        <v>3</v>
      </c>
      <c r="J26" s="10">
        <v>3</v>
      </c>
    </row>
    <row r="27" spans="1:10" ht="12.75">
      <c r="A27" s="5" t="s">
        <v>168</v>
      </c>
      <c r="B27" s="6" t="s">
        <v>325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1</v>
      </c>
      <c r="J27" s="7">
        <v>1</v>
      </c>
    </row>
    <row r="28" spans="1:10" ht="12.75">
      <c r="A28" s="5" t="s">
        <v>338</v>
      </c>
      <c r="B28" s="6" t="s">
        <v>327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1</v>
      </c>
      <c r="J28" s="7">
        <v>1</v>
      </c>
    </row>
    <row r="29" spans="1:10" ht="12.75">
      <c r="A29" s="5" t="s">
        <v>170</v>
      </c>
      <c r="B29" s="6" t="s">
        <v>329</v>
      </c>
      <c r="C29" s="7">
        <v>0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1</v>
      </c>
      <c r="J29" s="7">
        <v>1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Penzugy1</cp:lastModifiedBy>
  <dcterms:created xsi:type="dcterms:W3CDTF">2010-05-29T08:47:41Z</dcterms:created>
  <dcterms:modified xsi:type="dcterms:W3CDTF">2020-06-29T13:10:23Z</dcterms:modified>
  <cp:category/>
  <cp:version/>
  <cp:contentType/>
  <cp:contentStatus/>
</cp:coreProperties>
</file>