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480" windowHeight="9210" tabRatio="841" activeTab="1"/>
  </bookViews>
  <sheets>
    <sheet name="Tartalom" sheetId="32" r:id="rId1"/>
    <sheet name="1. kiadások össz" sheetId="2" r:id="rId2"/>
    <sheet name="2. bevételek össz" sheetId="22" r:id="rId3"/>
    <sheet name="3. szakfeladatok" sheetId="25" r:id="rId4"/>
    <sheet name="4. feladattípus" sheetId="21" r:id="rId5"/>
    <sheet name="5. támog érték kiad" sheetId="4" r:id="rId6"/>
    <sheet name="6. átadott pénz" sheetId="5" r:id="rId7"/>
    <sheet name="7. szoc segély" sheetId="9" r:id="rId8"/>
    <sheet name="8.beruh felújít" sheetId="6" r:id="rId9"/>
    <sheet name="9.pénzforgalmi kimutatás" sheetId="44" r:id="rId10"/>
    <sheet name="10.stabilitási" sheetId="43" r:id="rId11"/>
    <sheet name="11.tartalékok" sheetId="42" r:id="rId12"/>
    <sheet name="12. EU PROJEKT" sheetId="7" r:id="rId13"/>
    <sheet name="13.intézmény finansz" sheetId="10" r:id="rId14"/>
    <sheet name="14. támogatás átvett" sheetId="12" r:id="rId15"/>
    <sheet name="15. átvett pénz" sheetId="13" r:id="rId16"/>
    <sheet name="16. helyi adók" sheetId="14" r:id="rId17"/>
    <sheet name="17.egyéb felhalm bevétel" sheetId="15" r:id="rId18"/>
    <sheet name="18. létszám" sheetId="17" r:id="rId19"/>
    <sheet name="19. állami támogatás" sheetId="40" r:id="rId20"/>
    <sheet name="20. KÖZVETETT" sheetId="19" r:id="rId21"/>
    <sheet name="21. adók felhasználása" sheetId="35" r:id="rId22"/>
    <sheet name="22. TÖBB ÉVES" sheetId="34" r:id="rId23"/>
    <sheet name="23. vagyonmérleg" sheetId="45" r:id="rId24"/>
    <sheet name="24. egyszerűsített beszám" sheetId="39" r:id="rId25"/>
    <sheet name="25. pénzmaradvány kimutatás" sheetId="46" r:id="rId26"/>
    <sheet name="26.pénzmaradvány felhasználás" sheetId="47" r:id="rId27"/>
    <sheet name="27. pénzmaradvány" sheetId="33" r:id="rId28"/>
    <sheet name="28.RÉSZESEDÉSEK" sheetId="50" r:id="rId29"/>
    <sheet name="29. támogatások" sheetId="26" r:id="rId30"/>
    <sheet name="30.segély" sheetId="27" r:id="rId31"/>
  </sheets>
  <definedNames>
    <definedName name="_xlnm._FilterDatabase" localSheetId="3" hidden="1">'3. szakfeladatok'!$A$4:$BU$36</definedName>
    <definedName name="csDesignMode">1</definedName>
    <definedName name="_xlnm.Print_Titles" localSheetId="23">'23. vagyonmérleg'!$A:$A,'23. vagyonmérleg'!$1:$4</definedName>
    <definedName name="_xlnm.Print_Titles" localSheetId="29">'29. támogatások'!$3:$3</definedName>
    <definedName name="_xlnm.Print_Titles" localSheetId="3">'3. szakfeladatok'!$A:$B,'3. szakfeladatok'!$1:$4</definedName>
    <definedName name="_xlnm.Print_Titles" localSheetId="8">'8.beruh felújít'!$A:$A</definedName>
    <definedName name="_xlnm.Print_Area" localSheetId="1">'1. kiadások össz'!$A$1:$AC$32</definedName>
    <definedName name="_xlnm.Print_Area" localSheetId="10">'10.stabilitási'!$A$1:$C$28</definedName>
    <definedName name="_xlnm.Print_Area" localSheetId="11">'11.tartalékok'!$A$1:$F$27</definedName>
    <definedName name="_xlnm.Print_Area" localSheetId="12">'12. EU PROJEKT'!$A$1:$I$20</definedName>
    <definedName name="_xlnm.Print_Area" localSheetId="13">'13.intézmény finansz'!$A$1:$P$20</definedName>
    <definedName name="_xlnm.Print_Area" localSheetId="14">'14. támogatás átvett'!$A$1:$L$31</definedName>
    <definedName name="_xlnm.Print_Area" localSheetId="15">'15. átvett pénz'!$A$1:$H$30</definedName>
    <definedName name="_xlnm.Print_Area" localSheetId="16">'16. helyi adók'!$A$1:$D$31</definedName>
    <definedName name="_xlnm.Print_Area" localSheetId="17">'17.egyéb felhalm bevétel'!$A$1:$T$20</definedName>
    <definedName name="_xlnm.Print_Area" localSheetId="18">'18. létszám'!$A$1:$F$16</definedName>
    <definedName name="_xlnm.Print_Area" localSheetId="19">'19. állami támogatás'!$A$1:$D$31</definedName>
    <definedName name="_xlnm.Print_Area" localSheetId="2">'2. bevételek össz'!$A$1:$AC$34</definedName>
    <definedName name="_xlnm.Print_Area" localSheetId="20">'20. KÖZVETETT'!$A$1:$E$43</definedName>
    <definedName name="_xlnm.Print_Area" localSheetId="22">'22. TÖBB ÉVES'!$A$1:$J$22</definedName>
    <definedName name="_xlnm.Print_Area" localSheetId="23">'23. vagyonmérleg'!$A$1:$K$151</definedName>
    <definedName name="_xlnm.Print_Area" localSheetId="25">'25. pénzmaradvány kimutatás'!$A$1:$F$45</definedName>
    <definedName name="_xlnm.Print_Area" localSheetId="26">'26.pénzmaradvány felhasználás'!$A$1:$F$57</definedName>
    <definedName name="_xlnm.Print_Area" localSheetId="28">'28.RÉSZESEDÉSEK'!$A$1:$E$17</definedName>
    <definedName name="_xlnm.Print_Area" localSheetId="29">'29. támogatások'!$A$1:$G$21</definedName>
    <definedName name="_xlnm.Print_Area" localSheetId="3">'3. szakfeladatok'!$A$1:$BU$35</definedName>
    <definedName name="_xlnm.Print_Area" localSheetId="4">'4. feladattípus'!$A$1:$AS$63</definedName>
    <definedName name="_xlnm.Print_Area" localSheetId="5">'5. támog érték kiad'!$A$1:$G$30</definedName>
    <definedName name="_xlnm.Print_Area" localSheetId="6">'6. átadott pénz'!$A$1:$G$28</definedName>
    <definedName name="_xlnm.Print_Area" localSheetId="7">'7. szoc segély'!$A$1:$G$20</definedName>
    <definedName name="_xlnm.Print_Area" localSheetId="8">'8.beruh felújít'!$A$1:$N$49</definedName>
    <definedName name="_xlnm.Print_Area" localSheetId="0">Tartalom!$A$1:$B$34</definedName>
  </definedNames>
  <calcPr calcId="114210" fullCalcOnLoad="1"/>
</workbook>
</file>

<file path=xl/calcChain.xml><?xml version="1.0" encoding="utf-8"?>
<calcChain xmlns="http://schemas.openxmlformats.org/spreadsheetml/2006/main">
  <c r="C27" i="42"/>
  <c r="D27"/>
  <c r="E27"/>
  <c r="B27"/>
  <c r="D12" i="19"/>
  <c r="D41"/>
  <c r="C12"/>
  <c r="T33" i="22"/>
  <c r="U33"/>
  <c r="T34"/>
  <c r="AB34"/>
  <c r="U34"/>
  <c r="F6" i="17"/>
  <c r="F7"/>
  <c r="F8"/>
  <c r="F9"/>
  <c r="F10"/>
  <c r="F11"/>
  <c r="F13"/>
  <c r="F14"/>
  <c r="F5"/>
  <c r="E23" i="33"/>
  <c r="C23"/>
  <c r="E19"/>
  <c r="C19"/>
  <c r="E14"/>
  <c r="C14"/>
  <c r="E11"/>
  <c r="C11"/>
  <c r="C9"/>
  <c r="E8"/>
  <c r="C8"/>
  <c r="E6"/>
  <c r="C6"/>
  <c r="F6" i="4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5"/>
  <c r="B26" i="39"/>
  <c r="B37"/>
  <c r="B30"/>
  <c r="B33"/>
  <c r="C28"/>
  <c r="C30"/>
  <c r="C33"/>
  <c r="D33"/>
  <c r="D36"/>
  <c r="D35"/>
  <c r="D34"/>
  <c r="D32"/>
  <c r="D31"/>
  <c r="D30"/>
  <c r="D29"/>
  <c r="D27"/>
  <c r="B13"/>
  <c r="B6"/>
  <c r="B19"/>
  <c r="C15"/>
  <c r="C8"/>
  <c r="C6"/>
  <c r="D18"/>
  <c r="D17"/>
  <c r="D16"/>
  <c r="D14"/>
  <c r="D10"/>
  <c r="D9"/>
  <c r="D8"/>
  <c r="D7"/>
  <c r="D6"/>
  <c r="J84" i="45"/>
  <c r="K84"/>
  <c r="J85"/>
  <c r="K85"/>
  <c r="J86"/>
  <c r="K86"/>
  <c r="J87"/>
  <c r="K87"/>
  <c r="J88"/>
  <c r="K88"/>
  <c r="J89"/>
  <c r="K89"/>
  <c r="J90"/>
  <c r="K90"/>
  <c r="J91"/>
  <c r="K91"/>
  <c r="J92"/>
  <c r="K92"/>
  <c r="J93"/>
  <c r="K93"/>
  <c r="J94"/>
  <c r="K94"/>
  <c r="J95"/>
  <c r="K95"/>
  <c r="J96"/>
  <c r="K96"/>
  <c r="J97"/>
  <c r="K97"/>
  <c r="J98"/>
  <c r="K98"/>
  <c r="J99"/>
  <c r="K99"/>
  <c r="J100"/>
  <c r="K100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J110"/>
  <c r="K110"/>
  <c r="J111"/>
  <c r="K111"/>
  <c r="J112"/>
  <c r="K112"/>
  <c r="J113"/>
  <c r="K113"/>
  <c r="J114"/>
  <c r="K114"/>
  <c r="J115"/>
  <c r="K115"/>
  <c r="J116"/>
  <c r="K116"/>
  <c r="J117"/>
  <c r="K117"/>
  <c r="J118"/>
  <c r="K118"/>
  <c r="J119"/>
  <c r="K119"/>
  <c r="J120"/>
  <c r="K120"/>
  <c r="J121"/>
  <c r="K121"/>
  <c r="J122"/>
  <c r="K122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J135"/>
  <c r="K135"/>
  <c r="J136"/>
  <c r="K136"/>
  <c r="J137"/>
  <c r="K137"/>
  <c r="J138"/>
  <c r="K138"/>
  <c r="J139"/>
  <c r="K139"/>
  <c r="J140"/>
  <c r="K140"/>
  <c r="J141"/>
  <c r="K141"/>
  <c r="J142"/>
  <c r="K142"/>
  <c r="J143"/>
  <c r="K143"/>
  <c r="J144"/>
  <c r="K144"/>
  <c r="J145"/>
  <c r="K145"/>
  <c r="J146"/>
  <c r="K146"/>
  <c r="J147"/>
  <c r="K147"/>
  <c r="J148"/>
  <c r="K148"/>
  <c r="J149"/>
  <c r="K149"/>
  <c r="J150"/>
  <c r="K150"/>
  <c r="J151"/>
  <c r="K151"/>
  <c r="K83"/>
  <c r="J83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1"/>
  <c r="K71"/>
  <c r="J72"/>
  <c r="K72"/>
  <c r="J73"/>
  <c r="K73"/>
  <c r="J74"/>
  <c r="K74"/>
  <c r="J75"/>
  <c r="K75"/>
  <c r="J76"/>
  <c r="K76"/>
  <c r="J77"/>
  <c r="K77"/>
  <c r="J78"/>
  <c r="K78"/>
  <c r="J79"/>
  <c r="K79"/>
  <c r="J80"/>
  <c r="K80"/>
  <c r="J81"/>
  <c r="K81"/>
  <c r="K7"/>
  <c r="J7"/>
  <c r="C17" i="35"/>
  <c r="C21"/>
  <c r="C41" i="19"/>
  <c r="C40"/>
  <c r="D40"/>
  <c r="C33"/>
  <c r="D33"/>
  <c r="D26"/>
  <c r="C22"/>
  <c r="C26"/>
  <c r="C28" i="40"/>
  <c r="C30"/>
  <c r="D30"/>
  <c r="B30"/>
  <c r="C22"/>
  <c r="B23"/>
  <c r="D8"/>
  <c r="D23"/>
  <c r="C8"/>
  <c r="B8"/>
  <c r="C7"/>
  <c r="B7"/>
  <c r="C6"/>
  <c r="C5" i="2"/>
  <c r="B5" i="21"/>
  <c r="C6" i="2"/>
  <c r="B6" i="21"/>
  <c r="C7" i="2"/>
  <c r="B7" i="21"/>
  <c r="C8" i="2"/>
  <c r="C9"/>
  <c r="B9" i="21"/>
  <c r="G9"/>
  <c r="L9"/>
  <c r="AB9"/>
  <c r="C18" i="2"/>
  <c r="K18"/>
  <c r="R10" i="15"/>
  <c r="S10"/>
  <c r="R9"/>
  <c r="S9"/>
  <c r="O6"/>
  <c r="P6"/>
  <c r="O7"/>
  <c r="P7"/>
  <c r="O8"/>
  <c r="P8"/>
  <c r="O9"/>
  <c r="P9"/>
  <c r="P5"/>
  <c r="V5"/>
  <c r="V10"/>
  <c r="O5"/>
  <c r="U5"/>
  <c r="U10"/>
  <c r="L10"/>
  <c r="O10"/>
  <c r="M10"/>
  <c r="P10"/>
  <c r="F15" i="12"/>
  <c r="G15"/>
  <c r="E8"/>
  <c r="H8"/>
  <c r="H15"/>
  <c r="I15"/>
  <c r="J15"/>
  <c r="K15"/>
  <c r="L8"/>
  <c r="L15"/>
  <c r="M15"/>
  <c r="N15"/>
  <c r="E15"/>
  <c r="I14" i="10"/>
  <c r="F14"/>
  <c r="D14"/>
  <c r="M7"/>
  <c r="BC9" i="25"/>
  <c r="P7" i="2"/>
  <c r="L7"/>
  <c r="H7"/>
  <c r="D7"/>
  <c r="T7"/>
  <c r="AB7"/>
  <c r="BC13" i="25"/>
  <c r="BC14"/>
  <c r="BC28"/>
  <c r="BC29"/>
  <c r="W7" i="21"/>
  <c r="BC30" i="25"/>
  <c r="BC6"/>
  <c r="Q7" i="21"/>
  <c r="BC7" i="25"/>
  <c r="BC5"/>
  <c r="C7" i="21"/>
  <c r="T14" i="2"/>
  <c r="AT9" i="25"/>
  <c r="T5" i="21"/>
  <c r="AT13" i="25"/>
  <c r="AT14"/>
  <c r="AT29"/>
  <c r="P5" i="2"/>
  <c r="AT6" i="25"/>
  <c r="L5" i="2"/>
  <c r="AT7" i="25"/>
  <c r="H5" i="2"/>
  <c r="H5" i="21"/>
  <c r="AT5" i="25"/>
  <c r="D5" i="2"/>
  <c r="C5" i="21"/>
  <c r="AZ13" i="25"/>
  <c r="T6" i="21"/>
  <c r="P6" i="2"/>
  <c r="L6"/>
  <c r="Q6" i="21"/>
  <c r="AZ7" i="25"/>
  <c r="H6" i="2"/>
  <c r="H6" i="21"/>
  <c r="D6" i="2"/>
  <c r="C6" i="21"/>
  <c r="P8" i="2"/>
  <c r="H8"/>
  <c r="D8"/>
  <c r="T8"/>
  <c r="AB8"/>
  <c r="H8" i="21"/>
  <c r="C8"/>
  <c r="BI8" i="25"/>
  <c r="BI30"/>
  <c r="T9" i="21"/>
  <c r="D9" i="2"/>
  <c r="AQ8" i="25"/>
  <c r="BR8"/>
  <c r="AQ9"/>
  <c r="AQ13"/>
  <c r="AQ14"/>
  <c r="BR14"/>
  <c r="AQ34"/>
  <c r="BR34"/>
  <c r="AQ6"/>
  <c r="L18" i="2"/>
  <c r="AQ7" i="25"/>
  <c r="H18" i="2"/>
  <c r="H18" i="21"/>
  <c r="AQ5" i="25"/>
  <c r="D18" i="2"/>
  <c r="D31"/>
  <c r="BQ20" i="25"/>
  <c r="Q14" i="2"/>
  <c r="P13" i="10"/>
  <c r="P14"/>
  <c r="P15"/>
  <c r="P16"/>
  <c r="P17"/>
  <c r="P18"/>
  <c r="P19"/>
  <c r="I20"/>
  <c r="J20"/>
  <c r="F20"/>
  <c r="G20"/>
  <c r="P20"/>
  <c r="D20"/>
  <c r="H14" i="7"/>
  <c r="I14"/>
  <c r="J14"/>
  <c r="H15"/>
  <c r="I15"/>
  <c r="J15"/>
  <c r="H16"/>
  <c r="I16"/>
  <c r="J16"/>
  <c r="H17"/>
  <c r="I17"/>
  <c r="J17"/>
  <c r="H18"/>
  <c r="I18"/>
  <c r="J18"/>
  <c r="H19"/>
  <c r="J13"/>
  <c r="I13"/>
  <c r="H13"/>
  <c r="H8"/>
  <c r="I8"/>
  <c r="J8"/>
  <c r="B7"/>
  <c r="B9"/>
  <c r="I9"/>
  <c r="J9"/>
  <c r="J10"/>
  <c r="J7"/>
  <c r="I7"/>
  <c r="H7"/>
  <c r="C19"/>
  <c r="I19"/>
  <c r="D19"/>
  <c r="J19"/>
  <c r="C10"/>
  <c r="I10"/>
  <c r="F26" i="42"/>
  <c r="F27"/>
  <c r="C26" i="43"/>
  <c r="E16"/>
  <c r="D16"/>
  <c r="C16"/>
  <c r="E15"/>
  <c r="D15"/>
  <c r="D26"/>
  <c r="C15"/>
  <c r="E10"/>
  <c r="D10"/>
  <c r="C10"/>
  <c r="C17" i="14"/>
  <c r="D17"/>
  <c r="C31"/>
  <c r="D31"/>
  <c r="C28"/>
  <c r="D28"/>
  <c r="C21" i="44"/>
  <c r="D21"/>
  <c r="E21"/>
  <c r="C13"/>
  <c r="C16"/>
  <c r="D13"/>
  <c r="E13"/>
  <c r="E16"/>
  <c r="B21"/>
  <c r="B13"/>
  <c r="B16"/>
  <c r="K5" i="2"/>
  <c r="K6"/>
  <c r="K7"/>
  <c r="L7" i="21"/>
  <c r="G7" i="2"/>
  <c r="G7" i="21"/>
  <c r="AB7"/>
  <c r="K6" i="22"/>
  <c r="K11"/>
  <c r="G5" i="2"/>
  <c r="G5" i="21"/>
  <c r="G6" i="2"/>
  <c r="G8"/>
  <c r="G8" i="21"/>
  <c r="G17" i="2"/>
  <c r="G6" i="22"/>
  <c r="G11"/>
  <c r="G42" i="21"/>
  <c r="Z13" i="22"/>
  <c r="Z17"/>
  <c r="Z21"/>
  <c r="Z28"/>
  <c r="R6"/>
  <c r="Z6"/>
  <c r="R7"/>
  <c r="Z7"/>
  <c r="R8"/>
  <c r="Z8"/>
  <c r="R9"/>
  <c r="Z9"/>
  <c r="R10"/>
  <c r="Z10"/>
  <c r="R13"/>
  <c r="R15"/>
  <c r="Z15"/>
  <c r="R16"/>
  <c r="Z16"/>
  <c r="R17"/>
  <c r="R18"/>
  <c r="Z18"/>
  <c r="R19"/>
  <c r="Z19"/>
  <c r="R20"/>
  <c r="Z20"/>
  <c r="R21"/>
  <c r="R22"/>
  <c r="Z22"/>
  <c r="R23"/>
  <c r="Z23"/>
  <c r="R25"/>
  <c r="R26"/>
  <c r="Z26"/>
  <c r="R27"/>
  <c r="Z27"/>
  <c r="R28"/>
  <c r="R30"/>
  <c r="Z30"/>
  <c r="R31"/>
  <c r="Z31"/>
  <c r="R5"/>
  <c r="Z5"/>
  <c r="N11"/>
  <c r="R11"/>
  <c r="Z11"/>
  <c r="N29"/>
  <c r="J29"/>
  <c r="J12"/>
  <c r="J14"/>
  <c r="J32"/>
  <c r="F12"/>
  <c r="R12"/>
  <c r="F14"/>
  <c r="F32"/>
  <c r="F29"/>
  <c r="B14"/>
  <c r="B32"/>
  <c r="B24"/>
  <c r="R24"/>
  <c r="Z24"/>
  <c r="Z7" i="2"/>
  <c r="B9"/>
  <c r="N9"/>
  <c r="N17"/>
  <c r="N32"/>
  <c r="R9"/>
  <c r="Z9"/>
  <c r="Z12"/>
  <c r="Z13"/>
  <c r="Z16"/>
  <c r="B17"/>
  <c r="Z18"/>
  <c r="Z21"/>
  <c r="Z25"/>
  <c r="Z29"/>
  <c r="Z5"/>
  <c r="R6"/>
  <c r="Z6"/>
  <c r="R7"/>
  <c r="R8"/>
  <c r="Z8"/>
  <c r="R10"/>
  <c r="Z10"/>
  <c r="R11"/>
  <c r="Z11"/>
  <c r="R12"/>
  <c r="R13"/>
  <c r="R14"/>
  <c r="Z14"/>
  <c r="R15"/>
  <c r="Z15"/>
  <c r="R16"/>
  <c r="R18"/>
  <c r="R19"/>
  <c r="Z19"/>
  <c r="R21"/>
  <c r="R22"/>
  <c r="Z22"/>
  <c r="R23"/>
  <c r="Z23"/>
  <c r="R24"/>
  <c r="Z24"/>
  <c r="R25"/>
  <c r="R26"/>
  <c r="Z26"/>
  <c r="R27"/>
  <c r="Z27"/>
  <c r="R28"/>
  <c r="Z28"/>
  <c r="R29"/>
  <c r="R30"/>
  <c r="Z30"/>
  <c r="R5"/>
  <c r="N31"/>
  <c r="J17"/>
  <c r="J31"/>
  <c r="F31"/>
  <c r="F17"/>
  <c r="F32"/>
  <c r="B20"/>
  <c r="R20"/>
  <c r="Z20"/>
  <c r="B43" i="6"/>
  <c r="C43"/>
  <c r="D43"/>
  <c r="E43"/>
  <c r="F43"/>
  <c r="G43"/>
  <c r="H43"/>
  <c r="I43"/>
  <c r="J43"/>
  <c r="F32"/>
  <c r="H32"/>
  <c r="I32"/>
  <c r="L32"/>
  <c r="M32"/>
  <c r="O36"/>
  <c r="P36"/>
  <c r="O37"/>
  <c r="O43"/>
  <c r="O38"/>
  <c r="P38"/>
  <c r="O39"/>
  <c r="O40"/>
  <c r="P40"/>
  <c r="O41"/>
  <c r="P41"/>
  <c r="O42"/>
  <c r="P42"/>
  <c r="O35"/>
  <c r="P35"/>
  <c r="O5"/>
  <c r="P5"/>
  <c r="O6"/>
  <c r="P6"/>
  <c r="O7"/>
  <c r="P7"/>
  <c r="O8"/>
  <c r="P8"/>
  <c r="O9"/>
  <c r="P9"/>
  <c r="O10"/>
  <c r="P10"/>
  <c r="O11"/>
  <c r="P11"/>
  <c r="O12"/>
  <c r="P12"/>
  <c r="O13"/>
  <c r="P13"/>
  <c r="O14"/>
  <c r="P14"/>
  <c r="O15"/>
  <c r="P15"/>
  <c r="O16"/>
  <c r="O17"/>
  <c r="P17"/>
  <c r="O18"/>
  <c r="P18"/>
  <c r="O19"/>
  <c r="P19"/>
  <c r="O20"/>
  <c r="P20"/>
  <c r="O22"/>
  <c r="P23"/>
  <c r="O24"/>
  <c r="O25"/>
  <c r="O26"/>
  <c r="P26"/>
  <c r="O27"/>
  <c r="P27"/>
  <c r="O28"/>
  <c r="P28"/>
  <c r="O29"/>
  <c r="P29"/>
  <c r="O30"/>
  <c r="P30"/>
  <c r="O31"/>
  <c r="P31"/>
  <c r="O4"/>
  <c r="N37"/>
  <c r="N38"/>
  <c r="N39"/>
  <c r="N40"/>
  <c r="N41"/>
  <c r="N42"/>
  <c r="N35"/>
  <c r="N6"/>
  <c r="N7"/>
  <c r="N10"/>
  <c r="N11"/>
  <c r="N12"/>
  <c r="N13"/>
  <c r="N14"/>
  <c r="N15"/>
  <c r="N22"/>
  <c r="N23"/>
  <c r="N24"/>
  <c r="N25"/>
  <c r="N26"/>
  <c r="N27"/>
  <c r="N28"/>
  <c r="N29"/>
  <c r="N30"/>
  <c r="N31"/>
  <c r="F9" i="44"/>
  <c r="F10"/>
  <c r="F11"/>
  <c r="F12"/>
  <c r="F14"/>
  <c r="F15"/>
  <c r="F17"/>
  <c r="F18"/>
  <c r="F19"/>
  <c r="F20"/>
  <c r="M4" i="6"/>
  <c r="P4"/>
  <c r="M39"/>
  <c r="P39"/>
  <c r="M29"/>
  <c r="M37"/>
  <c r="P37"/>
  <c r="M22"/>
  <c r="P22"/>
  <c r="K4"/>
  <c r="K5"/>
  <c r="N5"/>
  <c r="K6"/>
  <c r="K8"/>
  <c r="N8"/>
  <c r="K9"/>
  <c r="N9"/>
  <c r="K15"/>
  <c r="K22"/>
  <c r="L37"/>
  <c r="L43"/>
  <c r="J25"/>
  <c r="J32"/>
  <c r="G16"/>
  <c r="G17"/>
  <c r="G19"/>
  <c r="G24"/>
  <c r="P24"/>
  <c r="G4" i="26"/>
  <c r="G7"/>
  <c r="G18"/>
  <c r="F18"/>
  <c r="F19" i="9"/>
  <c r="G19"/>
  <c r="D19" i="27"/>
  <c r="E19"/>
  <c r="F14" i="5"/>
  <c r="G5"/>
  <c r="G14"/>
  <c r="F15" i="4"/>
  <c r="AO63" i="21"/>
  <c r="AP63"/>
  <c r="AQ63"/>
  <c r="AQ32"/>
  <c r="AP32"/>
  <c r="AP17"/>
  <c r="AM63"/>
  <c r="AE56"/>
  <c r="AN63"/>
  <c r="AL45"/>
  <c r="AL63"/>
  <c r="Q43"/>
  <c r="AF43"/>
  <c r="M37"/>
  <c r="N37"/>
  <c r="J7" i="25"/>
  <c r="H6" i="22"/>
  <c r="M43" i="21"/>
  <c r="AL14"/>
  <c r="AM14"/>
  <c r="AM32"/>
  <c r="AE14"/>
  <c r="AE27"/>
  <c r="AN27"/>
  <c r="AN32"/>
  <c r="AO32"/>
  <c r="AS32"/>
  <c r="AM17"/>
  <c r="AN17"/>
  <c r="AO17"/>
  <c r="AS17"/>
  <c r="AK14"/>
  <c r="AK17"/>
  <c r="B37"/>
  <c r="G37"/>
  <c r="L37"/>
  <c r="C37"/>
  <c r="D37"/>
  <c r="I6" i="22"/>
  <c r="I37" i="21"/>
  <c r="AD37"/>
  <c r="K7" i="25"/>
  <c r="V37" i="21"/>
  <c r="AE37"/>
  <c r="AF37"/>
  <c r="AG37"/>
  <c r="AH37"/>
  <c r="AI37"/>
  <c r="AJ37"/>
  <c r="B38"/>
  <c r="G38"/>
  <c r="L38"/>
  <c r="AB38"/>
  <c r="C38"/>
  <c r="H38"/>
  <c r="M38"/>
  <c r="AC38"/>
  <c r="D38"/>
  <c r="I38"/>
  <c r="N38"/>
  <c r="AD38"/>
  <c r="AE38"/>
  <c r="AF38"/>
  <c r="AG38"/>
  <c r="AH38"/>
  <c r="AI38"/>
  <c r="AJ38"/>
  <c r="B39"/>
  <c r="G39"/>
  <c r="L39"/>
  <c r="AB39"/>
  <c r="C39"/>
  <c r="H39"/>
  <c r="M39"/>
  <c r="D39"/>
  <c r="I39"/>
  <c r="N39"/>
  <c r="AE39"/>
  <c r="AF39"/>
  <c r="AG39"/>
  <c r="AH39"/>
  <c r="AI39"/>
  <c r="AJ39"/>
  <c r="B40"/>
  <c r="G40"/>
  <c r="L40"/>
  <c r="C40"/>
  <c r="H40"/>
  <c r="M40"/>
  <c r="D40"/>
  <c r="I40"/>
  <c r="N40"/>
  <c r="AD40"/>
  <c r="AE40"/>
  <c r="AF40"/>
  <c r="AG40"/>
  <c r="AH40"/>
  <c r="AI40"/>
  <c r="AJ40"/>
  <c r="B41"/>
  <c r="G41"/>
  <c r="L41"/>
  <c r="C41"/>
  <c r="H41"/>
  <c r="M41"/>
  <c r="D41"/>
  <c r="I41"/>
  <c r="N41"/>
  <c r="AD41"/>
  <c r="AE41"/>
  <c r="AF41"/>
  <c r="AG41"/>
  <c r="AH41"/>
  <c r="AI41"/>
  <c r="AJ41"/>
  <c r="C11" i="22"/>
  <c r="B42" i="21"/>
  <c r="L42"/>
  <c r="C42"/>
  <c r="L11" i="22"/>
  <c r="M42" i="21"/>
  <c r="T42"/>
  <c r="D42"/>
  <c r="I11" i="22"/>
  <c r="M11"/>
  <c r="N42" i="21"/>
  <c r="V42"/>
  <c r="AE42"/>
  <c r="W42"/>
  <c r="W45"/>
  <c r="AF45"/>
  <c r="AF42"/>
  <c r="X42"/>
  <c r="AG42"/>
  <c r="AH42"/>
  <c r="AI42"/>
  <c r="AJ42"/>
  <c r="D43"/>
  <c r="I43"/>
  <c r="N43"/>
  <c r="AD43"/>
  <c r="AE43"/>
  <c r="AG43"/>
  <c r="AH43"/>
  <c r="AI43"/>
  <c r="AJ43"/>
  <c r="B44"/>
  <c r="G44"/>
  <c r="L44"/>
  <c r="C44"/>
  <c r="H44"/>
  <c r="M44"/>
  <c r="D44"/>
  <c r="I44"/>
  <c r="N44"/>
  <c r="AE44"/>
  <c r="AF44"/>
  <c r="AG44"/>
  <c r="AH44"/>
  <c r="AI44"/>
  <c r="AJ44"/>
  <c r="L14" i="22"/>
  <c r="T45" i="21"/>
  <c r="E14" i="22"/>
  <c r="M14"/>
  <c r="V45" i="21"/>
  <c r="AE45"/>
  <c r="X45"/>
  <c r="AH45"/>
  <c r="AI45"/>
  <c r="AJ45"/>
  <c r="C46"/>
  <c r="T7"/>
  <c r="T8"/>
  <c r="M8"/>
  <c r="AC8"/>
  <c r="D46"/>
  <c r="AU7" i="25"/>
  <c r="I5" i="2"/>
  <c r="BA7" i="25"/>
  <c r="BD7"/>
  <c r="I7" i="2"/>
  <c r="I7" i="21"/>
  <c r="I8" i="2"/>
  <c r="AU6" i="25"/>
  <c r="M5" i="2"/>
  <c r="M6"/>
  <c r="M7"/>
  <c r="M17"/>
  <c r="N17" i="21"/>
  <c r="BA6" i="25"/>
  <c r="N6" i="21"/>
  <c r="BD6" i="25"/>
  <c r="V5" i="21"/>
  <c r="V6"/>
  <c r="V7"/>
  <c r="V8"/>
  <c r="AE8"/>
  <c r="V9"/>
  <c r="W5"/>
  <c r="W6"/>
  <c r="W8"/>
  <c r="AF8"/>
  <c r="W9"/>
  <c r="W11"/>
  <c r="AF11"/>
  <c r="W13"/>
  <c r="AF13"/>
  <c r="W14"/>
  <c r="AF14"/>
  <c r="W16"/>
  <c r="AU29" i="25"/>
  <c r="X5" i="21"/>
  <c r="X6"/>
  <c r="AG6"/>
  <c r="BD29" i="25"/>
  <c r="X7" i="21"/>
  <c r="AG7"/>
  <c r="X8"/>
  <c r="AG8"/>
  <c r="X9"/>
  <c r="X11"/>
  <c r="X13"/>
  <c r="X14"/>
  <c r="AG14"/>
  <c r="X16"/>
  <c r="AG16"/>
  <c r="Y17"/>
  <c r="AI46"/>
  <c r="AJ46"/>
  <c r="B47"/>
  <c r="G47"/>
  <c r="L47"/>
  <c r="C47"/>
  <c r="H47"/>
  <c r="M47"/>
  <c r="AC47"/>
  <c r="D47"/>
  <c r="I47"/>
  <c r="N47"/>
  <c r="AD47"/>
  <c r="AE47"/>
  <c r="AF47"/>
  <c r="AG47"/>
  <c r="AH47"/>
  <c r="AI47"/>
  <c r="AJ47"/>
  <c r="B48"/>
  <c r="G48"/>
  <c r="L48"/>
  <c r="C48"/>
  <c r="H48"/>
  <c r="M48"/>
  <c r="T48"/>
  <c r="D48"/>
  <c r="I48"/>
  <c r="N48"/>
  <c r="AE48"/>
  <c r="W48"/>
  <c r="AF48"/>
  <c r="X48"/>
  <c r="AG48"/>
  <c r="AH48"/>
  <c r="AI48"/>
  <c r="AJ48"/>
  <c r="B49"/>
  <c r="G49"/>
  <c r="L49"/>
  <c r="C49"/>
  <c r="H49"/>
  <c r="M49"/>
  <c r="D49"/>
  <c r="I49"/>
  <c r="N49"/>
  <c r="AE49"/>
  <c r="AF49"/>
  <c r="AG49"/>
  <c r="AH49"/>
  <c r="AI49"/>
  <c r="AJ49"/>
  <c r="B50"/>
  <c r="G50"/>
  <c r="L50"/>
  <c r="C50"/>
  <c r="H50"/>
  <c r="M50"/>
  <c r="D50"/>
  <c r="I50"/>
  <c r="N50"/>
  <c r="AE50"/>
  <c r="AF50"/>
  <c r="AG50"/>
  <c r="AH50"/>
  <c r="AI50"/>
  <c r="AJ50"/>
  <c r="B51"/>
  <c r="G51"/>
  <c r="L51"/>
  <c r="C51"/>
  <c r="H51"/>
  <c r="M51"/>
  <c r="AC51"/>
  <c r="D51"/>
  <c r="I51"/>
  <c r="N51"/>
  <c r="V51"/>
  <c r="AF51"/>
  <c r="AG51"/>
  <c r="AH51"/>
  <c r="AI51"/>
  <c r="AJ51"/>
  <c r="B52"/>
  <c r="G52"/>
  <c r="L52"/>
  <c r="C52"/>
  <c r="H52"/>
  <c r="M52"/>
  <c r="D52"/>
  <c r="I52"/>
  <c r="N52"/>
  <c r="AE52"/>
  <c r="AF52"/>
  <c r="AG52"/>
  <c r="AH52"/>
  <c r="AI52"/>
  <c r="AJ52"/>
  <c r="B53"/>
  <c r="G53"/>
  <c r="L53"/>
  <c r="AB53"/>
  <c r="C53"/>
  <c r="H53"/>
  <c r="M53"/>
  <c r="AC53"/>
  <c r="D53"/>
  <c r="I53"/>
  <c r="N53"/>
  <c r="AD53"/>
  <c r="AE53"/>
  <c r="AF53"/>
  <c r="AG53"/>
  <c r="AH53"/>
  <c r="AI53"/>
  <c r="AJ53"/>
  <c r="B54"/>
  <c r="G54"/>
  <c r="L54"/>
  <c r="C54"/>
  <c r="H54"/>
  <c r="M54"/>
  <c r="D54"/>
  <c r="I54"/>
  <c r="N54"/>
  <c r="AE54"/>
  <c r="AF54"/>
  <c r="AG54"/>
  <c r="AH54"/>
  <c r="AI54"/>
  <c r="AJ54"/>
  <c r="C24" i="22"/>
  <c r="B55" i="21"/>
  <c r="G24" i="22"/>
  <c r="G55" i="21"/>
  <c r="K24" i="22"/>
  <c r="L55" i="21"/>
  <c r="C55"/>
  <c r="H55"/>
  <c r="L24" i="22"/>
  <c r="M55" i="21"/>
  <c r="AC55"/>
  <c r="D55"/>
  <c r="I55"/>
  <c r="M24" i="22"/>
  <c r="N55" i="21"/>
  <c r="AD55"/>
  <c r="W55"/>
  <c r="AG55"/>
  <c r="AH55"/>
  <c r="AI55"/>
  <c r="AJ55"/>
  <c r="C20" i="2"/>
  <c r="G56" i="21"/>
  <c r="C56"/>
  <c r="H56"/>
  <c r="M56"/>
  <c r="AC56"/>
  <c r="D56"/>
  <c r="I56"/>
  <c r="N56"/>
  <c r="AF56"/>
  <c r="AG56"/>
  <c r="AH56"/>
  <c r="AI56"/>
  <c r="AJ56"/>
  <c r="B57"/>
  <c r="G57"/>
  <c r="L57"/>
  <c r="C57"/>
  <c r="H57"/>
  <c r="M57"/>
  <c r="D57"/>
  <c r="I57"/>
  <c r="N57"/>
  <c r="AE57"/>
  <c r="AF57"/>
  <c r="AG57"/>
  <c r="AH57"/>
  <c r="AI57"/>
  <c r="AJ57"/>
  <c r="B58"/>
  <c r="G58"/>
  <c r="L58"/>
  <c r="C58"/>
  <c r="H58"/>
  <c r="M58"/>
  <c r="D58"/>
  <c r="I58"/>
  <c r="N58"/>
  <c r="AE58"/>
  <c r="AF58"/>
  <c r="AG58"/>
  <c r="AH58"/>
  <c r="AI58"/>
  <c r="AJ58"/>
  <c r="B59"/>
  <c r="G59"/>
  <c r="L59"/>
  <c r="AB59"/>
  <c r="C59"/>
  <c r="H59"/>
  <c r="M59"/>
  <c r="AC59"/>
  <c r="D59"/>
  <c r="I59"/>
  <c r="N59"/>
  <c r="AD59"/>
  <c r="AE59"/>
  <c r="AF59"/>
  <c r="AG59"/>
  <c r="AH59"/>
  <c r="AI59"/>
  <c r="AJ59"/>
  <c r="G29" i="22"/>
  <c r="D29"/>
  <c r="C60" i="21"/>
  <c r="H29" i="22"/>
  <c r="H60" i="21"/>
  <c r="L29" i="22"/>
  <c r="M60" i="21"/>
  <c r="T60"/>
  <c r="E29" i="22"/>
  <c r="D60" i="21"/>
  <c r="I29" i="22"/>
  <c r="I60" i="21"/>
  <c r="X60"/>
  <c r="Y60"/>
  <c r="AH60"/>
  <c r="AI60"/>
  <c r="AJ60"/>
  <c r="G18" i="2"/>
  <c r="D20"/>
  <c r="C20" i="21"/>
  <c r="H61"/>
  <c r="AR5" i="25"/>
  <c r="BS5"/>
  <c r="E20" i="2"/>
  <c r="I61" i="21"/>
  <c r="M18" i="2"/>
  <c r="M31"/>
  <c r="AE61" i="21"/>
  <c r="AF61"/>
  <c r="AG61"/>
  <c r="AH61"/>
  <c r="AI61"/>
  <c r="AJ61"/>
  <c r="B62"/>
  <c r="G62"/>
  <c r="L62"/>
  <c r="AB62"/>
  <c r="C62"/>
  <c r="H62"/>
  <c r="M62"/>
  <c r="AC62"/>
  <c r="D62"/>
  <c r="I62"/>
  <c r="N62"/>
  <c r="AE62"/>
  <c r="AF62"/>
  <c r="AG62"/>
  <c r="AH62"/>
  <c r="AI62"/>
  <c r="AJ62"/>
  <c r="T63"/>
  <c r="Y63"/>
  <c r="AH63"/>
  <c r="AI63"/>
  <c r="AJ63"/>
  <c r="AJ36"/>
  <c r="AI36"/>
  <c r="AH36"/>
  <c r="AG36"/>
  <c r="AF36"/>
  <c r="AE36"/>
  <c r="D36"/>
  <c r="I36"/>
  <c r="N36"/>
  <c r="AD36"/>
  <c r="C36"/>
  <c r="H36"/>
  <c r="M36"/>
  <c r="AC36"/>
  <c r="B36"/>
  <c r="G36"/>
  <c r="L36"/>
  <c r="AB36"/>
  <c r="G6"/>
  <c r="L6"/>
  <c r="BA5" i="25"/>
  <c r="E6" i="2"/>
  <c r="D6" i="21"/>
  <c r="AE6"/>
  <c r="AF6"/>
  <c r="AH6"/>
  <c r="AI6"/>
  <c r="AJ6"/>
  <c r="H7"/>
  <c r="M7"/>
  <c r="BD5" i="25"/>
  <c r="E7" i="2"/>
  <c r="D7" i="21"/>
  <c r="AH7"/>
  <c r="AI7"/>
  <c r="AJ7"/>
  <c r="B8"/>
  <c r="L8"/>
  <c r="AB8"/>
  <c r="E8" i="2"/>
  <c r="D8" i="21"/>
  <c r="I8"/>
  <c r="N8"/>
  <c r="AH8"/>
  <c r="AI8"/>
  <c r="AJ8"/>
  <c r="C9"/>
  <c r="H9"/>
  <c r="M9"/>
  <c r="E9" i="2"/>
  <c r="D9" i="21"/>
  <c r="I9"/>
  <c r="N9"/>
  <c r="AD9"/>
  <c r="AE9"/>
  <c r="AF9"/>
  <c r="AG9"/>
  <c r="AH9"/>
  <c r="AI9"/>
  <c r="AJ9"/>
  <c r="B10"/>
  <c r="G10"/>
  <c r="L10"/>
  <c r="C10"/>
  <c r="H10"/>
  <c r="M10"/>
  <c r="D10"/>
  <c r="I10"/>
  <c r="N10"/>
  <c r="AE10"/>
  <c r="AF10"/>
  <c r="AG10"/>
  <c r="AH10"/>
  <c r="AI10"/>
  <c r="AJ10"/>
  <c r="B11"/>
  <c r="G11"/>
  <c r="L11"/>
  <c r="AB11"/>
  <c r="C11"/>
  <c r="H11"/>
  <c r="M11"/>
  <c r="AC11"/>
  <c r="D11"/>
  <c r="I11"/>
  <c r="N11"/>
  <c r="AE11"/>
  <c r="AG11"/>
  <c r="AH11"/>
  <c r="AI11"/>
  <c r="AJ11"/>
  <c r="B12"/>
  <c r="G12"/>
  <c r="L12"/>
  <c r="AB12"/>
  <c r="C12"/>
  <c r="H12"/>
  <c r="M12"/>
  <c r="D12"/>
  <c r="I12"/>
  <c r="N12"/>
  <c r="AE12"/>
  <c r="AF12"/>
  <c r="AG12"/>
  <c r="AH12"/>
  <c r="AI12"/>
  <c r="AJ12"/>
  <c r="B13"/>
  <c r="G13"/>
  <c r="L13"/>
  <c r="C13"/>
  <c r="H13"/>
  <c r="M13"/>
  <c r="AC13"/>
  <c r="D13"/>
  <c r="I13"/>
  <c r="N13"/>
  <c r="AD13"/>
  <c r="AE13"/>
  <c r="AG13"/>
  <c r="AH13"/>
  <c r="AI13"/>
  <c r="AJ13"/>
  <c r="B14"/>
  <c r="G14"/>
  <c r="L14"/>
  <c r="C14"/>
  <c r="H14"/>
  <c r="M14"/>
  <c r="D14"/>
  <c r="I14"/>
  <c r="N14"/>
  <c r="AH14"/>
  <c r="AI14"/>
  <c r="AJ14"/>
  <c r="B15"/>
  <c r="G15"/>
  <c r="L15"/>
  <c r="AB15"/>
  <c r="C15"/>
  <c r="H15"/>
  <c r="M15"/>
  <c r="AC15"/>
  <c r="D15"/>
  <c r="I15"/>
  <c r="N15"/>
  <c r="AD15"/>
  <c r="AE15"/>
  <c r="AF15"/>
  <c r="AG15"/>
  <c r="AH15"/>
  <c r="AI15"/>
  <c r="AJ15"/>
  <c r="B16"/>
  <c r="G16"/>
  <c r="L16"/>
  <c r="C16"/>
  <c r="H16"/>
  <c r="M16"/>
  <c r="AC16"/>
  <c r="D16"/>
  <c r="I16"/>
  <c r="N16"/>
  <c r="AE16"/>
  <c r="AF16"/>
  <c r="AH16"/>
  <c r="AI16"/>
  <c r="AJ16"/>
  <c r="AU5" i="25"/>
  <c r="E5" i="2"/>
  <c r="AI17" i="21"/>
  <c r="AJ17"/>
  <c r="C18"/>
  <c r="AR7" i="25"/>
  <c r="I18" i="2"/>
  <c r="I31"/>
  <c r="I31" i="21"/>
  <c r="N18"/>
  <c r="AE18"/>
  <c r="AF18"/>
  <c r="AG18"/>
  <c r="AH18"/>
  <c r="AI18"/>
  <c r="AJ18"/>
  <c r="B19"/>
  <c r="G19"/>
  <c r="L19"/>
  <c r="AB19"/>
  <c r="C19"/>
  <c r="H19"/>
  <c r="M19"/>
  <c r="AC19"/>
  <c r="D19"/>
  <c r="I19"/>
  <c r="N19"/>
  <c r="AD19"/>
  <c r="AE19"/>
  <c r="W19"/>
  <c r="AF19"/>
  <c r="X19"/>
  <c r="AG19"/>
  <c r="AH19"/>
  <c r="AI19"/>
  <c r="AJ19"/>
  <c r="B20"/>
  <c r="G20"/>
  <c r="L20"/>
  <c r="AB20"/>
  <c r="H20"/>
  <c r="M20"/>
  <c r="D20"/>
  <c r="I20"/>
  <c r="N20"/>
  <c r="AE20"/>
  <c r="W20"/>
  <c r="AF20"/>
  <c r="X20"/>
  <c r="AG20"/>
  <c r="AH20"/>
  <c r="AI20"/>
  <c r="AJ20"/>
  <c r="B21"/>
  <c r="G21"/>
  <c r="L21"/>
  <c r="AB21"/>
  <c r="C21"/>
  <c r="H21"/>
  <c r="M21"/>
  <c r="AC21"/>
  <c r="D21"/>
  <c r="I21"/>
  <c r="N21"/>
  <c r="AE21"/>
  <c r="AF21"/>
  <c r="AG21"/>
  <c r="AH21"/>
  <c r="AI21"/>
  <c r="AJ21"/>
  <c r="B22"/>
  <c r="G22"/>
  <c r="L22"/>
  <c r="C22"/>
  <c r="H22"/>
  <c r="M22"/>
  <c r="D22"/>
  <c r="I22"/>
  <c r="N22"/>
  <c r="AE22"/>
  <c r="W22"/>
  <c r="AF22"/>
  <c r="X22"/>
  <c r="AG22"/>
  <c r="AH22"/>
  <c r="AI22"/>
  <c r="AJ22"/>
  <c r="B23"/>
  <c r="G23"/>
  <c r="L23"/>
  <c r="C23"/>
  <c r="H23"/>
  <c r="M23"/>
  <c r="D23"/>
  <c r="I23"/>
  <c r="N23"/>
  <c r="AE23"/>
  <c r="W23"/>
  <c r="AF23"/>
  <c r="X23"/>
  <c r="AG23"/>
  <c r="AH23"/>
  <c r="AI23"/>
  <c r="AJ23"/>
  <c r="B24"/>
  <c r="G24"/>
  <c r="L24"/>
  <c r="C24"/>
  <c r="H24"/>
  <c r="M24"/>
  <c r="D24"/>
  <c r="I24"/>
  <c r="N24"/>
  <c r="AE24"/>
  <c r="W24"/>
  <c r="AF24"/>
  <c r="X24"/>
  <c r="AG24"/>
  <c r="AH24"/>
  <c r="AI24"/>
  <c r="AJ24"/>
  <c r="B25"/>
  <c r="G25"/>
  <c r="L25"/>
  <c r="C25"/>
  <c r="H25"/>
  <c r="M25"/>
  <c r="D25"/>
  <c r="I25"/>
  <c r="N25"/>
  <c r="AE25"/>
  <c r="W25"/>
  <c r="AF25"/>
  <c r="X25"/>
  <c r="AG25"/>
  <c r="AH25"/>
  <c r="AI25"/>
  <c r="AJ25"/>
  <c r="B26"/>
  <c r="G26"/>
  <c r="L26"/>
  <c r="C26"/>
  <c r="H26"/>
  <c r="M26"/>
  <c r="D26"/>
  <c r="I26"/>
  <c r="N26"/>
  <c r="AE26"/>
  <c r="W26"/>
  <c r="AF26"/>
  <c r="X26"/>
  <c r="AG26"/>
  <c r="AH26"/>
  <c r="AI26"/>
  <c r="AJ26"/>
  <c r="B27"/>
  <c r="G27"/>
  <c r="L27"/>
  <c r="C27"/>
  <c r="H27"/>
  <c r="M27"/>
  <c r="D27"/>
  <c r="I27"/>
  <c r="N27"/>
  <c r="W27"/>
  <c r="AF27"/>
  <c r="X27"/>
  <c r="AG27"/>
  <c r="AH27"/>
  <c r="AI27"/>
  <c r="AJ27"/>
  <c r="B28"/>
  <c r="G28"/>
  <c r="L28"/>
  <c r="AB28"/>
  <c r="C28"/>
  <c r="H28"/>
  <c r="M28"/>
  <c r="D28"/>
  <c r="I28"/>
  <c r="N28"/>
  <c r="AE28"/>
  <c r="W28"/>
  <c r="AF28"/>
  <c r="X28"/>
  <c r="AG28"/>
  <c r="AH28"/>
  <c r="AI28"/>
  <c r="AJ28"/>
  <c r="B29"/>
  <c r="G29"/>
  <c r="L29"/>
  <c r="C29"/>
  <c r="H29"/>
  <c r="M29"/>
  <c r="D29"/>
  <c r="I29"/>
  <c r="N29"/>
  <c r="AE29"/>
  <c r="W29"/>
  <c r="AF29"/>
  <c r="X29"/>
  <c r="AG29"/>
  <c r="AH29"/>
  <c r="AI29"/>
  <c r="AJ29"/>
  <c r="B30"/>
  <c r="G30"/>
  <c r="L30"/>
  <c r="C30"/>
  <c r="H30"/>
  <c r="M30"/>
  <c r="D30"/>
  <c r="I30"/>
  <c r="N30"/>
  <c r="AE30"/>
  <c r="W30"/>
  <c r="AF30"/>
  <c r="X30"/>
  <c r="AG30"/>
  <c r="AH30"/>
  <c r="AI30"/>
  <c r="AJ30"/>
  <c r="T31"/>
  <c r="V31"/>
  <c r="W31"/>
  <c r="AF31"/>
  <c r="AH31"/>
  <c r="AI31"/>
  <c r="AJ31"/>
  <c r="Y32"/>
  <c r="AH32"/>
  <c r="AI32"/>
  <c r="AJ32"/>
  <c r="AJ5"/>
  <c r="AI5"/>
  <c r="AH5"/>
  <c r="AG5"/>
  <c r="AF5"/>
  <c r="AE5"/>
  <c r="I5"/>
  <c r="M5"/>
  <c r="L5"/>
  <c r="U48"/>
  <c r="U42"/>
  <c r="U45"/>
  <c r="AU13" i="25"/>
  <c r="AU14"/>
  <c r="U5" i="21"/>
  <c r="U6"/>
  <c r="BD8" i="25"/>
  <c r="BD9"/>
  <c r="BD13"/>
  <c r="Q7" i="2"/>
  <c r="U7"/>
  <c r="AC7"/>
  <c r="BD14" i="25"/>
  <c r="BS14"/>
  <c r="BD24"/>
  <c r="BD28"/>
  <c r="BD30"/>
  <c r="BG18"/>
  <c r="BG22"/>
  <c r="BG24"/>
  <c r="BJ8"/>
  <c r="BJ28"/>
  <c r="BJ30"/>
  <c r="Q9" i="2"/>
  <c r="S44" i="21"/>
  <c r="B23" i="14"/>
  <c r="B28"/>
  <c r="B17"/>
  <c r="B31"/>
  <c r="O5" i="22"/>
  <c r="I30" i="25"/>
  <c r="O6" i="22"/>
  <c r="S6"/>
  <c r="AA6"/>
  <c r="S39" i="21"/>
  <c r="O9" i="22"/>
  <c r="S40" i="21"/>
  <c r="S5"/>
  <c r="S6"/>
  <c r="S7"/>
  <c r="S8"/>
  <c r="S9"/>
  <c r="U60"/>
  <c r="U31"/>
  <c r="S31"/>
  <c r="J9" i="25"/>
  <c r="AN9"/>
  <c r="J28"/>
  <c r="AN28"/>
  <c r="J30"/>
  <c r="K8"/>
  <c r="K9"/>
  <c r="AO9"/>
  <c r="K10"/>
  <c r="AO10"/>
  <c r="K28"/>
  <c r="K30"/>
  <c r="P33"/>
  <c r="P35"/>
  <c r="Q15"/>
  <c r="Q35"/>
  <c r="AC30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N8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9"/>
  <c r="AN30"/>
  <c r="AN31"/>
  <c r="AN32"/>
  <c r="AN34"/>
  <c r="AO8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R8"/>
  <c r="AR9"/>
  <c r="AR13"/>
  <c r="AR14"/>
  <c r="AR30"/>
  <c r="BS30"/>
  <c r="AR34"/>
  <c r="BN30"/>
  <c r="BQ30"/>
  <c r="BO30"/>
  <c r="BQ8"/>
  <c r="BQ9"/>
  <c r="BQ10"/>
  <c r="BQ11"/>
  <c r="BQ12"/>
  <c r="BQ13"/>
  <c r="BQ14"/>
  <c r="BQ15"/>
  <c r="BQ16"/>
  <c r="BQ17"/>
  <c r="BQ18"/>
  <c r="BQ19"/>
  <c r="BQ21"/>
  <c r="BQ22"/>
  <c r="BQ23"/>
  <c r="BQ24"/>
  <c r="BQ25"/>
  <c r="BQ26"/>
  <c r="BQ27"/>
  <c r="BQ28"/>
  <c r="BQ29"/>
  <c r="BQ32"/>
  <c r="BQ33"/>
  <c r="BQ34"/>
  <c r="BR10"/>
  <c r="BR11"/>
  <c r="BR12"/>
  <c r="BR13"/>
  <c r="BR15"/>
  <c r="BR16"/>
  <c r="BR17"/>
  <c r="BR18"/>
  <c r="BR19"/>
  <c r="BR20"/>
  <c r="BR21"/>
  <c r="BR22"/>
  <c r="BR23"/>
  <c r="BR24"/>
  <c r="BR25"/>
  <c r="BR26"/>
  <c r="BR27"/>
  <c r="BR28"/>
  <c r="BR31"/>
  <c r="BR32"/>
  <c r="BR33"/>
  <c r="BS9"/>
  <c r="BS10"/>
  <c r="BS11"/>
  <c r="BS12"/>
  <c r="BS15"/>
  <c r="BS16"/>
  <c r="BS17"/>
  <c r="BS18"/>
  <c r="BS19"/>
  <c r="BS20"/>
  <c r="BS21"/>
  <c r="BS22"/>
  <c r="BS23"/>
  <c r="BS25"/>
  <c r="BS26"/>
  <c r="BS27"/>
  <c r="BS28"/>
  <c r="BS29"/>
  <c r="BS31"/>
  <c r="BS32"/>
  <c r="BS33"/>
  <c r="BS34"/>
  <c r="S38" i="21"/>
  <c r="S41"/>
  <c r="S43"/>
  <c r="O5" i="2"/>
  <c r="O6"/>
  <c r="O7"/>
  <c r="O8"/>
  <c r="O9"/>
  <c r="S47" i="21"/>
  <c r="S48"/>
  <c r="S49"/>
  <c r="S50"/>
  <c r="S51"/>
  <c r="S52"/>
  <c r="S53"/>
  <c r="S54"/>
  <c r="S55"/>
  <c r="S56"/>
  <c r="S57"/>
  <c r="S58"/>
  <c r="S59"/>
  <c r="O18" i="2"/>
  <c r="O24" i="22"/>
  <c r="O29"/>
  <c r="S62" i="21"/>
  <c r="Q6" i="2"/>
  <c r="Q5"/>
  <c r="P37" i="21"/>
  <c r="Q37"/>
  <c r="R37"/>
  <c r="P38"/>
  <c r="Q38"/>
  <c r="R38"/>
  <c r="P39"/>
  <c r="Q39"/>
  <c r="R39"/>
  <c r="P40"/>
  <c r="Q40"/>
  <c r="R40"/>
  <c r="P41"/>
  <c r="Q41"/>
  <c r="R41"/>
  <c r="P42"/>
  <c r="Q42"/>
  <c r="R42"/>
  <c r="R43"/>
  <c r="P44"/>
  <c r="Q44"/>
  <c r="R44"/>
  <c r="P47"/>
  <c r="Q47"/>
  <c r="R47"/>
  <c r="P48"/>
  <c r="Q48"/>
  <c r="R48"/>
  <c r="P49"/>
  <c r="Q49"/>
  <c r="R49"/>
  <c r="P50"/>
  <c r="Q50"/>
  <c r="R50"/>
  <c r="P51"/>
  <c r="Q51"/>
  <c r="R51"/>
  <c r="P52"/>
  <c r="Q52"/>
  <c r="R52"/>
  <c r="P53"/>
  <c r="Q53"/>
  <c r="R53"/>
  <c r="P54"/>
  <c r="Q54"/>
  <c r="R54"/>
  <c r="P55"/>
  <c r="Q55"/>
  <c r="Q56"/>
  <c r="R56"/>
  <c r="P57"/>
  <c r="Q57"/>
  <c r="R57"/>
  <c r="P58"/>
  <c r="Q58"/>
  <c r="R58"/>
  <c r="P59"/>
  <c r="Q59"/>
  <c r="R59"/>
  <c r="Q60"/>
  <c r="P62"/>
  <c r="Q62"/>
  <c r="R62"/>
  <c r="Q36"/>
  <c r="R36"/>
  <c r="P6"/>
  <c r="R6"/>
  <c r="P8"/>
  <c r="Q8"/>
  <c r="R8"/>
  <c r="P9"/>
  <c r="Q9"/>
  <c r="R9"/>
  <c r="P10"/>
  <c r="Q10"/>
  <c r="R10"/>
  <c r="P11"/>
  <c r="Q11"/>
  <c r="R11"/>
  <c r="P12"/>
  <c r="Q12"/>
  <c r="R12"/>
  <c r="P13"/>
  <c r="Q13"/>
  <c r="R13"/>
  <c r="P14"/>
  <c r="Q14"/>
  <c r="R14"/>
  <c r="P15"/>
  <c r="Q15"/>
  <c r="R15"/>
  <c r="P16"/>
  <c r="Q16"/>
  <c r="R16"/>
  <c r="R18"/>
  <c r="P19"/>
  <c r="Q19"/>
  <c r="R19"/>
  <c r="P20"/>
  <c r="Q20"/>
  <c r="R20"/>
  <c r="P21"/>
  <c r="Q21"/>
  <c r="R21"/>
  <c r="P22"/>
  <c r="Q22"/>
  <c r="R22"/>
  <c r="P23"/>
  <c r="Q23"/>
  <c r="R23"/>
  <c r="P24"/>
  <c r="Q24"/>
  <c r="R24"/>
  <c r="P25"/>
  <c r="Q25"/>
  <c r="R25"/>
  <c r="P26"/>
  <c r="Q26"/>
  <c r="R26"/>
  <c r="P27"/>
  <c r="Q27"/>
  <c r="R27"/>
  <c r="P28"/>
  <c r="Q28"/>
  <c r="R28"/>
  <c r="P29"/>
  <c r="Q29"/>
  <c r="R29"/>
  <c r="P30"/>
  <c r="Q30"/>
  <c r="R30"/>
  <c r="P24" i="22"/>
  <c r="P29"/>
  <c r="X31" i="2"/>
  <c r="X14"/>
  <c r="T16"/>
  <c r="X16"/>
  <c r="X29" i="22"/>
  <c r="X30"/>
  <c r="Q6"/>
  <c r="Q9"/>
  <c r="U9"/>
  <c r="AC9"/>
  <c r="Q24"/>
  <c r="U24"/>
  <c r="AC24"/>
  <c r="Q29"/>
  <c r="Y12"/>
  <c r="Y14"/>
  <c r="U14" i="2"/>
  <c r="Y14"/>
  <c r="Y17"/>
  <c r="U16"/>
  <c r="Y16"/>
  <c r="AC16"/>
  <c r="T31" i="22"/>
  <c r="AB31"/>
  <c r="U31"/>
  <c r="AC31"/>
  <c r="S27"/>
  <c r="AA27"/>
  <c r="T27"/>
  <c r="AB27"/>
  <c r="U27"/>
  <c r="AC27"/>
  <c r="S28"/>
  <c r="AA28"/>
  <c r="T28"/>
  <c r="AB28"/>
  <c r="U28"/>
  <c r="AC28"/>
  <c r="T26"/>
  <c r="AB26"/>
  <c r="U26"/>
  <c r="AC26"/>
  <c r="T25"/>
  <c r="AB25"/>
  <c r="U25"/>
  <c r="T24"/>
  <c r="AB24"/>
  <c r="S18"/>
  <c r="AA18"/>
  <c r="T18"/>
  <c r="AB18"/>
  <c r="U18"/>
  <c r="AC18"/>
  <c r="S19"/>
  <c r="AA19"/>
  <c r="T19"/>
  <c r="AB19"/>
  <c r="U19"/>
  <c r="AC19"/>
  <c r="S20"/>
  <c r="AA20"/>
  <c r="T20"/>
  <c r="AB20"/>
  <c r="U20"/>
  <c r="AC20"/>
  <c r="S21"/>
  <c r="AA21"/>
  <c r="T21"/>
  <c r="AB21"/>
  <c r="U21"/>
  <c r="AC21"/>
  <c r="S22"/>
  <c r="AA22"/>
  <c r="T22"/>
  <c r="AB22"/>
  <c r="U22"/>
  <c r="AC22"/>
  <c r="S23"/>
  <c r="AA23"/>
  <c r="T23"/>
  <c r="AB23"/>
  <c r="U23"/>
  <c r="AC23"/>
  <c r="T17"/>
  <c r="AB17"/>
  <c r="U17"/>
  <c r="AC17"/>
  <c r="T16"/>
  <c r="AB16"/>
  <c r="U16"/>
  <c r="AC16"/>
  <c r="T13"/>
  <c r="AB13"/>
  <c r="U13"/>
  <c r="AC13"/>
  <c r="U12"/>
  <c r="AC12"/>
  <c r="T7"/>
  <c r="AB7"/>
  <c r="U7"/>
  <c r="AC7"/>
  <c r="T8"/>
  <c r="AB8"/>
  <c r="U8"/>
  <c r="AC8"/>
  <c r="T10"/>
  <c r="AB10"/>
  <c r="U10"/>
  <c r="AC10"/>
  <c r="S7"/>
  <c r="S8"/>
  <c r="S9"/>
  <c r="S10"/>
  <c r="T5"/>
  <c r="U5"/>
  <c r="T19" i="2"/>
  <c r="AB19"/>
  <c r="U19"/>
  <c r="AC19"/>
  <c r="U20"/>
  <c r="AC20"/>
  <c r="T21"/>
  <c r="AB21"/>
  <c r="U21"/>
  <c r="AC21"/>
  <c r="T22"/>
  <c r="AB22"/>
  <c r="U22"/>
  <c r="AC22"/>
  <c r="T23"/>
  <c r="AB23"/>
  <c r="U23"/>
  <c r="AC23"/>
  <c r="T24"/>
  <c r="AB24"/>
  <c r="U24"/>
  <c r="AC24"/>
  <c r="T25"/>
  <c r="AB25"/>
  <c r="U25"/>
  <c r="AC25"/>
  <c r="T26"/>
  <c r="AB26"/>
  <c r="U26"/>
  <c r="AC26"/>
  <c r="AB27"/>
  <c r="T28"/>
  <c r="AB28"/>
  <c r="U28"/>
  <c r="AC28"/>
  <c r="T29"/>
  <c r="AB29"/>
  <c r="U29"/>
  <c r="AC29"/>
  <c r="T30"/>
  <c r="AB30"/>
  <c r="U30"/>
  <c r="AC30"/>
  <c r="U9"/>
  <c r="AC9"/>
  <c r="T10"/>
  <c r="AB10"/>
  <c r="U10"/>
  <c r="AC10"/>
  <c r="T11"/>
  <c r="AB11"/>
  <c r="U11"/>
  <c r="AC11"/>
  <c r="T12"/>
  <c r="AB12"/>
  <c r="U12"/>
  <c r="AC12"/>
  <c r="T13"/>
  <c r="AB13"/>
  <c r="U13"/>
  <c r="AC13"/>
  <c r="T15"/>
  <c r="AB15"/>
  <c r="U15"/>
  <c r="AC15"/>
  <c r="AB16"/>
  <c r="S19"/>
  <c r="S20"/>
  <c r="S21"/>
  <c r="S22"/>
  <c r="S23"/>
  <c r="S24"/>
  <c r="S25"/>
  <c r="S26"/>
  <c r="S28"/>
  <c r="S29"/>
  <c r="S30"/>
  <c r="S8"/>
  <c r="AA8"/>
  <c r="S10"/>
  <c r="S11"/>
  <c r="S12"/>
  <c r="S13"/>
  <c r="AA13"/>
  <c r="S15"/>
  <c r="S16"/>
  <c r="K5" i="25"/>
  <c r="K6"/>
  <c r="D35"/>
  <c r="E35"/>
  <c r="F35"/>
  <c r="G35"/>
  <c r="H35"/>
  <c r="I35"/>
  <c r="J35"/>
  <c r="L35"/>
  <c r="M35"/>
  <c r="N35"/>
  <c r="O35"/>
  <c r="R35"/>
  <c r="S35"/>
  <c r="T35"/>
  <c r="V5"/>
  <c r="V6"/>
  <c r="V7"/>
  <c r="V35"/>
  <c r="W5"/>
  <c r="W6"/>
  <c r="W7"/>
  <c r="W35"/>
  <c r="X5"/>
  <c r="X6"/>
  <c r="X7"/>
  <c r="X35"/>
  <c r="Y35"/>
  <c r="Z6"/>
  <c r="Z35"/>
  <c r="AA35"/>
  <c r="AB35"/>
  <c r="AC5"/>
  <c r="AC35"/>
  <c r="AD35"/>
  <c r="AE35"/>
  <c r="AF35"/>
  <c r="AG7"/>
  <c r="AH6"/>
  <c r="AH7"/>
  <c r="AH35"/>
  <c r="AI6"/>
  <c r="AO6"/>
  <c r="AI7"/>
  <c r="AJ35"/>
  <c r="AK35"/>
  <c r="AL35"/>
  <c r="AN6"/>
  <c r="AO7"/>
  <c r="AP35"/>
  <c r="AQ35"/>
  <c r="AS35"/>
  <c r="AU35"/>
  <c r="AV35"/>
  <c r="AW35"/>
  <c r="AX35"/>
  <c r="AY35"/>
  <c r="AZ35"/>
  <c r="BB35"/>
  <c r="BD35"/>
  <c r="BE35"/>
  <c r="BF35"/>
  <c r="BH35"/>
  <c r="BL35"/>
  <c r="BM35"/>
  <c r="BN5"/>
  <c r="BN6"/>
  <c r="BQ6"/>
  <c r="BN7"/>
  <c r="BQ7"/>
  <c r="BO35"/>
  <c r="BP35"/>
  <c r="BQ5"/>
  <c r="BR5"/>
  <c r="BR6"/>
  <c r="BR7"/>
  <c r="BS6"/>
  <c r="BS7"/>
  <c r="C35"/>
  <c r="C12" i="10"/>
  <c r="C20"/>
  <c r="D23" i="6"/>
  <c r="C21"/>
  <c r="C23"/>
  <c r="O23"/>
  <c r="D21"/>
  <c r="D32"/>
  <c r="G6" i="39"/>
  <c r="G7"/>
  <c r="G8"/>
  <c r="G9"/>
  <c r="G10"/>
  <c r="G13"/>
  <c r="G14"/>
  <c r="G15"/>
  <c r="G16"/>
  <c r="G17"/>
  <c r="G18"/>
  <c r="F19"/>
  <c r="G19"/>
  <c r="G26"/>
  <c r="G27"/>
  <c r="G28"/>
  <c r="G29"/>
  <c r="F30"/>
  <c r="G30"/>
  <c r="G31"/>
  <c r="G32"/>
  <c r="G33"/>
  <c r="G34"/>
  <c r="G35"/>
  <c r="G36"/>
  <c r="E37"/>
  <c r="N6" i="34"/>
  <c r="N7"/>
  <c r="N8"/>
  <c r="N9"/>
  <c r="N10"/>
  <c r="N11"/>
  <c r="N12"/>
  <c r="N13"/>
  <c r="N14"/>
  <c r="D15"/>
  <c r="N15"/>
  <c r="E15"/>
  <c r="F15"/>
  <c r="G15"/>
  <c r="H15"/>
  <c r="I15"/>
  <c r="J15"/>
  <c r="K15"/>
  <c r="L15"/>
  <c r="M15"/>
  <c r="D16"/>
  <c r="D18"/>
  <c r="E16"/>
  <c r="E18"/>
  <c r="F16"/>
  <c r="G16"/>
  <c r="H16"/>
  <c r="H18"/>
  <c r="I16"/>
  <c r="I18"/>
  <c r="N17"/>
  <c r="C18"/>
  <c r="F18"/>
  <c r="G18"/>
  <c r="J18"/>
  <c r="K18"/>
  <c r="L18"/>
  <c r="M18"/>
  <c r="F9" i="33"/>
  <c r="V6" i="15"/>
  <c r="V7"/>
  <c r="V8"/>
  <c r="V9"/>
  <c r="U6"/>
  <c r="U7"/>
  <c r="U8"/>
  <c r="U9"/>
  <c r="P12" i="10"/>
  <c r="P5"/>
  <c r="P6"/>
  <c r="P7"/>
  <c r="O19"/>
  <c r="O18"/>
  <c r="O17"/>
  <c r="O16"/>
  <c r="O15"/>
  <c r="O7"/>
  <c r="B19" i="7"/>
  <c r="AC34" i="22"/>
  <c r="AC33"/>
  <c r="AC5"/>
  <c r="AB33"/>
  <c r="AB5"/>
  <c r="W16" i="2"/>
  <c r="P36" i="21"/>
  <c r="P5"/>
  <c r="E9" i="15"/>
  <c r="E10"/>
  <c r="K10"/>
  <c r="N5"/>
  <c r="N6"/>
  <c r="N7"/>
  <c r="T7"/>
  <c r="N8"/>
  <c r="T8"/>
  <c r="T5"/>
  <c r="T6"/>
  <c r="E18" i="10"/>
  <c r="E16"/>
  <c r="AP36" i="25"/>
  <c r="S13" i="22"/>
  <c r="S24"/>
  <c r="S26"/>
  <c r="E16" i="6"/>
  <c r="N16"/>
  <c r="E17"/>
  <c r="N17"/>
  <c r="E18"/>
  <c r="N18"/>
  <c r="E19"/>
  <c r="N19"/>
  <c r="E20"/>
  <c r="N20"/>
  <c r="B21"/>
  <c r="K36"/>
  <c r="W29" i="22"/>
  <c r="S33"/>
  <c r="S34"/>
  <c r="AA34"/>
  <c r="W34"/>
  <c r="S17"/>
  <c r="AA13"/>
  <c r="S31"/>
  <c r="AA31"/>
  <c r="S16"/>
  <c r="AA16"/>
  <c r="C15" i="12"/>
  <c r="D15"/>
  <c r="B15"/>
  <c r="E6" i="9"/>
  <c r="E7"/>
  <c r="E8"/>
  <c r="E9"/>
  <c r="E10"/>
  <c r="E11"/>
  <c r="E12"/>
  <c r="E13"/>
  <c r="E14"/>
  <c r="E15"/>
  <c r="E16"/>
  <c r="C17" i="27"/>
  <c r="E17" i="9"/>
  <c r="E18"/>
  <c r="E5"/>
  <c r="C19"/>
  <c r="D19"/>
  <c r="B19"/>
  <c r="C14" i="5"/>
  <c r="D14"/>
  <c r="E5" i="26"/>
  <c r="E5" i="5"/>
  <c r="E14" i="26"/>
  <c r="E18"/>
  <c r="E21"/>
  <c r="E8" i="5"/>
  <c r="B14"/>
  <c r="E5" i="4"/>
  <c r="E10"/>
  <c r="E15"/>
  <c r="N13" i="10"/>
  <c r="N15"/>
  <c r="B16"/>
  <c r="K16"/>
  <c r="N17"/>
  <c r="N19"/>
  <c r="K12"/>
  <c r="K20"/>
  <c r="C15" i="4"/>
  <c r="D15"/>
  <c r="B15"/>
  <c r="AA7" i="22"/>
  <c r="AA8"/>
  <c r="AA9"/>
  <c r="AA10"/>
  <c r="AA17"/>
  <c r="AA24"/>
  <c r="AA26"/>
  <c r="C12" i="17"/>
  <c r="D12"/>
  <c r="F12"/>
  <c r="E12"/>
  <c r="B12"/>
  <c r="AA10" i="2"/>
  <c r="AA11"/>
  <c r="AA12"/>
  <c r="AA15"/>
  <c r="AA16"/>
  <c r="AA19"/>
  <c r="AA20"/>
  <c r="AA21"/>
  <c r="AA22"/>
  <c r="AA23"/>
  <c r="AA24"/>
  <c r="AA25"/>
  <c r="AA26"/>
  <c r="AA28"/>
  <c r="AA29"/>
  <c r="AA30"/>
  <c r="B12" i="19"/>
  <c r="B41"/>
  <c r="B19"/>
  <c r="B26"/>
  <c r="B33"/>
  <c r="B40"/>
  <c r="H7" i="10"/>
  <c r="E7"/>
  <c r="B7"/>
  <c r="O13"/>
  <c r="H9" i="7"/>
  <c r="B10"/>
  <c r="H10"/>
  <c r="M15" i="22"/>
  <c r="O12" i="10"/>
  <c r="AO5" i="25"/>
  <c r="AO35"/>
  <c r="S9" i="2"/>
  <c r="AA9"/>
  <c r="P7" i="21"/>
  <c r="AB27"/>
  <c r="AK27"/>
  <c r="AK32"/>
  <c r="AB26"/>
  <c r="AB25"/>
  <c r="AB24"/>
  <c r="AB23"/>
  <c r="AB22"/>
  <c r="AB16"/>
  <c r="AB14"/>
  <c r="AB13"/>
  <c r="AC20"/>
  <c r="AC60"/>
  <c r="AD58"/>
  <c r="AD57"/>
  <c r="AB51"/>
  <c r="AD50"/>
  <c r="AD49"/>
  <c r="AD48"/>
  <c r="AB47"/>
  <c r="AB44"/>
  <c r="AC41"/>
  <c r="AC40"/>
  <c r="K17" i="2"/>
  <c r="L17" i="21"/>
  <c r="C17" i="2"/>
  <c r="C12" i="22"/>
  <c r="AB6" i="21"/>
  <c r="AC9"/>
  <c r="S5" i="2"/>
  <c r="AA5"/>
  <c r="S17" i="21"/>
  <c r="AB30"/>
  <c r="AD21"/>
  <c r="AD20"/>
  <c r="AD11"/>
  <c r="M6"/>
  <c r="AC6"/>
  <c r="AD62"/>
  <c r="AC57"/>
  <c r="AB55"/>
  <c r="AD52"/>
  <c r="AC50"/>
  <c r="AC49"/>
  <c r="AC48"/>
  <c r="AB48"/>
  <c r="AB40"/>
  <c r="H17" i="2"/>
  <c r="J32"/>
  <c r="O20" i="10"/>
  <c r="AB42" i="21"/>
  <c r="AB5"/>
  <c r="BN35" i="25"/>
  <c r="AN5"/>
  <c r="U5" i="2"/>
  <c r="AC5"/>
  <c r="S18"/>
  <c r="AA18"/>
  <c r="AB29" i="21"/>
  <c r="AB10"/>
  <c r="AD8"/>
  <c r="AB57"/>
  <c r="AD56"/>
  <c r="AD54"/>
  <c r="AC52"/>
  <c r="AD51"/>
  <c r="AB49"/>
  <c r="V17"/>
  <c r="AC7"/>
  <c r="AC39"/>
  <c r="AB37"/>
  <c r="C14" i="22"/>
  <c r="U5" i="25"/>
  <c r="B12" i="10"/>
  <c r="B20"/>
  <c r="B14"/>
  <c r="B43" i="21"/>
  <c r="S36"/>
  <c r="O11" i="22"/>
  <c r="S5"/>
  <c r="AA5"/>
  <c r="N18" i="34"/>
  <c r="O32" i="6"/>
  <c r="W17" i="21"/>
  <c r="AF7"/>
  <c r="AE17"/>
  <c r="V46"/>
  <c r="AE46"/>
  <c r="Q18"/>
  <c r="L31" i="2"/>
  <c r="M18" i="21"/>
  <c r="AC18"/>
  <c r="G37" i="39"/>
  <c r="E19" i="9"/>
  <c r="BS8" i="25"/>
  <c r="BS35"/>
  <c r="Q18" i="2"/>
  <c r="G60" i="21"/>
  <c r="AL17"/>
  <c r="AL32"/>
  <c r="P17"/>
  <c r="O27" i="2"/>
  <c r="P18" i="21"/>
  <c r="U6" i="22"/>
  <c r="AC6"/>
  <c r="Q11"/>
  <c r="X17" i="2"/>
  <c r="X32"/>
  <c r="AB14"/>
  <c r="N45" i="21"/>
  <c r="I14" i="22"/>
  <c r="I42" i="21"/>
  <c r="AD42"/>
  <c r="C31" i="2"/>
  <c r="B31" i="21"/>
  <c r="B18"/>
  <c r="C32" i="6"/>
  <c r="O21"/>
  <c r="R55" i="21"/>
  <c r="M29" i="22"/>
  <c r="M32"/>
  <c r="R17" i="2"/>
  <c r="Z17"/>
  <c r="L17"/>
  <c r="L15" i="22"/>
  <c r="Q5" i="21"/>
  <c r="S32"/>
  <c r="E32" i="6"/>
  <c r="E7" i="5"/>
  <c r="E14"/>
  <c r="AC14" i="2"/>
  <c r="R17" i="21"/>
  <c r="O31" i="2"/>
  <c r="U63" i="21"/>
  <c r="S37"/>
  <c r="U9"/>
  <c r="U7"/>
  <c r="I18"/>
  <c r="G32" i="6"/>
  <c r="B31" i="2"/>
  <c r="R31"/>
  <c r="Z31"/>
  <c r="T17" i="21"/>
  <c r="N16" i="34"/>
  <c r="F37" i="39"/>
  <c r="AI35" i="25"/>
  <c r="T20" i="2"/>
  <c r="AB20"/>
  <c r="R5" i="21"/>
  <c r="Q45"/>
  <c r="S7" i="2"/>
  <c r="AA7"/>
  <c r="BI35" i="25"/>
  <c r="BR9"/>
  <c r="M32" i="2"/>
  <c r="X31" i="21"/>
  <c r="AD30"/>
  <c r="AD29"/>
  <c r="AD28"/>
  <c r="AD27"/>
  <c r="AD26"/>
  <c r="AD25"/>
  <c r="AD24"/>
  <c r="AD23"/>
  <c r="AD22"/>
  <c r="L18"/>
  <c r="AD14"/>
  <c r="AD12"/>
  <c r="AD10"/>
  <c r="AC58"/>
  <c r="AC54"/>
  <c r="AB52"/>
  <c r="AB50"/>
  <c r="AD44"/>
  <c r="AB41"/>
  <c r="N14" i="22"/>
  <c r="N32"/>
  <c r="C23" i="40"/>
  <c r="N21" i="6"/>
  <c r="B32"/>
  <c r="BS24" i="25"/>
  <c r="Q8" i="2"/>
  <c r="U8"/>
  <c r="AC8"/>
  <c r="V55" i="21"/>
  <c r="AE51"/>
  <c r="L32" i="22"/>
  <c r="M45" i="21"/>
  <c r="H17"/>
  <c r="K32" i="6"/>
  <c r="N4"/>
  <c r="N32"/>
  <c r="G17" i="21"/>
  <c r="F13" i="44"/>
  <c r="D16"/>
  <c r="F16"/>
  <c r="C31" i="21"/>
  <c r="D30" i="22"/>
  <c r="C61" i="21"/>
  <c r="C13" i="39"/>
  <c r="D15"/>
  <c r="D28"/>
  <c r="C26"/>
  <c r="K43" i="6"/>
  <c r="N36"/>
  <c r="AN33" i="25"/>
  <c r="P9" i="22"/>
  <c r="T9"/>
  <c r="AB9"/>
  <c r="G18" i="21"/>
  <c r="G31" i="2"/>
  <c r="G31" i="21"/>
  <c r="W60"/>
  <c r="AF55"/>
  <c r="H11" i="22"/>
  <c r="H42" i="21"/>
  <c r="AC42"/>
  <c r="H37"/>
  <c r="AC37"/>
  <c r="V32"/>
  <c r="AE32"/>
  <c r="AE31"/>
  <c r="E17" i="2"/>
  <c r="D5" i="21"/>
  <c r="N31"/>
  <c r="R31"/>
  <c r="AG60"/>
  <c r="X63"/>
  <c r="AG63"/>
  <c r="AH17"/>
  <c r="Y46"/>
  <c r="AH46"/>
  <c r="R7"/>
  <c r="N7"/>
  <c r="AD7"/>
  <c r="BA35" i="25"/>
  <c r="I6" i="2"/>
  <c r="I17"/>
  <c r="E32" i="22"/>
  <c r="D63" i="21"/>
  <c r="D45"/>
  <c r="N43" i="6"/>
  <c r="P25"/>
  <c r="M43"/>
  <c r="P18" i="2"/>
  <c r="C32"/>
  <c r="C19" i="27"/>
  <c r="AR35" i="25"/>
  <c r="T29" i="22"/>
  <c r="Q17" i="2"/>
  <c r="S6"/>
  <c r="AA6"/>
  <c r="BS13" i="25"/>
  <c r="BR29"/>
  <c r="BR35"/>
  <c r="U8" i="21"/>
  <c r="N5"/>
  <c r="E18" i="2"/>
  <c r="Q27"/>
  <c r="U27"/>
  <c r="X17" i="21"/>
  <c r="AG17"/>
  <c r="AG45"/>
  <c r="R29" i="22"/>
  <c r="Z29"/>
  <c r="H31" i="2"/>
  <c r="H31" i="21"/>
  <c r="P9" i="2"/>
  <c r="AC5" i="21"/>
  <c r="T5" i="2"/>
  <c r="K25" i="22"/>
  <c r="BG35" i="25"/>
  <c r="BC35"/>
  <c r="AT35"/>
  <c r="AN7"/>
  <c r="AN35"/>
  <c r="K35"/>
  <c r="P6" i="22"/>
  <c r="R45" i="21"/>
  <c r="S60"/>
  <c r="BJ35" i="25"/>
  <c r="BR30"/>
  <c r="AC30" i="21"/>
  <c r="AC29"/>
  <c r="AC28"/>
  <c r="AC27"/>
  <c r="AC26"/>
  <c r="AC25"/>
  <c r="AC24"/>
  <c r="AC23"/>
  <c r="AC22"/>
  <c r="B17"/>
  <c r="AD16"/>
  <c r="AC14"/>
  <c r="AC12"/>
  <c r="AC10"/>
  <c r="AE7"/>
  <c r="K31" i="2"/>
  <c r="AB58" i="21"/>
  <c r="AB54"/>
  <c r="AC44"/>
  <c r="AD39"/>
  <c r="D17" i="2"/>
  <c r="P21" i="6"/>
  <c r="P43"/>
  <c r="R32" i="22"/>
  <c r="G12"/>
  <c r="F21" i="44"/>
  <c r="E26" i="43"/>
  <c r="T6" i="2"/>
  <c r="AB6"/>
  <c r="P16" i="6"/>
  <c r="P32"/>
  <c r="AD5" i="21"/>
  <c r="N46"/>
  <c r="R46"/>
  <c r="K12" i="22"/>
  <c r="AB17" i="21"/>
  <c r="U17"/>
  <c r="S42"/>
  <c r="S45"/>
  <c r="S46"/>
  <c r="R63"/>
  <c r="N63"/>
  <c r="U32"/>
  <c r="U46"/>
  <c r="U6" i="25"/>
  <c r="AM6"/>
  <c r="L43" i="21"/>
  <c r="K14" i="22"/>
  <c r="P43" i="21"/>
  <c r="H12" i="10"/>
  <c r="W12" i="22"/>
  <c r="W14"/>
  <c r="H14" i="10"/>
  <c r="S12" i="22"/>
  <c r="P31" i="21"/>
  <c r="L31"/>
  <c r="T9" i="2"/>
  <c r="AB9"/>
  <c r="P17"/>
  <c r="AB29" i="22"/>
  <c r="C19" i="39"/>
  <c r="D19"/>
  <c r="D13"/>
  <c r="Q63" i="21"/>
  <c r="M63"/>
  <c r="I32" i="2"/>
  <c r="I32" i="21"/>
  <c r="I17"/>
  <c r="B32"/>
  <c r="C25" i="22"/>
  <c r="I15"/>
  <c r="I46" i="21"/>
  <c r="AD46"/>
  <c r="I32" i="22"/>
  <c r="I63" i="21"/>
  <c r="AD63"/>
  <c r="I45"/>
  <c r="AD45"/>
  <c r="S27" i="2"/>
  <c r="K6" i="10"/>
  <c r="N6"/>
  <c r="G14" i="22"/>
  <c r="G43" i="21"/>
  <c r="U7" i="25"/>
  <c r="AM7"/>
  <c r="E14" i="10"/>
  <c r="E12"/>
  <c r="E20"/>
  <c r="K29" i="22"/>
  <c r="H9" i="15"/>
  <c r="H10"/>
  <c r="L56" i="21"/>
  <c r="P56"/>
  <c r="H18" i="10"/>
  <c r="E31" i="2"/>
  <c r="E32"/>
  <c r="D32" i="21"/>
  <c r="D18"/>
  <c r="AD18"/>
  <c r="U6" i="2"/>
  <c r="AC6"/>
  <c r="I6" i="21"/>
  <c r="AD6"/>
  <c r="C37" i="39"/>
  <c r="D37"/>
  <c r="D26"/>
  <c r="M17" i="21"/>
  <c r="Q17"/>
  <c r="L32" i="2"/>
  <c r="B45" i="21"/>
  <c r="C15" i="22"/>
  <c r="B46" i="21"/>
  <c r="X46"/>
  <c r="AG46"/>
  <c r="AB18"/>
  <c r="O14" i="2"/>
  <c r="K32"/>
  <c r="U29" i="22"/>
  <c r="H32" i="2"/>
  <c r="H32" i="21"/>
  <c r="AB31"/>
  <c r="G30" i="22"/>
  <c r="G61" i="21"/>
  <c r="H12" i="22"/>
  <c r="P31" i="2"/>
  <c r="T31"/>
  <c r="T30" i="22"/>
  <c r="T18" i="2"/>
  <c r="AB18"/>
  <c r="D17" i="21"/>
  <c r="Y27" i="2"/>
  <c r="Y31"/>
  <c r="Y32"/>
  <c r="Y25" i="22"/>
  <c r="N60" i="21"/>
  <c r="AD60"/>
  <c r="R60"/>
  <c r="M30" i="22"/>
  <c r="Q14"/>
  <c r="U11"/>
  <c r="AC11"/>
  <c r="D12"/>
  <c r="D32" i="2"/>
  <c r="C32" i="21"/>
  <c r="C17"/>
  <c r="AC17"/>
  <c r="Q31" i="2"/>
  <c r="Q32"/>
  <c r="U17"/>
  <c r="AC17"/>
  <c r="R32" i="21"/>
  <c r="N32"/>
  <c r="T32"/>
  <c r="T46"/>
  <c r="O30" i="22"/>
  <c r="S61" i="21"/>
  <c r="S31" i="2"/>
  <c r="W46" i="21"/>
  <c r="AF46"/>
  <c r="AF17"/>
  <c r="W32"/>
  <c r="AF32"/>
  <c r="Q46"/>
  <c r="M46"/>
  <c r="P11" i="22"/>
  <c r="T6"/>
  <c r="AB6"/>
  <c r="AB5" i="2"/>
  <c r="T17"/>
  <c r="AB17"/>
  <c r="AF60" i="21"/>
  <c r="W63"/>
  <c r="AF63"/>
  <c r="V60"/>
  <c r="AE55"/>
  <c r="X32"/>
  <c r="AG32"/>
  <c r="AG31"/>
  <c r="U18" i="2"/>
  <c r="AC18"/>
  <c r="Q31" i="21"/>
  <c r="L30" i="22"/>
  <c r="M31" i="21"/>
  <c r="O14" i="22"/>
  <c r="S11"/>
  <c r="AA11"/>
  <c r="AB43" i="21"/>
  <c r="AK43"/>
  <c r="AC31"/>
  <c r="G32" i="2"/>
  <c r="G32" i="21"/>
  <c r="R14" i="22"/>
  <c r="Z14"/>
  <c r="B32" i="2"/>
  <c r="R32"/>
  <c r="Z32"/>
  <c r="U31"/>
  <c r="AC31"/>
  <c r="AC27"/>
  <c r="S63" i="21"/>
  <c r="U32" i="2"/>
  <c r="AC32"/>
  <c r="P32"/>
  <c r="P14" i="22"/>
  <c r="T11"/>
  <c r="AB11"/>
  <c r="Q32"/>
  <c r="U32"/>
  <c r="Q15"/>
  <c r="U14"/>
  <c r="L32" i="21"/>
  <c r="P32"/>
  <c r="K30" i="22"/>
  <c r="P60" i="21"/>
  <c r="L60"/>
  <c r="G15" i="22"/>
  <c r="G46" i="21"/>
  <c r="G32" i="22"/>
  <c r="G63" i="21"/>
  <c r="G45"/>
  <c r="V12" i="22"/>
  <c r="Z12"/>
  <c r="AA12"/>
  <c r="M61" i="21"/>
  <c r="AC61"/>
  <c r="Q61"/>
  <c r="BK31" i="25"/>
  <c r="S14" i="2"/>
  <c r="K5" i="10"/>
  <c r="O17" i="2"/>
  <c r="H16" i="10"/>
  <c r="N16"/>
  <c r="N18"/>
  <c r="N12"/>
  <c r="AE60" i="21"/>
  <c r="V63"/>
  <c r="AE63"/>
  <c r="C43"/>
  <c r="C14" i="10"/>
  <c r="O14"/>
  <c r="D14" i="22"/>
  <c r="H14"/>
  <c r="H43" i="21"/>
  <c r="X12" i="22"/>
  <c r="X14"/>
  <c r="X32"/>
  <c r="T12"/>
  <c r="M32" i="21"/>
  <c r="AC32"/>
  <c r="Q32"/>
  <c r="E30" i="22"/>
  <c r="D61" i="21"/>
  <c r="D31"/>
  <c r="AD31"/>
  <c r="W27" i="2"/>
  <c r="AA27"/>
  <c r="W31"/>
  <c r="W30" i="22"/>
  <c r="C29"/>
  <c r="B9" i="15"/>
  <c r="B56" i="21"/>
  <c r="AB56"/>
  <c r="AK56"/>
  <c r="AG5" i="25"/>
  <c r="W32" i="22"/>
  <c r="O32"/>
  <c r="S14"/>
  <c r="O15"/>
  <c r="N61" i="21"/>
  <c r="R61"/>
  <c r="Y29" i="22"/>
  <c r="AC25"/>
  <c r="T32" i="2"/>
  <c r="AB32"/>
  <c r="AB31"/>
  <c r="L45" i="21"/>
  <c r="P45"/>
  <c r="K15" i="22"/>
  <c r="K32"/>
  <c r="AA31" i="2"/>
  <c r="AD17" i="21"/>
  <c r="AB32"/>
  <c r="U35" i="25"/>
  <c r="AD32" i="21"/>
  <c r="AB30" i="22"/>
  <c r="S25"/>
  <c r="N14" i="10"/>
  <c r="AB45" i="21"/>
  <c r="AD61"/>
  <c r="H20" i="10"/>
  <c r="N20"/>
  <c r="U30" i="22"/>
  <c r="AA25"/>
  <c r="V25"/>
  <c r="C30"/>
  <c r="B61" i="21"/>
  <c r="B60"/>
  <c r="AB60"/>
  <c r="C32" i="22"/>
  <c r="B63" i="21"/>
  <c r="O32" i="2"/>
  <c r="S32"/>
  <c r="S17"/>
  <c r="L61" i="21"/>
  <c r="P61"/>
  <c r="L46"/>
  <c r="AB46"/>
  <c r="P46"/>
  <c r="B10" i="15"/>
  <c r="Q10"/>
  <c r="Q9"/>
  <c r="N9"/>
  <c r="D32" i="22"/>
  <c r="C63" i="21"/>
  <c r="C45"/>
  <c r="BK35" i="25"/>
  <c r="BQ31"/>
  <c r="BQ35"/>
  <c r="U15" i="22"/>
  <c r="AC14"/>
  <c r="AC15"/>
  <c r="P32"/>
  <c r="P15"/>
  <c r="T14"/>
  <c r="P63" i="21"/>
  <c r="L63"/>
  <c r="H45"/>
  <c r="H15" i="22"/>
  <c r="H46" i="21"/>
  <c r="AC46"/>
  <c r="H32" i="22"/>
  <c r="H63" i="21"/>
  <c r="W14" i="2"/>
  <c r="W17"/>
  <c r="Y30" i="22"/>
  <c r="Y32"/>
  <c r="S15"/>
  <c r="AA14"/>
  <c r="AG35" i="25"/>
  <c r="AM5"/>
  <c r="AM35"/>
  <c r="K7" i="10"/>
  <c r="N5"/>
  <c r="N7"/>
  <c r="AB12" i="22"/>
  <c r="S32"/>
  <c r="AA32"/>
  <c r="AC43" i="21"/>
  <c r="AC29" i="22"/>
  <c r="AC30"/>
  <c r="S29"/>
  <c r="AC32"/>
  <c r="AA14" i="2"/>
  <c r="AC45" i="21"/>
  <c r="W32" i="2"/>
  <c r="AA32"/>
  <c r="W15" i="22"/>
  <c r="W33"/>
  <c r="AA33"/>
  <c r="T9" i="15"/>
  <c r="T10"/>
  <c r="N10"/>
  <c r="V32" i="22"/>
  <c r="Z32"/>
  <c r="Z25"/>
  <c r="AA29"/>
  <c r="AA30"/>
  <c r="S30"/>
  <c r="AB14"/>
  <c r="AB15"/>
  <c r="T15"/>
  <c r="T32"/>
  <c r="AB32"/>
  <c r="AB63" i="21"/>
  <c r="AC63"/>
  <c r="AA17" i="2"/>
  <c r="AA15" i="22"/>
  <c r="AB61" i="21"/>
</calcChain>
</file>

<file path=xl/sharedStrings.xml><?xml version="1.0" encoding="utf-8"?>
<sst xmlns="http://schemas.openxmlformats.org/spreadsheetml/2006/main" count="1574" uniqueCount="919">
  <si>
    <t>Bokút-Terv Mérnöki és Vállalkozó Kft. terve a meglévő utcák egyirányúsításának tanulmányterve (FV Zrt. koncepció keretében)</t>
  </si>
  <si>
    <t>Kukásautó korszerűsítése, felújítása (FV Zrt. koncepció keretében)</t>
  </si>
  <si>
    <t>Fővárosi Vízművek Zrt. 1% támogatás</t>
  </si>
  <si>
    <t>EU támogatás Új bölcsőde a kisgyermekes családokért (KMOP-4.5.2-11-2012-0006)</t>
  </si>
  <si>
    <t>Mellékletek tartalomjegyzéke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</si>
  <si>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</si>
  <si>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</si>
  <si>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</si>
  <si>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</si>
  <si>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</si>
  <si>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</si>
  <si>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</si>
  <si>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</si>
  <si>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</si>
  <si>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</si>
  <si>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</si>
  <si>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</si>
  <si>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</si>
  <si>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</si>
  <si>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</si>
  <si>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</si>
  <si>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</si>
  <si>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</si>
  <si>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</si>
  <si>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</si>
  <si>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3.sz. melléklet</t>
  </si>
  <si>
    <t>4.sz. melléklet</t>
  </si>
  <si>
    <t>6.sz. melléklet</t>
  </si>
  <si>
    <t>15.sz. melléklet</t>
  </si>
  <si>
    <t>16.sz. melléklet</t>
  </si>
  <si>
    <t>17.sz. melléklet</t>
  </si>
  <si>
    <t>19.sz. melléklet</t>
  </si>
  <si>
    <t>20.sz. melléklet</t>
  </si>
  <si>
    <t>21.sz. melléklet</t>
  </si>
  <si>
    <t>Iparűzési adó állandó (10 db)</t>
  </si>
  <si>
    <t>Konyha (5 fő)</t>
  </si>
  <si>
    <t>Faluház (5 fő)</t>
  </si>
  <si>
    <t>BERUHÁZÁSOK ÖSSZESEN</t>
  </si>
  <si>
    <t>Nyitnikék Óvoda Eredeti előirányzat</t>
  </si>
  <si>
    <t>Nyitnikék Óvoda Módosított előirányzat</t>
  </si>
  <si>
    <t>Nyitnikék Óvoda Teljesítés</t>
  </si>
  <si>
    <t>Szigetmonostor Faluház Eredeti előirányzat</t>
  </si>
  <si>
    <t>Szigetmonostor Faluház Módosított előirányzat</t>
  </si>
  <si>
    <t>Szigetmonostor Faluház Teljesítés</t>
  </si>
  <si>
    <t>Önkormányzati Hivatal Eredeti előirányzat</t>
  </si>
  <si>
    <t>Önkormányzati Hivatal       Eredeti előirányzat</t>
  </si>
  <si>
    <t>Önkormányzati Hivatal Módosított előirányzat</t>
  </si>
  <si>
    <t>Önkormányzati Hivatal Teljesítés</t>
  </si>
  <si>
    <t>Önkormányzat Eredeti előirányzat</t>
  </si>
  <si>
    <t>Önkormányzat Módosított előirányzat</t>
  </si>
  <si>
    <t>Önkormányzat Teljesítés</t>
  </si>
  <si>
    <t xml:space="preserve">ÖNKORMÁNYZAT ÖSSZESEN              Eredeti előirányzat </t>
  </si>
  <si>
    <t>ÖNKORMÁNYZAT ÖSSZESEN   Módosított előirányzat</t>
  </si>
  <si>
    <t>ÖNKORMÁNYZAT ÖSSZESEN   Teljesítés</t>
  </si>
  <si>
    <t>Konszolidációs különbözet Eredeti előirányzat</t>
  </si>
  <si>
    <t>Konszolidációs különbözet Módosított előirányzat</t>
  </si>
  <si>
    <t>Konszolidációs különbözet Teljesítés</t>
  </si>
  <si>
    <t>MINDÖSSZESEN Eredeti előirányzat</t>
  </si>
  <si>
    <t>MINDÖSSZESEN Módosított előirányzat</t>
  </si>
  <si>
    <t>MINDÖSSZESEN Teljesítés</t>
  </si>
  <si>
    <t>közhatalmi bevételek  Eredeti előirányzat</t>
  </si>
  <si>
    <t>közhatalmi bevételek Módosított előirányzat</t>
  </si>
  <si>
    <t>közhatalmi bevételek Teljesítés</t>
  </si>
  <si>
    <t>közhatalmi bevételek  Módosított előirányzat</t>
  </si>
  <si>
    <t>intézményi működési bevételek Eredeti előirányzat</t>
  </si>
  <si>
    <t>intézményi működési bevételek Módosított előirányzat</t>
  </si>
  <si>
    <t>intézményi működési bevételek Teljesítés</t>
  </si>
  <si>
    <t>működési célú támogatás államháztartáson belülről Eredeti előirányzat</t>
  </si>
  <si>
    <t>működési célú támogatás államháztartáson belülről Módosított előirányzat</t>
  </si>
  <si>
    <t>működési célú támogatás államháztartáson belülről Teljesítés</t>
  </si>
  <si>
    <t xml:space="preserve"> központi költségvetésből származó egyéb költségvetési támogatások Eredeti előirányzat</t>
  </si>
  <si>
    <t xml:space="preserve"> központi költségvetésből származó egyéb költségvetési támogatások Teljesítés</t>
  </si>
  <si>
    <t>kapott kamatok működési célú Eredeti előirányzat</t>
  </si>
  <si>
    <t>kapott kamatok működési célú Módosított előirányzat</t>
  </si>
  <si>
    <t>kapott kamatok működési célú Teljesítés</t>
  </si>
  <si>
    <t>Irányító szervtől kapott működési célú támogatás Eredeti előirányzat</t>
  </si>
  <si>
    <t>Irányító szervtől kapott működési célú támogatás Módosított előirányzat</t>
  </si>
  <si>
    <t>Irányító szervtől kapott működési célú támogatás Teljesítés</t>
  </si>
  <si>
    <t xml:space="preserve"> előző évi pénzmaradvány igénybevétele működési célra (finanszírozási c. bev.) Eredeti előirányzat </t>
  </si>
  <si>
    <t xml:space="preserve"> előző évi pénzmaradvány igénybevétele működési célra (finanszírozási c. bev.) Módosított előirányzat</t>
  </si>
  <si>
    <t xml:space="preserve"> előző évi pénzmaradvány igénybevétele működési célra (finanszírozási c. bev.) Teljesítés</t>
  </si>
  <si>
    <t xml:space="preserve"> felhalmozási célú támogatás államháztartáson belülről Eredeti előirányzat</t>
  </si>
  <si>
    <t xml:space="preserve"> felhalmozási célú támogatás államháztartáson belülről Módosított előirányzat</t>
  </si>
  <si>
    <t>az európai uniós forrásból finanszírozott támogatással megvalósuló programok, projektek bevételei Eredeti előirányzat</t>
  </si>
  <si>
    <t xml:space="preserve"> felhalmozási célú támogatás államháztartáson belülről Teljesítés</t>
  </si>
  <si>
    <t>az európai uniós forrásból finanszírozott támogatással megvalósuló programok, projektek bevételei Módosított előirányzat</t>
  </si>
  <si>
    <t>az európai uniós forrásból finanszírozott támogatással megvalósuló programok, projektek bevételei Teljesítés</t>
  </si>
  <si>
    <t>Irányító szervtől kapott felhalmozási célú támogatás Eredeti előirányzat</t>
  </si>
  <si>
    <t>Irányító szervtől kapott felhalmozási célú támogatás Módosított előirányzat</t>
  </si>
  <si>
    <t>Irányító szervtől kapott felhalmozási célú támogatás Teljesítés</t>
  </si>
  <si>
    <t>előző évi pénzmaradvány igénybevétele felhalmozási célra (finanszírozási c. bev.) Eredeti előirányzat</t>
  </si>
  <si>
    <t>előző évi pénzmaradvány igénybevétele felhalmozási célra (finanszírozási c. bev.) Módosított előirányzat</t>
  </si>
  <si>
    <t>előző évi pénzmaradvány igénybevétele felhalmozási célra (finanszírozási c. bev.) Teljesítés</t>
  </si>
  <si>
    <t>Összes bevétel Eredeti előirányzat</t>
  </si>
  <si>
    <t>Összes bevétel Módosított előirányzat</t>
  </si>
  <si>
    <t>Összes bevétel Teljesítés</t>
  </si>
  <si>
    <t>Felhalmozási kiadások                       Eredeti előirányzatok</t>
  </si>
  <si>
    <t>Felhalmozási kiadások                           Módosított előirányzatok</t>
  </si>
  <si>
    <t>Felhalmozási kiadások                  Teljesítés</t>
  </si>
  <si>
    <t>Személyi juttatások (51+52)             Eredeti előirányzat</t>
  </si>
  <si>
    <t>Személyi juttatások (51+52)  Módosított előirányzat</t>
  </si>
  <si>
    <t>Személyi juttatások (51+52)    Teljesítés</t>
  </si>
  <si>
    <t>Enge-             délyezett létszám Eredeti előirányzat</t>
  </si>
  <si>
    <t>Enge-             délyezett létszám  Módosított előirányzat</t>
  </si>
  <si>
    <t>Enge-             délyezett létszám Teljesítés</t>
  </si>
  <si>
    <t>Munka- adókat terhelő járulékok Eredeti előirányzat</t>
  </si>
  <si>
    <t>Munka- adókat terhelő járulékok Módosított előirányzat</t>
  </si>
  <si>
    <t>Munka- adókat terhelő járulékok Teljesítés</t>
  </si>
  <si>
    <t>Dologi kiadások Eredeti előirányzat</t>
  </si>
  <si>
    <t>Dologi kiadások Módosított előirányzat</t>
  </si>
  <si>
    <t>Dologi kiadások Teljesítés</t>
  </si>
  <si>
    <t>Ellátottak pénzbeli juttatása                       (5/A.sz.m.) Eredeti előirányzat</t>
  </si>
  <si>
    <t>Ellátottak pénzbeli juttatása                       (5/A.sz.m.) Módosított előirányzat</t>
  </si>
  <si>
    <t>Ellátottak pénzbeli juttatása                       (5/A.sz.m.) Teljesítés</t>
  </si>
  <si>
    <t>Egyéb működési célú támogatások                 (5/B.sz.m.) Eredeti előirányzat</t>
  </si>
  <si>
    <t>Egyéb működési célú támogatások                 (5/B.sz.m.) Módosított előirányzat</t>
  </si>
  <si>
    <t>Egyéb működési célú támogatások                 (5/B.sz.m.) teljesítés</t>
  </si>
  <si>
    <t>Irányított szervnek folyósított támogatás Eredeti előirányzat</t>
  </si>
  <si>
    <t>Irányított szervnek folyósított támogatás Módosított előirányzat</t>
  </si>
  <si>
    <t>Irányított szervnek folyósított támogatás Teljesítés</t>
  </si>
  <si>
    <t>Tartalék Eredeti előirányzat</t>
  </si>
  <si>
    <t>Tartalék Módosított előirányzat</t>
  </si>
  <si>
    <t>Tartalék Teljesítés</t>
  </si>
  <si>
    <t>Összes kiadás Eredeti előirányzat</t>
  </si>
  <si>
    <t>Összes kiadás Módosított előirányzat</t>
  </si>
  <si>
    <t>Összes kiadás Teljesítés</t>
  </si>
  <si>
    <t>KÖTELEZŐ FELADAT Eredeti előirányzat</t>
  </si>
  <si>
    <t>KÖTELEZŐ FELADAT Módosított előirányzat</t>
  </si>
  <si>
    <t>KÖTELEZŐ FELADAT Teljesítés</t>
  </si>
  <si>
    <t>ÁLLAMI FELADAT Eredeti előirányzat</t>
  </si>
  <si>
    <t>ÁLLAMI FELADAT Módosított előirányzat</t>
  </si>
  <si>
    <t>ÁLLAMI FELADAT Teljesítés</t>
  </si>
  <si>
    <t>ÖNKÉNT VÁLLALT FELADAT Eredeti előirányzat</t>
  </si>
  <si>
    <t>ÖNKÉNT VÁLLALT FELADAT Módosított előirányzat</t>
  </si>
  <si>
    <t>NOTEBOOK SAMSUNG HÁTTÉR K-164</t>
  </si>
  <si>
    <t>ÖNKÉNT VÁLLALT FELADAT Teljesítés</t>
  </si>
  <si>
    <t>ÖNKORMÁNYZAT ÖSSZESEN Eredeti előirányzat</t>
  </si>
  <si>
    <t>ÖNKORMÁNYZAT ÖSSZESEN Módosított előirányzat</t>
  </si>
  <si>
    <t>ÖNKORMÁNYZAT ÖSSZESEN Teljesítés</t>
  </si>
  <si>
    <t>Nyitnikék Óvoda       Eredeti előirányzat</t>
  </si>
  <si>
    <t>Nyitnikék Óvoda      Módosított előirányzat</t>
  </si>
  <si>
    <t>2013. ÉV Eredeti előirányzat</t>
  </si>
  <si>
    <t>2013. ÉV Módosított előirányzat</t>
  </si>
  <si>
    <t>2013. ÉV Teljesítés</t>
  </si>
  <si>
    <t>Összesen eredeti előirányzat</t>
  </si>
  <si>
    <t>Összesen Módosított előirányzat</t>
  </si>
  <si>
    <t>Összesen Teljesítés</t>
  </si>
  <si>
    <t>Átlagos statisztikai létszám 2013</t>
  </si>
  <si>
    <t>Munkajogi létszám 2013</t>
  </si>
  <si>
    <t>Önkormányzati Hivatal      Eredeti előirányzat</t>
  </si>
  <si>
    <t>Bevétel kedvezmény nélkül EI</t>
  </si>
  <si>
    <t>Bevétel kedvezmény nélkül teljesítés</t>
  </si>
  <si>
    <t>Szigetmonostor Önkormányzat Módosított előirányzat</t>
  </si>
  <si>
    <t xml:space="preserve">Szigetmonostor Önkormányzat Eredeti előirányzat </t>
  </si>
  <si>
    <t>Szigetmonostor Önkormányzat teljesítés</t>
  </si>
  <si>
    <t>2013.eredeti előirányzat</t>
  </si>
  <si>
    <t>2013.módosított előirányzat</t>
  </si>
  <si>
    <t>2013.teljesítés</t>
  </si>
  <si>
    <t>Ezer forintban</t>
  </si>
  <si>
    <t>Sorszám</t>
  </si>
  <si>
    <t>Előző évi költségvetési beszámoló záró adatai</t>
  </si>
  <si>
    <t>Auditálási</t>
  </si>
  <si>
    <t>Előző évi auditált egyszerűsített beszámoló záró adatai</t>
  </si>
  <si>
    <t>Tárgyévi költségvetési beszámoló</t>
  </si>
  <si>
    <t>Tárgyévi auditált egyszerűsített beszámoló záró adatai</t>
  </si>
  <si>
    <t>eltérések</t>
  </si>
  <si>
    <t>1.</t>
  </si>
  <si>
    <t>Záró pénzkészlet</t>
  </si>
  <si>
    <t>2.</t>
  </si>
  <si>
    <t>Forgatási célú pénzügyi műveletek egyenlege</t>
  </si>
  <si>
    <t>3.</t>
  </si>
  <si>
    <t>4.</t>
  </si>
  <si>
    <t>Előző év(ek)ben képzett tartalékok maradványa (–)</t>
  </si>
  <si>
    <t>5.</t>
  </si>
  <si>
    <t>Vállalkozási tevékenység pénzforgalmi vállalkozási maradványa (–)</t>
  </si>
  <si>
    <t>6.</t>
  </si>
  <si>
    <t>7.</t>
  </si>
  <si>
    <t>Finanszírozásból származó korrekciók (+)</t>
  </si>
  <si>
    <t>8.</t>
  </si>
  <si>
    <t>9.</t>
  </si>
  <si>
    <t>10.</t>
  </si>
  <si>
    <t>Vállalkozási maradványból az alaptevékenység ellátására</t>
  </si>
  <si>
    <t>felhasznált összeg</t>
  </si>
  <si>
    <t>11.</t>
  </si>
  <si>
    <t>Költségvetési pénzmaradványt külön jogszabály alapján</t>
  </si>
  <si>
    <t>12.</t>
  </si>
  <si>
    <t>13.</t>
  </si>
  <si>
    <t>A 12. sorból az</t>
  </si>
  <si>
    <t>– egészségbiztosítási alapból folyósított pénzmaradvány</t>
  </si>
  <si>
    <t>14.</t>
  </si>
  <si>
    <t>– Kötelezettségvállalással terhelt pénzmaradvány</t>
  </si>
  <si>
    <t>15.</t>
  </si>
  <si>
    <t>– Szabad pénzmaradvány</t>
  </si>
  <si>
    <r>
      <t>(</t>
    </r>
    <r>
      <rPr>
        <sz val="9"/>
        <rFont val="Symbol"/>
        <family val="1"/>
        <charset val="2"/>
      </rPr>
      <t>±</t>
    </r>
    <r>
      <rPr>
        <sz val="9"/>
        <rFont val="Times New Roman"/>
        <family val="1"/>
        <charset val="238"/>
      </rPr>
      <t>)</t>
    </r>
  </si>
  <si>
    <r>
      <t>Egyéb aktív és passzív pénzügyi elszámolások összevont záróegyenlege (</t>
    </r>
    <r>
      <rPr>
        <sz val="12"/>
        <rFont val="Symbol"/>
        <family val="1"/>
        <charset val="2"/>
      </rPr>
      <t>±</t>
    </r>
    <r>
      <rPr>
        <sz val="12"/>
        <rFont val="Times New Roman"/>
        <family val="1"/>
        <charset val="238"/>
      </rPr>
      <t>)</t>
    </r>
  </si>
  <si>
    <r>
      <t>Tárgyévi helyesbített pénzmaradvány (1+2</t>
    </r>
    <r>
      <rPr>
        <sz val="12"/>
        <rFont val="Symbol"/>
        <family val="1"/>
        <charset val="2"/>
      </rPr>
      <t>±</t>
    </r>
    <r>
      <rPr>
        <sz val="12"/>
        <rFont val="Times New Roman"/>
        <family val="1"/>
        <charset val="238"/>
      </rPr>
      <t>3–4–5)</t>
    </r>
  </si>
  <si>
    <r>
      <t>Pénzmaradványt terhelő elvonások (</t>
    </r>
    <r>
      <rPr>
        <sz val="12"/>
        <rFont val="Symbol"/>
        <family val="1"/>
        <charset val="2"/>
      </rPr>
      <t>±</t>
    </r>
    <r>
      <rPr>
        <sz val="12"/>
        <rFont val="Times New Roman"/>
        <family val="1"/>
        <charset val="238"/>
      </rPr>
      <t>)</t>
    </r>
  </si>
  <si>
    <r>
      <t>Költségvetési pénzmaradvány (6</t>
    </r>
    <r>
      <rPr>
        <sz val="12"/>
        <rFont val="Symbol"/>
        <family val="1"/>
        <charset val="2"/>
      </rPr>
      <t>±</t>
    </r>
    <r>
      <rPr>
        <sz val="12"/>
        <rFont val="Times New Roman"/>
        <family val="1"/>
        <charset val="238"/>
      </rPr>
      <t>7</t>
    </r>
    <r>
      <rPr>
        <sz val="12"/>
        <rFont val="Symbol"/>
        <family val="1"/>
        <charset val="2"/>
      </rPr>
      <t>±</t>
    </r>
    <r>
      <rPr>
        <sz val="12"/>
        <rFont val="Times New Roman"/>
        <family val="1"/>
        <charset val="238"/>
      </rPr>
      <t>8)</t>
    </r>
  </si>
  <si>
    <r>
      <t>módosító tétel (</t>
    </r>
    <r>
      <rPr>
        <sz val="12"/>
        <rFont val="Symbol"/>
        <family val="1"/>
        <charset val="2"/>
      </rPr>
      <t>±</t>
    </r>
    <r>
      <rPr>
        <sz val="12"/>
        <rFont val="Times New Roman"/>
        <family val="1"/>
        <charset val="238"/>
      </rPr>
      <t>)</t>
    </r>
  </si>
  <si>
    <t>Fejlesztések</t>
  </si>
  <si>
    <t>Adott kedvezmény teljesítése</t>
  </si>
  <si>
    <t>Étkezési díjakra adott kedvezmény (átlagosan 45 fő)</t>
  </si>
  <si>
    <t xml:space="preserve">Adott kedvezmény </t>
  </si>
  <si>
    <t>A Képviselő-testület 2013. évben egyéb közvetett támogatásokat nem adott.</t>
  </si>
  <si>
    <t>Közutak karbantartása</t>
  </si>
  <si>
    <t>Kezességvállalás lehívása nem történt a 2013.évben.</t>
  </si>
  <si>
    <t>22 .sz. melléklet</t>
  </si>
  <si>
    <t>23.sz. melléklet</t>
  </si>
  <si>
    <t>26.sz. melléklet</t>
  </si>
  <si>
    <t>27.sz. melléklet</t>
  </si>
  <si>
    <t xml:space="preserve">kompok révek </t>
  </si>
  <si>
    <t>28.sz. melléklet</t>
  </si>
  <si>
    <t>Fővárosi Vízművek Zrt.</t>
  </si>
  <si>
    <t>18.sz. melléklet</t>
  </si>
  <si>
    <t>Adósságot keletkeztető ügyletek bemutatása (eFt)</t>
  </si>
  <si>
    <t xml:space="preserve">11.sz. melléklet </t>
  </si>
  <si>
    <t>Tartalékok bemutatása (eFt)</t>
  </si>
  <si>
    <t>A 2013.évi működési és felhalmozási célú kiadási előirányzatok és teljesítéseik mérlegszerű bemutatása (eFt)</t>
  </si>
  <si>
    <t>A 2013.évi működési és felhalmozási célú bevételi előirányzatok és teljesítéseik mérlegszerű bemutatása (eFt)</t>
  </si>
  <si>
    <t>A 2013.évi működési és felhalmozási célú bevételi és kiadási előirányzatok és teljesítéseik mérlegszerű bemutatása intézményenként és feladatonként (eFt)</t>
  </si>
  <si>
    <t>A 2013.évi működési és felhalmozási célú bevételi és kiadási előirányzatok és teljesítéseik mérlegszerű bemutatása intézményenként és feladattípusonként (eFt)</t>
  </si>
  <si>
    <t>A 2013.évi támogatásértékű kiadási előirányzatok és teljesítéseik bemutatása intézményenként (eFt)</t>
  </si>
  <si>
    <t>A 2013.évi pénzeszközátadási előirányzatok és teljesítéseik bemutatása intézményenként (eFt)</t>
  </si>
  <si>
    <t>A 2013.évi szociális ellátások előirányzatai és teljesítéseik intézményenként (eFt)</t>
  </si>
  <si>
    <t>A 2013.évi beruházások és felújítások előirányzatai és teljesítéseik intézményenként (eFt)</t>
  </si>
  <si>
    <t>Magánszemélyek kommunális adója (4 fő)</t>
  </si>
  <si>
    <t>Építményadó (5 db)</t>
  </si>
  <si>
    <t>Telekadó (17 db)</t>
  </si>
  <si>
    <t>Gépjárműadó  (1 db)</t>
  </si>
  <si>
    <t>Talajterhelési díj (2 db)</t>
  </si>
  <si>
    <t>Késedelmi pótlék (17 db)</t>
  </si>
  <si>
    <t>Európai Uniós forrásból finanszírozott támogatással megvalósuló programok, projektek bevételeinek és kiadásainak alakulása (eFt)</t>
  </si>
  <si>
    <t>Irányító szerv alá tartozó költségvetési szervnek folyósított működési és felhalmozási célú támogatások előirányzatai (eFt)</t>
  </si>
  <si>
    <t>Támogatásértékű átvett pénzeszközök bevételi előirányzatai intézményenként (eFt)</t>
  </si>
  <si>
    <t>Működési és felhalmozási célú átvett pénzeszközök bevételi előirányzatai intézményenként (eFt)</t>
  </si>
  <si>
    <t>Az Önkormányzat által beszedett adó és adójellegű bevételek  alakulása (eFt)</t>
  </si>
  <si>
    <t>Felhalmozási célú bevételek előirányzatai intézményenként (eFt)</t>
  </si>
  <si>
    <t>Engedélyezett létszámkeretek intézményenként (eFt)</t>
  </si>
  <si>
    <t>Állami támogatások (eFt)</t>
  </si>
  <si>
    <t>Önkormányzat és a hozzá kapcsolódó szervek /önállóan kezelt szakfeladatok</t>
  </si>
  <si>
    <t xml:space="preserve"> 2013. évi helyi adóbevétel és annak felhasználásának listája.</t>
  </si>
  <si>
    <t>Adók felhasználása (eFt)</t>
  </si>
  <si>
    <t>Többéves kihatással járó feladatok előirányzatainak és teljesítésének adatai éves bontásban</t>
  </si>
  <si>
    <t>Többéves kihatással járó feladatok előirányzatainak és teljesítésének bemutatása (eFt)</t>
  </si>
  <si>
    <t>Vagyonmérleg (eFt)</t>
  </si>
  <si>
    <t>25.sz. melléklet</t>
  </si>
  <si>
    <t>Pénzmaradvány felhasználása (eFt)</t>
  </si>
  <si>
    <t>Pénzmaradvány kimutatás (e Ft)</t>
  </si>
  <si>
    <t>30.sz. melléklet</t>
  </si>
  <si>
    <t>Támogatások részletes bemutatása (Ft)</t>
  </si>
  <si>
    <t>Segélyek részletes bemutatása</t>
  </si>
  <si>
    <t>24</t>
  </si>
  <si>
    <t>25</t>
  </si>
  <si>
    <t>26</t>
  </si>
  <si>
    <t>27</t>
  </si>
  <si>
    <t>28</t>
  </si>
  <si>
    <t>29</t>
  </si>
  <si>
    <t>30</t>
  </si>
  <si>
    <t>Egyszerűsített mérleg bemuttaása (eFt)</t>
  </si>
  <si>
    <t>Pénzmaradvány bemutatása  (eFt)</t>
  </si>
  <si>
    <t>Gazdálkodó szervezetekben való részesedések bemutatása (eFt)</t>
  </si>
  <si>
    <t>29.sz. melléklet</t>
  </si>
  <si>
    <r>
      <t>Módosított pénzmaradvány (9</t>
    </r>
    <r>
      <rPr>
        <sz val="12"/>
        <rFont val="Symbol"/>
        <family val="1"/>
        <charset val="2"/>
      </rPr>
      <t>±</t>
    </r>
    <r>
      <rPr>
        <sz val="12"/>
        <rFont val="Times New Roman"/>
        <family val="1"/>
        <charset val="238"/>
      </rPr>
      <t>10</t>
    </r>
    <r>
      <rPr>
        <sz val="12"/>
        <rFont val="Symbol"/>
        <family val="1"/>
        <charset val="2"/>
      </rPr>
      <t>±</t>
    </r>
    <r>
      <rPr>
        <sz val="12"/>
        <rFont val="Times New Roman"/>
        <family val="1"/>
        <charset val="238"/>
      </rPr>
      <t>11)</t>
    </r>
  </si>
  <si>
    <t>Az adóbevétel felhasználásának</t>
  </si>
  <si>
    <t>Jogcíme, területe</t>
  </si>
  <si>
    <t>Indoka</t>
  </si>
  <si>
    <t>Összege</t>
  </si>
  <si>
    <t>Kötelezően ellátandó feladat</t>
  </si>
  <si>
    <t>Étkeztetés</t>
  </si>
  <si>
    <t>Óvodai nevelés</t>
  </si>
  <si>
    <t>Szigetmonostor Község</t>
  </si>
  <si>
    <t>Eszközök összesen</t>
  </si>
  <si>
    <t>Források összesen</t>
  </si>
  <si>
    <t>A települési önkormányzatok működésének támogatása</t>
  </si>
  <si>
    <t>Óvodapedagógusok, és az óvodapedagógusok nevelő munkáját közvetlenül segítők bértámogatása</t>
  </si>
  <si>
    <t>Óvodaműködtetési támogatás</t>
  </si>
  <si>
    <t>Ingyenes és kedvezményes gyermekétkeztetés támogatása</t>
  </si>
  <si>
    <t>Társulás által fenntartott óvodákba bejáró gyermekek utaztatásának támogatása</t>
  </si>
  <si>
    <t>Egyes jövedelempótló támogatások kiegészítése</t>
  </si>
  <si>
    <t>Hozzájárulás a pénzbeli szociális ellátásokhoz</t>
  </si>
  <si>
    <t>Egyes szociális és gyermekjóléti feladatok támogatása</t>
  </si>
  <si>
    <t>A települési önkormányzatok által az idősek átmeneti és tartós, valamint a hajléktalan személyek részére nyújtott tartós szociális szakosított ellátási feladatok támogatása</t>
  </si>
  <si>
    <t>Könyvtári, közművelődési és múzeumi feladatok támogatása</t>
  </si>
  <si>
    <t>A települési önkormányzatok által fenntartott, illetve támogatott előadó-művészeti szervezetek támogatása</t>
  </si>
  <si>
    <t>Központosított működési célú előirányzatok</t>
  </si>
  <si>
    <t>Működőképesség megőrzését szolgáló kiegészítő támogatás</t>
  </si>
  <si>
    <t>Szerkezetátalakítási tartalék</t>
  </si>
  <si>
    <t>Megyei önkormányzati tartalékból kapott támogatás</t>
  </si>
  <si>
    <t>A tartósan fizetésképtelen helyzetbe került helyi önkormányzatok adósságrendezésére irányuló hitelfelvétel visszterhes kamattámogatása, a pénzügyi gondnok díja</t>
  </si>
  <si>
    <t>Egyéb működési célú központi támogatás</t>
  </si>
  <si>
    <t xml:space="preserve">Önkormányzat működési célú költségvetési támogatása                  </t>
  </si>
  <si>
    <t>Előző évi költségvetési kiegészítések, visszatérülések</t>
  </si>
  <si>
    <t>Központosított felhalmozási célú előirányzatok</t>
  </si>
  <si>
    <t>Címzett támogatás</t>
  </si>
  <si>
    <t>Céltámogatás</t>
  </si>
  <si>
    <t>Vis maior támogatás</t>
  </si>
  <si>
    <t>Egyéb felhalmozási célú központi támogatás</t>
  </si>
  <si>
    <t xml:space="preserve">Önkormányzat felhalmozási célú költségvetési támogatása                  </t>
  </si>
  <si>
    <t>Céltartalékok</t>
  </si>
  <si>
    <t>felhalmozási célú</t>
  </si>
  <si>
    <t>működési célú</t>
  </si>
  <si>
    <t>Céltartalék összesen:</t>
  </si>
  <si>
    <t>Általános tartalékok</t>
  </si>
  <si>
    <t>Általános tartalék összesen: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</si>
  <si>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50%-át.</t>
  </si>
  <si>
    <t>2013.</t>
  </si>
  <si>
    <t>2014.</t>
  </si>
  <si>
    <t>2015.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</si>
  <si>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</si>
  <si>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</si>
  <si>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</si>
  <si>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Külföldi kötelezettségek:</t>
  </si>
  <si>
    <t>Pénzkészlet tárgyidőszak elején</t>
  </si>
  <si>
    <t>- Forintban vezetett költségvetési pénzforgalmi számlák egyenlege (Előirányzat-felhasználási keretszámlák egyenlege)</t>
  </si>
  <si>
    <t>- Devizabetét számlák egyenlege</t>
  </si>
  <si>
    <t>- Forintpénztárak és betétkönyvek egyenlege</t>
  </si>
  <si>
    <t>- Valutapénztárak egyenlege</t>
  </si>
  <si>
    <t>Pénzkészlet összesen</t>
  </si>
  <si>
    <t>Bevételek                                           (+)</t>
  </si>
  <si>
    <t>Kiadások                                            (-)</t>
  </si>
  <si>
    <t>Pénzkészlet tárgyidőszak végén</t>
  </si>
  <si>
    <t xml:space="preserve">Pénzkészlet összesen </t>
  </si>
  <si>
    <t>2012. év</t>
  </si>
  <si>
    <t>2013. év</t>
  </si>
  <si>
    <t>1. Alapítás-átszervezés aktivált értéke (111-ből,112-ből)</t>
  </si>
  <si>
    <t>2. Kísérleti fejlesztés aktivált értéke (111-ből,112-ből)</t>
  </si>
  <si>
    <t>3. Vagyoni értékű jogok (111-ből,112-ből)</t>
  </si>
  <si>
    <t>4. Szellemi termékek (111-ből,112-ből)</t>
  </si>
  <si>
    <t>5. Immateriális javakra adott előlegek (1181.,1182.)</t>
  </si>
  <si>
    <t>6. Immateriális javak értékhelyesbítése (119.)</t>
  </si>
  <si>
    <t xml:space="preserve">I. Immateriális javak összesen </t>
  </si>
  <si>
    <t>1. Ingatlanok és a kapcsolódó vagyoni értékű jogok (121.,122-ből)</t>
  </si>
  <si>
    <t>2. Gépek, berendezések és felszerelések (1311.,1312-ből)</t>
  </si>
  <si>
    <t>3. Járművek (1321.,1322-ből)</t>
  </si>
  <si>
    <t>4. Tenyészállatok (141.,142-ből)</t>
  </si>
  <si>
    <t>5. Beruházások,felújítások (122-ből,127.,1312-ből,1317.,1322-ből,1327.,142-ből,147.)</t>
  </si>
  <si>
    <t>6. Beruházásra adott előlegek (128.,1318.,1328.,148.1598.,1599.)</t>
  </si>
  <si>
    <t>7. Állami készletek, tartalékok (1591.,1592.)</t>
  </si>
  <si>
    <t>8. Tárgyi eszközök értékhelyesbítése (129.,1319.,1329.,149.)</t>
  </si>
  <si>
    <t xml:space="preserve">II. Tárgyi eszközök összesen </t>
  </si>
  <si>
    <t>1. Tartós részesedés (1711., 1751.)</t>
  </si>
  <si>
    <t>Ebből - tartós társulási részesedés (1711-ből, 1751-ből)</t>
  </si>
  <si>
    <t>2. Tartós hitelviszonyt megtestesítő értékpapír (172-174.,1752.)</t>
  </si>
  <si>
    <t>3. Tartósan adott kölcsön (191-194-ből,1981-ből)</t>
  </si>
  <si>
    <t>4. Hosszú lejáratú betétek (178., 1988.)</t>
  </si>
  <si>
    <t>Ebből:  4/a Hosszú lejáratú betétek bekerülési (könyv szerinti) értéke (178)</t>
  </si>
  <si>
    <t>4/b Hosszú lejáratú betétek elszámolt értékvesztése (1988)</t>
  </si>
  <si>
    <t>5. Egyéb hosszú lejáratú követelések (195-ből, 1982-ből)</t>
  </si>
  <si>
    <t>6. Befektetett pénzügyi eszközök értékhelyesbítése (179.)</t>
  </si>
  <si>
    <t xml:space="preserve">III. Befektetett pénzügyi eszközök összesen </t>
  </si>
  <si>
    <t>1. Üzemeltetésre, kezelésre átadott eszközök (161., 162.)</t>
  </si>
  <si>
    <t>2. Koncesszióba adott eszközök (163., 164.)</t>
  </si>
  <si>
    <t>3. Vagyonkezelésbe adott eszközök (167., 168.)</t>
  </si>
  <si>
    <t>4. Vagyonkezelésbe vett eszközök (165., 166.)</t>
  </si>
  <si>
    <t>5. Üzemeltetésre, kezelésre átadott, koncesszióba, vagyonkezelésbe adott, illetve vagyonkezelésbe vett eszközök értékhelyesbítése (169.)</t>
  </si>
  <si>
    <t xml:space="preserve">IV. Üzemeltetésre, kezelésre átadott, koncesszióba, vagyonkezelésbe adott, illetve vagyonkezelésbe              vett eszközök  </t>
  </si>
  <si>
    <t xml:space="preserve">A) BEFEKTETETT ESZKÖZÖK ÖSSZESEN </t>
  </si>
  <si>
    <t>1. Anyagok (21., 241.)</t>
  </si>
  <si>
    <t>2. Befejezetlen termelés és félkész termékek (253., 263.)</t>
  </si>
  <si>
    <t>3. Növendék-, hízó és egyéb állatok (252., 262.)</t>
  </si>
  <si>
    <t>4. Késztermékek (251., 261.)</t>
  </si>
  <si>
    <t>5. Áruk, betétdíja gönyölegek, közvetített szolgáltatások (22., 231., 232., 234., 242., 243., 244., 246.)</t>
  </si>
  <si>
    <t>6. Követelés fejében átvett eszközök, készletek ( 233., 245.)</t>
  </si>
  <si>
    <t xml:space="preserve">I. Készletek összesen </t>
  </si>
  <si>
    <t>1. Követelések áruszállításból és szolgáltatásból (vevők) (282., 283., 284., 2882., 2883., 2884.)</t>
  </si>
  <si>
    <t>2. Adósok (281., 2881.)</t>
  </si>
  <si>
    <t>3. Rövid lejáratú adott kölcsönök (27., 278, 19-ből)</t>
  </si>
  <si>
    <t>Ebből: - tartósan adott kölcsönökből a mérlegfordulónapot követő egy éven belül esedékes részletek (191-194-ből, 1981-ből)</t>
  </si>
  <si>
    <t>4. Egyéb követelések (285-287., 2885., 2886., 2889., 19-ből)</t>
  </si>
  <si>
    <t>Ebből: - támogatási program előlegek (2871.)</t>
  </si>
  <si>
    <t>- előfinanszírozás miatti követelések (2876.)</t>
  </si>
  <si>
    <t>- támogatási programok szabálytalan kifizetése miatti követelések (2872.)</t>
  </si>
  <si>
    <t>- nemzetközi támogatási programok miatti követelések (2874.)</t>
  </si>
  <si>
    <t>- garancia- és kezességvállalásból származó követelések (2873.)</t>
  </si>
  <si>
    <t>- egyéb hosszú lejáratú követelésekből a mérlegfordulónapot követő egy éven belül esedékes részletek (195-ből, 1982-ből)</t>
  </si>
  <si>
    <t xml:space="preserve">II. Követelések összesen </t>
  </si>
  <si>
    <t>1. Forgatási célú részesedés (295-ből, 298-ból)</t>
  </si>
  <si>
    <t>1/a Forgatási célú részesedés bekerülési (könyv szerinti) értéke (295-ből)</t>
  </si>
  <si>
    <t>1/b Forgatási célú részesedés elszámolt értékvesztése (298-ból)</t>
  </si>
  <si>
    <t>2. Forgatási célú hitelviszonyt megtestesítő értékpapír (291-ből, 292-ből, 293-ból, 294-ből, 298-ból)</t>
  </si>
  <si>
    <t>2/a Forgatási célú hitelviszonyt megtestesítő értékpapír bekerülési (könyv szerinti) értéke (291-ből, 292-ből, 293-ból, 294-ből)</t>
  </si>
  <si>
    <t>2/b Forgatási célú hitelviszonyt megtestesítő értékpapír elszámolt értékvesztése (298-ból)</t>
  </si>
  <si>
    <t xml:space="preserve">III. Értékpapírok összesen </t>
  </si>
  <si>
    <t>1. Pénztárak, csekkek, betétkönyvek (31.)</t>
  </si>
  <si>
    <t>2. Költségvetési pénzforgalmi számlák (32.)</t>
  </si>
  <si>
    <t>Ebből:  2/a Költségvetési pénzforgalmi számlák bekerülési (könyv szerinti) értéke (32-ből)</t>
  </si>
  <si>
    <t>2/b Költségvetési pénzforgalmi számlák elszámolt értékvesztése (329.)</t>
  </si>
  <si>
    <t>3. Elszámolási számlák (33-34.)</t>
  </si>
  <si>
    <t>4. Idegen pénzeszközök számlái (35-36.)</t>
  </si>
  <si>
    <t>Ebből:  4/a Idegen pénzeszközök bekerülési (könyv szerinti) értéke (35-ből, 36-ból)</t>
  </si>
  <si>
    <t>4/b Idegen pénzeszközök elszámolt értékvesztése (3599, 369)</t>
  </si>
  <si>
    <t xml:space="preserve">IV. Pénzeszközök összesen </t>
  </si>
  <si>
    <t>1. Költségvetési aktív függő elszámolások (391.)</t>
  </si>
  <si>
    <t>2. Költségvetési aktív átfutó elszámolások (392., 395., 396., 398.)</t>
  </si>
  <si>
    <t>3. Költségvetési aktív kiegyenlítő elszámolások (394.)</t>
  </si>
  <si>
    <t>4. Költségvetésen kívüli aktív pénzügyi elszámolások (399.)</t>
  </si>
  <si>
    <t xml:space="preserve">V. Egyéb aktív pénzügyi elszámolások összesen </t>
  </si>
  <si>
    <t>B) FORGÓESZKÖZÖK ÖSSZESEN</t>
  </si>
  <si>
    <t>ESZKÖZÖK ÖSSZESEN</t>
  </si>
  <si>
    <t>1. Kezelésbe vett eszközök tartós tőkéje (4111.)</t>
  </si>
  <si>
    <t>2. Saját tulajdonban lévő eszközök tartós tőkéje (4112.)</t>
  </si>
  <si>
    <t xml:space="preserve">I. Tartós tőke </t>
  </si>
  <si>
    <t>1. Kezelésbe vett eszközök tőkeváltozása (412.)</t>
  </si>
  <si>
    <t>2. Saját tulajdonban lévő eszközök tőkeváltozása (413.)</t>
  </si>
  <si>
    <t>II. Tőkeváltozások</t>
  </si>
  <si>
    <t>1. Kezelésbe vett eszközök értékelési tartaléka (4171.)</t>
  </si>
  <si>
    <t>2. Saját tulajdonban lévő eszközök értékelési tartaléka (4172.)</t>
  </si>
  <si>
    <t xml:space="preserve">III. Értékelési tartalék </t>
  </si>
  <si>
    <t xml:space="preserve">D) SAJÁT TŐKE ÖSSZESEN </t>
  </si>
  <si>
    <t>1. Költségvetési tartalék elszámolása (4211., 4214.) (87+88)</t>
  </si>
  <si>
    <t>Ebből: - tárgyévi költségvetési tartalék elszámolása (4211.)</t>
  </si>
  <si>
    <t>- előző év(ek) költségvetési tartalék elszámolása (4214.)</t>
  </si>
  <si>
    <t>2. Költségvetési pénzmaradvány (4212.)</t>
  </si>
  <si>
    <t xml:space="preserve">I. Költségvetési tartalékok összesen </t>
  </si>
  <si>
    <t>1. Vállalkozási tartalék elszámolása (4221., 4224.) (95+96)</t>
  </si>
  <si>
    <t>Ebből: - tárgyévi vállalkozási tartalék elszámolása (4221.)</t>
  </si>
  <si>
    <t>- előző év(ek) vállalkozási tartalék elszámolása (4224.)</t>
  </si>
  <si>
    <t>2. Vállalkozási maradvány (4222., 4223.)</t>
  </si>
  <si>
    <t>3. Vállalkozási kiadási megtakarítás (427.)</t>
  </si>
  <si>
    <t>4. Vállalkozási bevételi lemaradás (428.)</t>
  </si>
  <si>
    <t xml:space="preserve">II. Vállalkozási tartalékok összesen </t>
  </si>
  <si>
    <t xml:space="preserve">E) TARTALÉKOK ÖSSZESEN </t>
  </si>
  <si>
    <t>1. Hosszú lejáratra kapott kölcsönök (43512., 43612.)</t>
  </si>
  <si>
    <t>2. Tartozások fejlesztési célú kötvénykibocsátásból (43411-ből)</t>
  </si>
  <si>
    <t>3. Tartozások működési célú kötvénykibocsátásból (43412-ből)</t>
  </si>
  <si>
    <t>4. Beruházási és fejlesztési hitelek (431112., 432112., 43312.)</t>
  </si>
  <si>
    <t>5. Működési célú hosszú lejáratú hitelek (431122., 432122.)</t>
  </si>
  <si>
    <t>6. Pénzügyi lízing miatti kötelezettségek (437-ből)</t>
  </si>
  <si>
    <t>7. Egyéb hosszú lejáratú kötelezettségek (438-ból)</t>
  </si>
  <si>
    <t>Ebből: - hosszú lejáratú szállítói tartozások (4386)</t>
  </si>
  <si>
    <t xml:space="preserve">I. Hosszú lejáratú kötelezettségek összesen </t>
  </si>
  <si>
    <t>1. Rövid lejáratú kapott kölcsönök (43511., 43611., 4531., 4541.)</t>
  </si>
  <si>
    <t>Ebből:  - hosszú lejáratra kapott kölcsönök következő évet terhelő törlesztő részletei (43511., 43611.)</t>
  </si>
  <si>
    <t>2. Rövid lejáratú hitelek (4311-ből, 4321-ből, 4331-ből, 4511., 4521., 4551.,4561.)</t>
  </si>
  <si>
    <t>Ebből: - likvid hitelek (455-ből, 456-ból)</t>
  </si>
  <si>
    <t>- beruházási, fejlesztési hitelek következő évet terhelő törlesztő részletei (431111., 432111., 43311.)</t>
  </si>
  <si>
    <t>- működési célú hosszú lejáratú hitelek következő évet terhelő törlesztő részletei (431121., 432121.)</t>
  </si>
  <si>
    <t>3. Rövid lejáratú tartozások kötvénykibocsátásból  (4341-ből, 457-ből) (118+119+120)</t>
  </si>
  <si>
    <t>Ebből: - rövid lejáratú működési célú kötványkibocsátások (457-ből)</t>
  </si>
  <si>
    <t>- felhalmozási célú kötvénykibocsátásból származó tartozások következő évet terhelő törlesztő részletei (43411-ből)</t>
  </si>
  <si>
    <t>- működási célú kötvénykibocsátásból származó tartozások következő évet terhelő törlesztő részletei (43412-ből)</t>
  </si>
  <si>
    <t>4. Kötelezettségek áruszállításból és szolgáltatásból (szállítók) (441-443.,4386-ból) (122+123)</t>
  </si>
  <si>
    <t>Ebből: - tárgyévi költségvetést terhelő szállítói kötelezettségek</t>
  </si>
  <si>
    <t>- tárgyévet követő évet terhelő szállítói kötelezettségek</t>
  </si>
  <si>
    <t>5. Egyéb rövid lejáratú kötelezettségek (437-ből, 438-ból, 444., 445., 446., 447., 449.)</t>
  </si>
  <si>
    <t>Ebből: - váltótartozások (444.)</t>
  </si>
  <si>
    <t>- munkavállalókkal szembeni különféle kötelezettségek (445.)</t>
  </si>
  <si>
    <t>- költségvetéssel szembeni kötelezettségek (446.)</t>
  </si>
  <si>
    <t>- helyi adó túlfizetése miatti kötelezettségek (4472.)</t>
  </si>
  <si>
    <t>- támogatási program előlege miatti kötelezettségek (4491.)</t>
  </si>
  <si>
    <t>- előfinanszírozás miatti kötelezettségek (4495.)</t>
  </si>
  <si>
    <t>- szabálytalan kifizetések miatti kötelezettségek (4492.)</t>
  </si>
  <si>
    <t>- nemzetközi támogatási programok miatti kötelezettségek (4494.)</t>
  </si>
  <si>
    <t>- garancia és kezességvállalásból származó kötelezettségek (4493.)</t>
  </si>
  <si>
    <t>- egyéb hosszú lejáratú kötelezettségek következő évet terhelő törlesztő részletei (438-ból)</t>
  </si>
  <si>
    <t>- tárgyévi költségvetést terhelő egyéb rövid lejáratú kötelezettségek (4499-ből)</t>
  </si>
  <si>
    <t>- a tárgyévet követő évet terhelő egyéb rövid lejáratú kötelezettségek (4499-ből)</t>
  </si>
  <si>
    <t>- egyéb különféle kötelezettségek (4499-ből)</t>
  </si>
  <si>
    <t xml:space="preserve">II. Rövid lejáratú kötelezettségek összesen </t>
  </si>
  <si>
    <t>1. Költségvetési passzív függő elszámolások (481.)</t>
  </si>
  <si>
    <t>2. Költségvetési passzív átfutó elszámolások (482., 485., 486.)</t>
  </si>
  <si>
    <t>3. Költségvetési passzív kiegyenlítő elszámolások (483-484.)</t>
  </si>
  <si>
    <t>4. Költségvetésen kívüli passzív pénzügyi elszámolások (488)</t>
  </si>
  <si>
    <t>Ebből: - Költségvetésen kívüli letéti elszámolások (488-ból)</t>
  </si>
  <si>
    <t>- Nemzetközi támogatási programok deviza elszámolása (488-ból)</t>
  </si>
  <si>
    <t xml:space="preserve">III. Egyéb passzív pénzügyi elszámolások összesen </t>
  </si>
  <si>
    <t xml:space="preserve">F) KÖTELEZETTSÉGEK ÖSSZESEN </t>
  </si>
  <si>
    <t xml:space="preserve">FORRÁSOK ÖSSZESEN </t>
  </si>
  <si>
    <t>1. A hosszú lejáratú költségvetési betétszámlák záróegyenlegei</t>
  </si>
  <si>
    <t>Irányító szerv alá tartozó költségvetési szervnek folyósított működési és felhalmozási célú támogatások előirányzatai és teljesítéseik (eFt)</t>
  </si>
  <si>
    <t>Támogatásértékű átvett pénzeszközök bevételi előirányzatai és teljesítéseik intézményenként (eFt)</t>
  </si>
  <si>
    <t>Működési és felhalmozási célú átvett pénzeszközök bevételi előirányzatai és teljesítéseik intézményenként (eFt)</t>
  </si>
  <si>
    <t>Felhalmozási célú bevételek előirányzatai és teljesítéseik intézményenként (eFt)</t>
  </si>
  <si>
    <t>Pénzforgalmi kimutatás ( függő/átfutó forgalommal eFt)</t>
  </si>
  <si>
    <t>Közvetett támogatások teljesítése cél szerinti bontásban (eFt)</t>
  </si>
  <si>
    <t>2. A rövid lejáratú költségvetési pénzforgalmi és betétszámlák záróegyenlegei</t>
  </si>
  <si>
    <t>3. Pénztárak és betétkönyvek záróegyenlegei</t>
  </si>
  <si>
    <t>A.   Záró pénzkészlet</t>
  </si>
  <si>
    <t>4. Forgatási célú értékpapírok záró állománya</t>
  </si>
  <si>
    <t>5. Rövid lejáratú likvid hitelek és működési célú kötvénykibocsátás záró állománya (-)</t>
  </si>
  <si>
    <t xml:space="preserve">B.  Forgatási célú finanszírozási műveletek egyenlege  </t>
  </si>
  <si>
    <t>- Költségvetési aktív függő elszámolások záróegyenlege</t>
  </si>
  <si>
    <t>- Költségvetési aktív átfutó elszámolások záróegyenlege</t>
  </si>
  <si>
    <t>- Költségvetési aktív kiegyenlítő elszámolások záróegyenlege</t>
  </si>
  <si>
    <t>6. Költségvetési aktív elszámolások záróegyenlege</t>
  </si>
  <si>
    <t>- Költségvetési passzív függő elszámolások záróegyenlege  (-)</t>
  </si>
  <si>
    <t>- Költségvetési passzív átfutó elszámolások záróegyenlege  (-)</t>
  </si>
  <si>
    <t>- Költségvetési passzív kiegyenlítő elszámolások záróegyenlege (-)</t>
  </si>
  <si>
    <t>7. Költségvetési passzív elszámolások záróegyenlege  (-)</t>
  </si>
  <si>
    <t>C.  Egyéb aktív és passzív pénzügyi elszámolások összesen       (±)</t>
  </si>
  <si>
    <t>8. Előző évben (években) képzett költségvetési tartalékok maradványa  (-)</t>
  </si>
  <si>
    <t>9. Előző évben (években) képzett vállalkozási tartalékok     maradványa (-)</t>
  </si>
  <si>
    <t>D.  Előző évben (években) képzett tartalékok maradványa (-)</t>
  </si>
  <si>
    <t>E.  Vállalkozási tevékenység pénzforgalmi vállalkozási maradványa  (-)</t>
  </si>
  <si>
    <t xml:space="preserve">F.  Tárgyévi helyesbített pénzmaradvány  </t>
  </si>
  <si>
    <t>10. Intézményi költségvetési befizetés többlettámogatás miatt</t>
  </si>
  <si>
    <t>11. Költségvetési befizetés többlettámogatás miatt</t>
  </si>
  <si>
    <t>12. Költségvetési kiutalás kiutalatlan intézményi támogatás miatt</t>
  </si>
  <si>
    <t>13. Költségvetési kiutalás kiutalatlan támogatás miatt</t>
  </si>
  <si>
    <t>G.  Finanszírozásból származó korrekciók  (±)</t>
  </si>
  <si>
    <t>H.  Pénzmaradványt terhelő elvonások  (-)</t>
  </si>
  <si>
    <t>I.    Költségvetési pénzmaradvány  (F±G+H)</t>
  </si>
  <si>
    <t>14. Vállalkozási maradványból alaptevékenység ellátására felhasznált összeg</t>
  </si>
  <si>
    <t>15. A pénzmaradványt külön jogszabály alapján módosító tétel  (±)</t>
  </si>
  <si>
    <t>J.   Módosított pénzmaradvány  (I+14+15)</t>
  </si>
  <si>
    <t>A J. sorból:</t>
  </si>
  <si>
    <t>16. Egészségbiztosítási Alapból folyósított pénzeszköz maradványa</t>
  </si>
  <si>
    <t>17. Kötelezettséggel terhelt pénzmaradvány</t>
  </si>
  <si>
    <t>Ebből: - Működési célú kötelezettséggel terhelt pénzmaradvány</t>
  </si>
  <si>
    <t>- Felhalmozási célú kötelezettséggel terhelt pénzmaradvány</t>
  </si>
  <si>
    <t>18. Szabad pénzmaradvány</t>
  </si>
  <si>
    <t>Ebből: - Működési célú szabad pénzmaradvány</t>
  </si>
  <si>
    <t>- Felhalmozási célú szabad pénzmaradvány</t>
  </si>
  <si>
    <t xml:space="preserve">A pénzmaradványt külön jogszabály alapján módosító tétel </t>
  </si>
  <si>
    <t>Pénzmaradvány elvonás</t>
  </si>
  <si>
    <t>Egyéb</t>
  </si>
  <si>
    <t>Kötelezettséggel terhelt pénzmaradvány</t>
  </si>
  <si>
    <t>szállítói kötelezettségre</t>
  </si>
  <si>
    <t>kötelezettségvállalásra</t>
  </si>
  <si>
    <t>elmaradt személyi juttatásra</t>
  </si>
  <si>
    <t>stb.</t>
  </si>
  <si>
    <t>folyamatban lévő beruházásra</t>
  </si>
  <si>
    <t>EU Projektre</t>
  </si>
  <si>
    <t>Gazdálkodó szervezet megnevezése</t>
  </si>
  <si>
    <t>Részesedések aránya (%)</t>
  </si>
  <si>
    <t xml:space="preserve">Részesedések névértéke </t>
  </si>
  <si>
    <t>Részesedések könyv szerinti értéke</t>
  </si>
  <si>
    <t>Kötelezetsségek</t>
  </si>
  <si>
    <t>Nyitnikék Óvoda 2012.évi teljesítés</t>
  </si>
  <si>
    <t>Szigetmonostor Faluház 2012.évi teljesítés</t>
  </si>
  <si>
    <t>Önkormányzati Hivatal     2012.évi teljesítés</t>
  </si>
  <si>
    <t>Önkormányzat 2012.évi teljesítés</t>
  </si>
  <si>
    <t>ÖNKORMÁNYZAT ÖSSZESEN              2012.évi teljesítés</t>
  </si>
  <si>
    <t>MINDÖSSZESEN 2012.évi teljesítés</t>
  </si>
  <si>
    <t xml:space="preserve">Szigetmonostor Faluház </t>
  </si>
  <si>
    <t>Szigetmonostor Faluház 2012.évi</t>
  </si>
  <si>
    <t>Önkormányzati Hivatal       2012.évi teljesítés</t>
  </si>
  <si>
    <t>ÖNKORMÁNYZAT ÖSSZESEN             2012.évi teljesítés összesen</t>
  </si>
  <si>
    <t>Konszolidációs különbözet 2012.évi teljesítés</t>
  </si>
  <si>
    <t xml:space="preserve">9.sz. melléklet </t>
  </si>
  <si>
    <t xml:space="preserve">Nyitnikék Óvoda </t>
  </si>
  <si>
    <t xml:space="preserve">Önkormányzat </t>
  </si>
  <si>
    <t xml:space="preserve">10.sz. melléklet </t>
  </si>
  <si>
    <t>12.sz. melléklet</t>
  </si>
  <si>
    <t>13. sz. melléklet</t>
  </si>
  <si>
    <t xml:space="preserve">Támogatás árvízi célra </t>
  </si>
  <si>
    <t>14.sz. melléklet</t>
  </si>
  <si>
    <t>Felhasznált adóbevétel összesen: 168.790 eFt.</t>
  </si>
  <si>
    <t>ESZKÖZÖK</t>
  </si>
  <si>
    <t>Előző évi</t>
  </si>
  <si>
    <t>Tárgyévi</t>
  </si>
  <si>
    <t>költségvetési</t>
  </si>
  <si>
    <t>auditált</t>
  </si>
  <si>
    <t>beszámoló</t>
  </si>
  <si>
    <t>(±)</t>
  </si>
  <si>
    <t>egyszerűsített</t>
  </si>
  <si>
    <t>záró adatai</t>
  </si>
  <si>
    <t>A) BEFEKTETETT ESZKÖZÖK</t>
  </si>
  <si>
    <t>I. Immateriális javak</t>
  </si>
  <si>
    <t>II. Tárgyi eszközök</t>
  </si>
  <si>
    <t>III. Befektetett pénzügyi eszközök</t>
  </si>
  <si>
    <t>IV. Üzemeltetésre, kezelésre átadott,</t>
  </si>
  <si>
    <t>koncesszióba, vagyonkezelésbe adott,</t>
  </si>
  <si>
    <t>illetve vagyonkezelésbe vett eszközök</t>
  </si>
  <si>
    <t>B) FORGÓESZKÖZÖK</t>
  </si>
  <si>
    <t>I. Készletek</t>
  </si>
  <si>
    <t>II. Követelések</t>
  </si>
  <si>
    <t>III. Értékpapírok</t>
  </si>
  <si>
    <t>IV. Pénzeszközök</t>
  </si>
  <si>
    <t>V. Egyéb aktív pénzügyi elszámolások</t>
  </si>
  <si>
    <t>FORRÁSOK</t>
  </si>
  <si>
    <t>D) SAJÁT TŐKE</t>
  </si>
  <si>
    <t>1. Tartós tőke</t>
  </si>
  <si>
    <t>2. Tőkeváltozások</t>
  </si>
  <si>
    <t>3. Értékelési tartalék</t>
  </si>
  <si>
    <t>E) TARTALÉKOK</t>
  </si>
  <si>
    <t>I. Költségvetési tartalékok</t>
  </si>
  <si>
    <t>II. Vállalkozási tartalékok</t>
  </si>
  <si>
    <t>F) KÖTELEZETTSÉGEK</t>
  </si>
  <si>
    <t>I. Hosszú lejáratú kötelezettségek</t>
  </si>
  <si>
    <t>II. Rövid lejáratú kötelezettségek</t>
  </si>
  <si>
    <t>III. Egyéb passzív pénzügyi elszámolások</t>
  </si>
  <si>
    <t>a helyi önkormányzatok általános működéséhez és ágazati feladataihoz kapcsolódó támogatások, a központi költségvetésből származó egyéb költségvetési támogatások</t>
  </si>
  <si>
    <t>nemzeti vagyonnal kapcsolatos bevételek</t>
  </si>
  <si>
    <t>a működési célú átvett pénzeszköz</t>
  </si>
  <si>
    <t>az európai uniós forrásból finanszírozott támogatással megvalósuló programok, projektek bevételei</t>
  </si>
  <si>
    <t>kapott kamatok működési célú</t>
  </si>
  <si>
    <t>kapott kamatok felhalmozáso célú</t>
  </si>
  <si>
    <t>MŰKÖDÉSI KÖLTSÉGVETÉS ÖSSZESEN</t>
  </si>
  <si>
    <t>FELHALMOZÁSI KÖLTSÉGVETÉS ÖSSZESEN</t>
  </si>
  <si>
    <t>központi költségvetésből származó egyéb felhalmozási célú  költségvetési támogatások</t>
  </si>
  <si>
    <t xml:space="preserve">Illetékek </t>
  </si>
  <si>
    <t>Irányító szervtől kapott működési célú támogatás</t>
  </si>
  <si>
    <t>Irányító szervtől kapott felhalmozási célú támogatás</t>
  </si>
  <si>
    <t xml:space="preserve">Felhalmozási célú pénzeszközátvételek államháztartáson kívülről </t>
  </si>
  <si>
    <t>intézményi működési bevételek</t>
  </si>
  <si>
    <t>Kölcsön felvétele felhalmozási célra</t>
  </si>
  <si>
    <t xml:space="preserve">felhalmozási célú átvett pénzeszköz </t>
  </si>
  <si>
    <t xml:space="preserve">  általános tartalék</t>
  </si>
  <si>
    <t xml:space="preserve">  céltartalék</t>
  </si>
  <si>
    <t>KIADÁSOK MINDÖSSZESEN:</t>
  </si>
  <si>
    <t>felújítások</t>
  </si>
  <si>
    <t xml:space="preserve">beruházások </t>
  </si>
  <si>
    <t xml:space="preserve"> egyéb felhalmozási kiadások </t>
  </si>
  <si>
    <t>Kölcsönök nyújtása felhalmozási céllal</t>
  </si>
  <si>
    <t>Hitel törlesztése felhalmozási célra</t>
  </si>
  <si>
    <t>Kölcsönök törlesztése felhalmozási célra</t>
  </si>
  <si>
    <t xml:space="preserve"> Irányító szerv alá tartozó költségvetési szervnek folyósított felhalmozási támogatás</t>
  </si>
  <si>
    <t xml:space="preserve"> Irányító szerv alá tartozó költségvetési szervnek folyósított működési célú támogatás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</si>
  <si>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</si>
  <si>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</si>
  <si>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</si>
  <si>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</si>
  <si>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személyi juttatások</t>
  </si>
  <si>
    <t xml:space="preserve"> céltartalék felhalmozási célra</t>
  </si>
  <si>
    <t xml:space="preserve"> általános tartalék felhalmozási célra</t>
  </si>
  <si>
    <t xml:space="preserve">közhatalmi bevételek </t>
  </si>
  <si>
    <t>működési célú támogatás államháztartáson belülről</t>
  </si>
  <si>
    <t xml:space="preserve"> felhalmozási célú támogatás államháztartáson belülről </t>
  </si>
  <si>
    <t xml:space="preserve"> előző évi pénzmaradvány igénybevétele működési célra (finanszírozási c. bev.)</t>
  </si>
  <si>
    <t>Felhalmozási célú költségvetési bevételek összesen</t>
  </si>
  <si>
    <t>Működési célú költségvetési bevételek összesen</t>
  </si>
  <si>
    <t>Hitel felvétele felhalmozási célra (finanszírozási c. bev.)</t>
  </si>
  <si>
    <t>előző évi pénzmaradvány igénybevétele felhalmozási célra (finanszírozási c. bev.)</t>
  </si>
  <si>
    <t>Működési célú hiány</t>
  </si>
  <si>
    <t>Működési célú többlet</t>
  </si>
  <si>
    <t>Felhalmozási célú hiány</t>
  </si>
  <si>
    <t>Felhalmozási célú többlet</t>
  </si>
  <si>
    <t>BEVÉTELEK MINDÖSSZESEN</t>
  </si>
  <si>
    <t>megnevezés</t>
  </si>
  <si>
    <t>ÖNKORMÁNYZAT ÖSSZESEN</t>
  </si>
  <si>
    <t>MINDÖSSZESEN</t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</si>
  <si>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a helyi önkormányzat által a lakosságnak juttatott támogatások, szociális, rászorultsági jellegű ellátások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</si>
  <si>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a működési célú átadott pénzeszköz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</si>
  <si>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támogatásértékű működési kiadások (ÁHT-n belüli pénzeszköz átadások)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</si>
  <si>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előző évi működési célú előirányzat-maradvány, pénzmaradvány átadás összesen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</si>
  <si>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az európai uniós forrásból finanszírozott támogatással megvalósuló programok, projektek kiadásai, valamint a helyi önkormányzat ilyen projektekhez történő hozzájárulásai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</si>
  <si>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a felhalmozási célú átadott pénzeszköz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</si>
  <si>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támogatásértékű felhalmozási kiadások (ÁHT-n belüli pénzeszköz átadások)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</si>
  <si>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előző évi felhalmozási célú előirányzat-maradvány, pénzmaradvány átadás</t>
    </r>
  </si>
  <si>
    <t xml:space="preserve">Támogatásértékű működési kiadás központi költségvetési szervnek </t>
  </si>
  <si>
    <t>5.sz. melléklet</t>
  </si>
  <si>
    <t>Működési célú pénzeszközátadások háztartásoknak  (árvízi támogatás)</t>
  </si>
  <si>
    <t xml:space="preserve">7.sz. melléklet </t>
  </si>
  <si>
    <t>Árvízi támogatás háztartásoknak</t>
  </si>
  <si>
    <t>8.sz. melléklet</t>
  </si>
  <si>
    <t>Acer Aspire Notebook</t>
  </si>
  <si>
    <t>Telefonhálózat bővítés</t>
  </si>
  <si>
    <t>Weblap készítése</t>
  </si>
  <si>
    <t>JCB árokásó és felhajtó</t>
  </si>
  <si>
    <t>Renault Kangoo LOV-037</t>
  </si>
  <si>
    <t xml:space="preserve">Madárbarát Park pallóhíd terv és műszaki ellenőrzés </t>
  </si>
  <si>
    <t>Határcsárda közvilágítás</t>
  </si>
  <si>
    <t>Gázzsámoly az étkeztetési feladatok ellátására</t>
  </si>
  <si>
    <t>JCB árokásóra hótolólap beszerzése</t>
  </si>
  <si>
    <t>Aszfaltozás</t>
  </si>
  <si>
    <t>Vízkelő hidrológiai vizsgálat</t>
  </si>
  <si>
    <t xml:space="preserve">Támogatásértékű működési kiadás fejezeti kezelésű előirányzatnak hazai programokra </t>
  </si>
  <si>
    <t xml:space="preserve">Támogatásértékű működési kiadás fejezeti kezelésű előirányzatnak EU-s programokra és azok hazai társfinanszírozására </t>
  </si>
  <si>
    <t>Támogatásértékű működési kiadás társadalombiztosítási alapok kezelőinek</t>
  </si>
  <si>
    <t xml:space="preserve">Támogatásértékű működési kiadás elkülönített állami pénzalapnak </t>
  </si>
  <si>
    <t xml:space="preserve">Támogatásértékű működési kiadás helyi önkormányzatoknak és költségvetési szerveiknek </t>
  </si>
  <si>
    <t xml:space="preserve">Támogatásértékű működési kiadás többcélú kistérségi társulásnak </t>
  </si>
  <si>
    <t xml:space="preserve">Támogatásértékű működési kiadás országos nemzetiségi önkormányzatoknak </t>
  </si>
  <si>
    <t xml:space="preserve">Működési célú garancia- és kezességvállalásból származó kifizetés államháztartáson belülre </t>
  </si>
  <si>
    <t>Támogatásértékű működési kiadások</t>
  </si>
  <si>
    <t xml:space="preserve">Támogatásértékű felhalmozási kiadás központi költségvetési szervnek </t>
  </si>
  <si>
    <t xml:space="preserve">Támogatásértékű felhalmozási kiadás fejezeti kezelésű előirányzatnak hazai programokra </t>
  </si>
  <si>
    <t xml:space="preserve">Támogatásértékű felhalmozási kiadás fejezeti kezelésű előirányzatnak EU-s programokra és azok hazai társfinanszírozására </t>
  </si>
  <si>
    <t xml:space="preserve">Támogatásértékű felhalmozási kiadás társadalombiztosítási alapok kezelőinek </t>
  </si>
  <si>
    <t xml:space="preserve">Támogatásértékű felhalmozási kiadás elkülönített állami pénzalapnak </t>
  </si>
  <si>
    <t xml:space="preserve">Támogatásértékű felhalmozási kiadás helyi önkormányzatoknak és költségvetési szerveiknek </t>
  </si>
  <si>
    <t xml:space="preserve">Támogatásértékű felhalmozási kiadás többcélú kistérségi társulásnak </t>
  </si>
  <si>
    <t xml:space="preserve">Támogatásértékű felhalmozási kiadás országos nemzetiségi önkormányzatoknak </t>
  </si>
  <si>
    <t>Támogatásértékű felhalmozási kiadások</t>
  </si>
  <si>
    <t xml:space="preserve">Működési célú pénzeszközátadás non-profit szervezeteknek </t>
  </si>
  <si>
    <t xml:space="preserve">Működési célú pénzeszközátadás egyházaknak </t>
  </si>
  <si>
    <t xml:space="preserve">Működési célú pénzeszközátadás háztartásoknak </t>
  </si>
  <si>
    <t xml:space="preserve">Működési célú pénzeszközátadás vállalkozásoknak </t>
  </si>
  <si>
    <t xml:space="preserve">Működési célú pénzeszközátadás az Európai Unió költségvetésének </t>
  </si>
  <si>
    <t>Működési célú pénzeszközátadás kormányoknak és nemzetközi szervezeteknek</t>
  </si>
  <si>
    <t xml:space="preserve">Működési célú pénzeszközátadás egyéb külföldinek </t>
  </si>
  <si>
    <t xml:space="preserve">Működési célú pénzeszközátadások államháztartáson kívülre </t>
  </si>
  <si>
    <t xml:space="preserve">Felhalmozási célú pénzeszközátadás non-profit szervezeteknek </t>
  </si>
  <si>
    <t xml:space="preserve">Felhalmozási célú pénzeszközátadás egyházaknak </t>
  </si>
  <si>
    <t xml:space="preserve">Felhalmozási célú pénzeszközátadás háztartásoknak </t>
  </si>
  <si>
    <t xml:space="preserve">Felhalmozási célú pénzeszközátadás vállalkozásoknak </t>
  </si>
  <si>
    <t xml:space="preserve">Felhalmozási célú pénzeszközátadás az Európai Unió költségvetésének </t>
  </si>
  <si>
    <t>Felhalmozási célú pénzeszközátadás kormányoknak és nemzetközi szervezeteknek</t>
  </si>
  <si>
    <t xml:space="preserve">Felhalmozási célú pénzeszközátadás egyéb külföldinek </t>
  </si>
  <si>
    <t xml:space="preserve">Lakásért fizetett pénzbeli térítés </t>
  </si>
  <si>
    <t xml:space="preserve">Lakáshoz jutás pénzbeli támogatása végleges jelleggel </t>
  </si>
  <si>
    <t xml:space="preserve">Felhalmozási célú garancia- és kezességvállalásból származó kifizetés államháztartáson kívülre </t>
  </si>
  <si>
    <t>Felhalmozási célú pénzeszközátadások államháztartáson kívülre</t>
  </si>
  <si>
    <t>Összesen:</t>
  </si>
  <si>
    <t>FELÚJÍTÁSOK ÖSSZESEN:</t>
  </si>
  <si>
    <t>hitel, kölcsön felvétele, átvállalása</t>
  </si>
  <si>
    <t>hitelviszonyt megtestesítő értékpapír forgalomba hozatala</t>
  </si>
  <si>
    <t>váltó kibocsátása</t>
  </si>
  <si>
    <t xml:space="preserve">pénzügyi lízing </t>
  </si>
  <si>
    <t xml:space="preserve"> visszavásárlási kötelezettség kikötésével megkötött adásvételi szerződés</t>
  </si>
  <si>
    <t>Összesen</t>
  </si>
  <si>
    <t>A fenti előirányzatokból 2013. költségvetési év azon fejlesztési céljai, amelyek megvalósításához a Stabilitási tv. 3. § (1) bekezdése szerinti adósságot keletkeztető ügylet megkötése válik vagy válhat szükségessé (forrás feltüntetése ezer forintban)</t>
  </si>
  <si>
    <t>Bevételek</t>
  </si>
  <si>
    <t>Következő évek</t>
  </si>
  <si>
    <t>EU forrás</t>
  </si>
  <si>
    <t>Egyéb forrás</t>
  </si>
  <si>
    <t>Saját forrás</t>
  </si>
  <si>
    <t>Kiadások</t>
  </si>
  <si>
    <t>személyi juttatások járulékai</t>
  </si>
  <si>
    <t>beruházások</t>
  </si>
  <si>
    <t>átadott pénzeszközök</t>
  </si>
  <si>
    <t>2014. ÉV</t>
  </si>
  <si>
    <t>2015. ÉV</t>
  </si>
  <si>
    <t>Irányító szerv alá tartozó költségvetési szervnek folyósított működési célú támogatás</t>
  </si>
  <si>
    <t>Irányító szerv alá tartozó költségvetési szervnek folyósított felhalmozási támogatás</t>
  </si>
  <si>
    <t>Kiadás összesen:</t>
  </si>
  <si>
    <t>Bevétel (forrás) összesen:</t>
  </si>
  <si>
    <t>Állami támogatás (kötelező feladatra)</t>
  </si>
  <si>
    <t>Támogatásértékű működési bevétel központi költségvetési szervtől</t>
  </si>
  <si>
    <t xml:space="preserve">Támogatásértékű működési bevétel fejezeti kezelésű előirányzattól hazai programokra </t>
  </si>
  <si>
    <t xml:space="preserve">Támogatásértékű működési bevétel fejezeti kezelésű előirányzattól EU-s programokra és azok hazai társfinanszírozására </t>
  </si>
  <si>
    <t xml:space="preserve">Támogatásértékű működési bevétel társadalombiztosítási alaptól </t>
  </si>
  <si>
    <t xml:space="preserve">Támogatásértékű működési bevétel elkülönített állami pénzalaptól </t>
  </si>
  <si>
    <t xml:space="preserve">Támogatásértékű működési bevétel helyi önkormányzatoktól és költségvetési szerveiktől </t>
  </si>
  <si>
    <t xml:space="preserve">Támogatásértékű működési bevétel többcélú kistérségi társulástól </t>
  </si>
  <si>
    <t xml:space="preserve">Támogatásértékű működési bevétel országos nemzetiségi önkormányzatoktól </t>
  </si>
  <si>
    <t xml:space="preserve">Működési célú garancia- és kezességvállalásból származó megtérülések államháztartáson belülről </t>
  </si>
  <si>
    <t xml:space="preserve">Támogatásértékű működési bevételek </t>
  </si>
  <si>
    <t xml:space="preserve">Támogatásértékű felhalmozási bevétel központi költségvetési szervtől </t>
  </si>
  <si>
    <t>Támogatásértékű felhalmozási bevétel fejezeti kezelésű előirányzattól hazai programokra</t>
  </si>
  <si>
    <t xml:space="preserve">Támogatásértékű felhalmozási bevétel fejezeti kezelésű előirányzattól EU-s programokra és azok hazai társfinanszírozására </t>
  </si>
  <si>
    <t xml:space="preserve">A 179. és 180. sorba nem tartozó támogatásértékű felhalmozási bevétel fejezeti kezelésű előirányzattól </t>
  </si>
  <si>
    <t xml:space="preserve">Támogatásértékű felhalmozási bevétel társadalombiztosítási alaptól </t>
  </si>
  <si>
    <t xml:space="preserve">Támogatásértékű felhalmozási bevétel elkülönített állami pénzalaptól </t>
  </si>
  <si>
    <t xml:space="preserve">Támogatásértékű felhalmozási bevétel helyi önkormányzatoktól és költségvetési szerveiktől </t>
  </si>
  <si>
    <t>Támogatásértékű felhalmozási bevétel többcélú kistérségi társulástól</t>
  </si>
  <si>
    <t>Támogatásértékű felhalmozási bevétel országos nemzetiségi önkormányzatoktól</t>
  </si>
  <si>
    <t xml:space="preserve">Felhalmozási célú garancia- és kezességvállalásból származó megtérülések államháztartáson belülről </t>
  </si>
  <si>
    <t xml:space="preserve">Támogatásértékű felhalmozási bevételek </t>
  </si>
  <si>
    <t xml:space="preserve">Működési célú pénzeszközátvétel non-profit szervezetektől </t>
  </si>
  <si>
    <t>Működési célú pénzeszközátvétel egyházaktól</t>
  </si>
  <si>
    <t xml:space="preserve">Működési célú pénzeszközátvétel háztartásoktól </t>
  </si>
  <si>
    <t xml:space="preserve">Működési célú pénzeszközátvétel pénzügyi vállalkozásoktól </t>
  </si>
  <si>
    <t xml:space="preserve">Működési célú pénzeszközátvétel önkormányzati többségi tulajdonú vállalkozástól </t>
  </si>
  <si>
    <t xml:space="preserve">Működési célú pénzeszközátvétel nem önkormányzati többségi tulajdonú vállalkozástól </t>
  </si>
  <si>
    <t xml:space="preserve">Működési célú pénzeszközátvétel az Európai Unió költségvetéséből </t>
  </si>
  <si>
    <t xml:space="preserve">Működési célú pénzeszközátvétel kormányoktól és nemzetközi szervezetektől </t>
  </si>
  <si>
    <t>Működési célú pénzeszközátvétel egyéb külföldi forrásból</t>
  </si>
  <si>
    <t xml:space="preserve">Működési célú garancia- és kezességvállalásból származó megtérülések államháztartáson kívülről </t>
  </si>
  <si>
    <t xml:space="preserve">Működési célú pénzeszközátvételek államháztartáson kívülről </t>
  </si>
  <si>
    <t xml:space="preserve">Felhalmozási célú pénzeszközátvétel non-profit szervezetektől </t>
  </si>
  <si>
    <t xml:space="preserve">Felhalmozási célú pénzeszközátvétel egyházaktól </t>
  </si>
  <si>
    <t xml:space="preserve">Felhalmozási célú pénzeszközátvétel háztartásoktól </t>
  </si>
  <si>
    <t xml:space="preserve">Felhalmozási célú pénzeszközátvétel pénzügyi vállalkozásoktól </t>
  </si>
  <si>
    <t>Felhalmozási célú pénzeszközátvétel önkormányzati többségi tulajdonú vállalkozástól</t>
  </si>
  <si>
    <t xml:space="preserve">Felhalmozási célú pénzeszközátvétel nem önkormányzati többségi tulajdonú vállalkozástól </t>
  </si>
  <si>
    <t xml:space="preserve">Felhalmozási célra kapott juttatások az Európai Unió költségvetéséből </t>
  </si>
  <si>
    <t>Felhalmozási célra kapott juttatások kormányoktól és nemzetközi szervezetektől</t>
  </si>
  <si>
    <t xml:space="preserve">Felhalmozási célra kapott juttatások egyéb külföldi forrásból </t>
  </si>
  <si>
    <t xml:space="preserve">Felhalmozási célú garancia- és kezességvállalásból származó megtérülések államháztartáson kívülről </t>
  </si>
  <si>
    <t xml:space="preserve">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</si>
  <si>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</si>
  <si>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</si>
  <si>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</si>
  <si>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</si>
  <si>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</si>
  <si>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</si>
  <si>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Iparűzési adó ideiglenes jelleggel végzett iparűzési tevékenység után</t>
  </si>
  <si>
    <t>Helyi adók összesen:</t>
  </si>
  <si>
    <t>Gépjárműadó</t>
  </si>
  <si>
    <t>Termőföld bérbeadásából származó jövedelemadó</t>
  </si>
  <si>
    <t>Átengedett központi adók</t>
  </si>
  <si>
    <t>felhalmozási bevétel</t>
  </si>
  <si>
    <t>nemzeti vagyonnal kapcsolatos bevételek összesen</t>
  </si>
  <si>
    <t>felhalmozási bevételek összesen</t>
  </si>
  <si>
    <t>fizikai állomány közalkalmazott</t>
  </si>
  <si>
    <t>szakmai állomány közalkalmazott</t>
  </si>
  <si>
    <t>fizikai állomány köztisztviselő</t>
  </si>
  <si>
    <t>szakmai állomány köztisztviselő</t>
  </si>
  <si>
    <t>fizikai állomány MT</t>
  </si>
  <si>
    <t>szakmai állomány MT</t>
  </si>
  <si>
    <t>közfoglalkoztatás</t>
  </si>
  <si>
    <t>Kötelezettségek megnevezése</t>
  </si>
  <si>
    <t>Köt.vállalás éve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</si>
  <si>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</si>
  <si>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</si>
  <si>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</si>
  <si>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</si>
  <si>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</si>
  <si>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Helyi adónál, gépjárműadónál biztosított kedvezmény, mentesség összege adónemenként</t>
  </si>
  <si>
    <t>Megjegyzés/hivatkozás</t>
  </si>
  <si>
    <t>Adókedvezmények összesen:</t>
  </si>
  <si>
    <t>Lakosság részére lakásépítéshez, lakásfelújításhoz nyújtott kölcsönök elengedésének összege</t>
  </si>
  <si>
    <t>Kölcsönök elengedése összesen</t>
  </si>
  <si>
    <t>Ellátottak térítési díjának, illetve kártérítésének méltányossági alapon történő elengedésének összege</t>
  </si>
  <si>
    <t>Térítési díj kedveznények összesen</t>
  </si>
  <si>
    <t>Helyiségek, eszközök hasznosításából származó bevételből nyújtott kedvezmény, mentesség összege</t>
  </si>
  <si>
    <t>Bérleti díj kedveznények összesen</t>
  </si>
  <si>
    <t>egyéb nyújtott kedvezmény vagy kölcsön elengedésének összege.</t>
  </si>
  <si>
    <t>Egyéb kölcsön elengedése</t>
  </si>
  <si>
    <t>egyéb követelések elengedése</t>
  </si>
  <si>
    <t>Egyéb kedvezmények összesen</t>
  </si>
  <si>
    <t>ÖNKÉNT VÁLLALT FELADAT</t>
  </si>
  <si>
    <t>Nyitnikék Óvoda</t>
  </si>
  <si>
    <t>Szigetmonostor Faluház</t>
  </si>
  <si>
    <t>Önkormányzati Hivatal</t>
  </si>
  <si>
    <t>Önkormányzat</t>
  </si>
  <si>
    <t>Szakfeladat</t>
  </si>
  <si>
    <t>Felhalmozási kiadások</t>
  </si>
  <si>
    <t>Működési költségvetés</t>
  </si>
  <si>
    <t>Száma</t>
  </si>
  <si>
    <t>Megnevezése</t>
  </si>
  <si>
    <t>Intézmény</t>
  </si>
  <si>
    <t xml:space="preserve"> Óvodai nevelés, ellátás</t>
  </si>
  <si>
    <t>kötelező</t>
  </si>
  <si>
    <t>Önkormányzatok és társulások általános végrehajtó igazgatási tevékenysége</t>
  </si>
  <si>
    <t xml:space="preserve"> Közművelődési intézmények, közösségi színterek működtetése</t>
  </si>
  <si>
    <t>Szennyvíz gyűjtése, tisztítása, elhelyezése</t>
  </si>
  <si>
    <t>Szigetmonostor Önkormányzat</t>
  </si>
  <si>
    <t>Települési hulladék összetevőinek válogatása, elkülönített begyűjtése, szállítása, átrakása</t>
  </si>
  <si>
    <t>Óvodai intézményi étkeztetés</t>
  </si>
  <si>
    <t>Iskolai intézményi étkeztetés</t>
  </si>
  <si>
    <t>Közvilágítás (841402)</t>
  </si>
  <si>
    <t xml:space="preserve"> Város-, községgazdálkodási m.n.s. szolgáltatások (841403)</t>
  </si>
  <si>
    <t xml:space="preserve"> Család- és nővédelmi egészségügyi gondozás</t>
  </si>
  <si>
    <t xml:space="preserve"> Rendszeres szociális segély</t>
  </si>
  <si>
    <t xml:space="preserve"> Ápolási díj alanyi jogon</t>
  </si>
  <si>
    <t>Kiegészítő gyermekvédelmi támogatás</t>
  </si>
  <si>
    <t xml:space="preserve"> Helyi eseti lakásfenntartási támogatás</t>
  </si>
  <si>
    <t>Átmeneti segély</t>
  </si>
  <si>
    <t>Temetési segély</t>
  </si>
  <si>
    <t>Rendkívüli gyermekvédelmi támogatás</t>
  </si>
  <si>
    <t xml:space="preserve"> Mozgáskorlátozottak közlekedési támogatása</t>
  </si>
  <si>
    <t>Egyéb önkormányzati eseti pénzbeli ellátások</t>
  </si>
  <si>
    <t>Köztemetés</t>
  </si>
  <si>
    <t>Gyermekjóléti szolgáltatás</t>
  </si>
  <si>
    <t xml:space="preserve"> Szociális étkeztetés</t>
  </si>
  <si>
    <t>Ápolási díj alanyi jogon</t>
  </si>
  <si>
    <t>1.sz. melléklet</t>
  </si>
  <si>
    <t>2. sz. melléklet</t>
  </si>
  <si>
    <t xml:space="preserve"> Rövid időtartamú közfoglalkoztatás</t>
  </si>
  <si>
    <t xml:space="preserve"> Bérpótló juttatásra jogosultak hosszabb időtartamú közfoglalkoztatása</t>
  </si>
  <si>
    <t xml:space="preserve"> Komp- és révközlekedés (503020)</t>
  </si>
  <si>
    <t xml:space="preserve"> Munkahelyi étkeztetés</t>
  </si>
  <si>
    <t>önként</t>
  </si>
  <si>
    <t>Finanszírozási műveletek</t>
  </si>
  <si>
    <t>Adó, illeték kiszabása, beszedése, adóellenőrzés</t>
  </si>
  <si>
    <t>Önkormányzatok és társulások elszámolásai</t>
  </si>
  <si>
    <t>Bölcsődei ellátás</t>
  </si>
  <si>
    <t>Konszolidációs különbözet</t>
  </si>
  <si>
    <t>Pótlékok</t>
  </si>
  <si>
    <t>Bírságok</t>
  </si>
  <si>
    <t>Talajterhelési díj</t>
  </si>
  <si>
    <t>Mindösszesen</t>
  </si>
  <si>
    <t>Egyesületek (+sátor) támogatása</t>
  </si>
  <si>
    <t>Polgárőrség támogatása</t>
  </si>
  <si>
    <t>Magánszemélyek támogatása (futóverseny, sakk, néptánc)</t>
  </si>
  <si>
    <t>Körzeti ügyelet, mentőszolgálat támogatása</t>
  </si>
  <si>
    <t>Tűzoltó egyesület támogatása</t>
  </si>
  <si>
    <t>Lakásépítési kölcsönök</t>
  </si>
  <si>
    <t>Egyéb támogatás (építéshatósági körzet, műszakis hely Pócsmegyer)</t>
  </si>
  <si>
    <t>Házigondozói támogatás</t>
  </si>
  <si>
    <t>Vízirendészetnek átadott pénzeszköz</t>
  </si>
  <si>
    <t>Kistérségi támogatás (tagdíj, szúnyoggyérítés, csatorna)</t>
  </si>
  <si>
    <t>Ikerrendelet</t>
  </si>
  <si>
    <t>Szociális kölcsön</t>
  </si>
  <si>
    <t>Pénzeszköz átadás Zöld Híd</t>
  </si>
  <si>
    <t>Működési célra átadott pénzeszközök összesen</t>
  </si>
  <si>
    <t>Felhalmozási célra átadott pénzeszközök összesen</t>
  </si>
  <si>
    <t>Támogatások összesen:</t>
  </si>
  <si>
    <t>Szakfeladat főkönyv</t>
  </si>
  <si>
    <t>Megnevezés</t>
  </si>
  <si>
    <t>Saját forrásból (kötelező feladatra)</t>
  </si>
  <si>
    <t>Saját forrásból (önként vállalt feladatra)</t>
  </si>
  <si>
    <t xml:space="preserve">Kezességvállalás társulati hitelekre: </t>
  </si>
  <si>
    <t>Tűzoltótársulás</t>
  </si>
  <si>
    <t>DCST</t>
  </si>
  <si>
    <t>Krízis Alap</t>
  </si>
  <si>
    <t>MŰKÖDÉSI KÖLTSÉGVETÉSI BEVÉTELEK ÖSSZESEN</t>
  </si>
  <si>
    <t>Közfoglalkoztatottak engedélyezett létszáma:</t>
  </si>
  <si>
    <t>Foglalkoztatottak engedélyezett létszáma:</t>
  </si>
  <si>
    <t>Működési bevételek</t>
  </si>
  <si>
    <t>Felhalmozási bevételek</t>
  </si>
  <si>
    <t>Feladat típusa</t>
  </si>
  <si>
    <t>Új bölcsőde a kisgyermekes családokért (KMOP-4.5.2-11-2012-0006)</t>
  </si>
  <si>
    <t>Faluház gázkazánház rekonstrukció</t>
  </si>
  <si>
    <t>Orvosi rendelő felújítása, nyílászáró csere, hőszigetelés</t>
  </si>
  <si>
    <t>Számítógép, és szoftver vásárlása védőnői feladatokra</t>
  </si>
  <si>
    <t>Szoftver beszerzése étkeztetési feladatok ellátásához</t>
  </si>
  <si>
    <t>Óvodai sószoba kialakítása</t>
  </si>
  <si>
    <t>Szürkő-sziget területén erdő telepítése (FV Zrt. koncepció keretében)</t>
  </si>
  <si>
    <t>Szigeti katasztrófavédelmi központ létrehozása (FV Zrt. koncepció keretében)</t>
  </si>
  <si>
    <t>Vízkelő élőhely rekultiválással történő helyreállítása (FV Zrt. koncepció keretében)</t>
  </si>
  <si>
    <t>Zöldhulladék kezelő telephely kialakítása (FV Zrt. koncepció keretében)</t>
  </si>
  <si>
    <t>Faluház zöldfelületeinek kezelésére fűnyíró és fűkasza beszerzése</t>
  </si>
  <si>
    <t xml:space="preserve">Bútorok beszerzése a Faluházba a civil szervezetek felszereléseinek tárolására </t>
  </si>
  <si>
    <t>20 db szék beszerzése Faluház rendezvényeihez</t>
  </si>
  <si>
    <t>10 garnitúra asztal és pad beszerzése Faluház rendezvényekhez</t>
  </si>
  <si>
    <t>Polgármesteri Hivatal épületének hőszigetelése</t>
  </si>
  <si>
    <t>EU Projekt megnevezése: Új bölcsőde a kisgyermekes családokért (KMOP-4.5.2-11-2012-0006)</t>
  </si>
  <si>
    <t>ÁLLAMI FELADAT</t>
  </si>
  <si>
    <t>Tárgyév előtti kifizetések</t>
  </si>
  <si>
    <t>összesen</t>
  </si>
  <si>
    <t>Kiadások megnevezése</t>
  </si>
  <si>
    <t>Bevételek megnevezése</t>
  </si>
  <si>
    <t>·        - a helyi önkormányzat által a lakosságnak juttatott támogatások, szociális, rászorultsági jellegű ellátások</t>
  </si>
  <si>
    <t>·        - a működési célú átadott pénzeszköz</t>
  </si>
  <si>
    <t>·        - támogatásértékű működési kiadások (ÁHT-n belüli pénzeszköz átadások)</t>
  </si>
  <si>
    <t>·        - előző évi működési célú előirányzat-maradvány, pénzmaradvány átadás összesen</t>
  </si>
  <si>
    <t>·        - az európai uniós forrásból finanszírozott támogatással megvalósuló programok, projektek kiadásai, valamint a helyi önkormányzat ilyen projektekhez történő hozzájárulásai</t>
  </si>
  <si>
    <t>·        - a felhalmozási célú átadott pénzeszköz</t>
  </si>
  <si>
    <t>·        - támogatásértékű felhalmozási kiadások (ÁHT-n belüli pénzeszköz átadások)</t>
  </si>
  <si>
    <t>·        - előző évi felhalmozási célú előirányzat-maradvány, pénzmaradvány átadás</t>
  </si>
  <si>
    <t>A 669/2 és 673/4. hrsz ingatlanokra vonatkozó városüzemeltetési funkciójú telephely kialakítása I.ütem (FV Zrt. koncepció keretében)</t>
  </si>
  <si>
    <t>Konstruma Mérnöki Iroda Kft. terve a 669/2 és 673/4. hrsz ingatlanokra vonatkozó városüzemeltetési funkció (FV Zrt. koncepció keretében)</t>
  </si>
  <si>
    <t>Konstruma Mérnöki Iroda Kft. terve  a Szabadság tér egyesített térrendezésére (FV Zrt. koncepció keretében)</t>
  </si>
  <si>
    <t>AEBI CC66 egytengelyes rézsűkaszáló gép és kalapácsos rendszerű szárzúzó Y késekkel (Városkert Kft.) (FV Zrt. koncepció keretében)</t>
  </si>
  <si>
    <t>Klímapark kialakítása a HUSK/1101/2.2.1/0158.számú Magyarország-Szlovákia Határon Átnyúló Együttműködési Program 2007-2013. keretében (FV Zrt. koncepció keretében)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</si>
</sst>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0__"/>
    <numFmt numFmtId="165" formatCode="_-* #,##0\ _F_t_-;\-* #,##0\ _F_t_-;_-* &quot;-&quot;??\ _F_t_-;_-@_-"/>
    <numFmt numFmtId="166" formatCode="#,##0.00\ &quot;Ft&quot;"/>
  </numFmts>
  <fonts count="89">
    <font>
      <sz val="10"/>
      <name val="Arial"/>
      <charset val="238"/>
    </font>
    <font>
      <sz val="10"/>
      <name val="Arial"/>
      <charset val="238"/>
    </font>
    <font>
      <sz val="12"/>
      <name val="Bookman Old Style"/>
      <family val="1"/>
      <charset val="238"/>
    </font>
    <font>
      <sz val="10"/>
      <name val="Bookman Old Style"/>
      <family val="1"/>
      <charset val="238"/>
    </font>
    <font>
      <sz val="7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Times New Roman CE"/>
      <charset val="238"/>
    </font>
    <font>
      <sz val="8"/>
      <name val="Arial"/>
      <charset val="238"/>
    </font>
    <font>
      <sz val="10"/>
      <name val="Georgia"/>
      <family val="1"/>
      <charset val="238"/>
    </font>
    <font>
      <sz val="11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i/>
      <sz val="12"/>
      <color indexed="8"/>
      <name val="Georgia"/>
      <family val="1"/>
      <charset val="238"/>
    </font>
    <font>
      <b/>
      <i/>
      <sz val="12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u/>
      <sz val="14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sz val="14"/>
      <name val="Bookman Old Style"/>
      <family val="1"/>
      <charset val="238"/>
    </font>
    <font>
      <sz val="10"/>
      <name val="Arial CE"/>
      <charset val="238"/>
    </font>
    <font>
      <b/>
      <i/>
      <sz val="10"/>
      <color indexed="8"/>
      <name val="Bookman Old Style"/>
      <family val="1"/>
      <charset val="238"/>
    </font>
    <font>
      <b/>
      <i/>
      <u/>
      <sz val="12"/>
      <name val="Bookman Old Style"/>
      <family val="1"/>
      <charset val="238"/>
    </font>
    <font>
      <b/>
      <i/>
      <u/>
      <sz val="11"/>
      <name val="Bookman Old Style"/>
      <family val="1"/>
      <charset val="238"/>
    </font>
    <font>
      <u/>
      <sz val="12"/>
      <name val="Bookman Old Style"/>
      <family val="1"/>
      <charset val="238"/>
    </font>
    <font>
      <b/>
      <sz val="10"/>
      <color indexed="10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7"/>
      <name val="Times New Roman"/>
      <family val="1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"/>
    </font>
    <font>
      <b/>
      <sz val="10"/>
      <name val="Arial"/>
      <charset val="238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7"/>
      <color indexed="8"/>
      <name val="Times New Roman"/>
      <family val="1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sz val="7"/>
      <name val="Arial"/>
      <charset val="238"/>
    </font>
    <font>
      <sz val="10"/>
      <name val="Arial"/>
      <charset val="238"/>
    </font>
    <font>
      <b/>
      <i/>
      <sz val="12"/>
      <name val="Georgia"/>
      <family val="1"/>
      <charset val="238"/>
    </font>
    <font>
      <b/>
      <i/>
      <sz val="12"/>
      <name val="Arial"/>
      <charset val="238"/>
    </font>
    <font>
      <sz val="12"/>
      <name val="Arial"/>
      <charset val="238"/>
    </font>
    <font>
      <sz val="9"/>
      <name val="Symbol"/>
      <family val="1"/>
      <charset val="2"/>
    </font>
    <font>
      <sz val="12"/>
      <name val="Symbol"/>
      <family val="1"/>
      <charset val="2"/>
    </font>
    <font>
      <b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MS Sans Serif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b/>
      <sz val="10"/>
      <name val="Times New Roman"/>
      <family val="1"/>
      <charset val="238"/>
    </font>
    <font>
      <i/>
      <sz val="10"/>
      <name val="Bookman Old Style"/>
      <family val="1"/>
      <charset val="238"/>
    </font>
    <font>
      <i/>
      <sz val="10"/>
      <name val="Arial"/>
      <charset val="238"/>
    </font>
    <font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12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5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7" borderId="1" applyNumberFormat="0" applyAlignment="0" applyProtection="0"/>
    <xf numFmtId="0" fontId="35" fillId="0" borderId="0" applyNumberFormat="0" applyFill="0" applyBorder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39" fillId="16" borderId="5" applyNumberFormat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6" applyNumberFormat="0" applyFill="0" applyAlignment="0" applyProtection="0"/>
    <xf numFmtId="0" fontId="26" fillId="17" borderId="7" applyNumberFormat="0" applyFont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43" fillId="4" borderId="0" applyNumberFormat="0" applyBorder="0" applyAlignment="0" applyProtection="0"/>
    <xf numFmtId="0" fontId="44" fillId="22" borderId="8" applyNumberFormat="0" applyAlignment="0" applyProtection="0"/>
    <xf numFmtId="0" fontId="45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46" fillId="0" borderId="0"/>
    <xf numFmtId="0" fontId="46" fillId="0" borderId="0"/>
    <xf numFmtId="0" fontId="7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26" fillId="0" borderId="0"/>
    <xf numFmtId="0" fontId="46" fillId="0" borderId="0"/>
    <xf numFmtId="0" fontId="46" fillId="0" borderId="0"/>
    <xf numFmtId="0" fontId="32" fillId="0" borderId="0"/>
    <xf numFmtId="0" fontId="47" fillId="0" borderId="9" applyNumberFormat="0" applyFill="0" applyAlignment="0" applyProtection="0"/>
    <xf numFmtId="0" fontId="48" fillId="3" borderId="0" applyNumberFormat="0" applyBorder="0" applyAlignment="0" applyProtection="0"/>
    <xf numFmtId="0" fontId="49" fillId="23" borderId="0" applyNumberFormat="0" applyBorder="0" applyAlignment="0" applyProtection="0"/>
    <xf numFmtId="0" fontId="50" fillId="22" borderId="1" applyNumberFormat="0" applyAlignment="0" applyProtection="0"/>
  </cellStyleXfs>
  <cellXfs count="48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10" xfId="0" applyFont="1" applyBorder="1" applyAlignment="1">
      <alignment horizontal="justify" wrapText="1"/>
    </xf>
    <xf numFmtId="0" fontId="5" fillId="24" borderId="10" xfId="0" applyFont="1" applyFill="1" applyBorder="1" applyAlignment="1">
      <alignment wrapText="1"/>
    </xf>
    <xf numFmtId="0" fontId="5" fillId="0" borderId="10" xfId="0" applyFont="1" applyBorder="1" applyAlignment="1">
      <alignment wrapText="1"/>
    </xf>
    <xf numFmtId="164" fontId="9" fillId="0" borderId="10" xfId="54" applyNumberFormat="1" applyFont="1" applyFill="1" applyBorder="1" applyAlignment="1">
      <alignment horizontal="left" vertical="center" wrapText="1"/>
    </xf>
    <xf numFmtId="0" fontId="2" fillId="25" borderId="10" xfId="0" applyFont="1" applyFill="1" applyBorder="1" applyAlignment="1">
      <alignment wrapText="1"/>
    </xf>
    <xf numFmtId="0" fontId="2" fillId="0" borderId="10" xfId="0" applyFont="1" applyBorder="1" applyAlignment="1">
      <alignment horizontal="justify"/>
    </xf>
    <xf numFmtId="0" fontId="2" fillId="0" borderId="10" xfId="0" applyFont="1" applyBorder="1"/>
    <xf numFmtId="0" fontId="5" fillId="26" borderId="10" xfId="0" applyFont="1" applyFill="1" applyBorder="1" applyAlignment="1">
      <alignment wrapText="1"/>
    </xf>
    <xf numFmtId="0" fontId="5" fillId="0" borderId="10" xfId="0" applyFont="1" applyBorder="1"/>
    <xf numFmtId="0" fontId="2" fillId="0" borderId="10" xfId="0" applyFont="1" applyFill="1" applyBorder="1" applyAlignment="1">
      <alignment horizontal="justify"/>
    </xf>
    <xf numFmtId="0" fontId="2" fillId="0" borderId="10" xfId="0" applyFont="1" applyFill="1" applyBorder="1" applyAlignment="1">
      <alignment wrapText="1"/>
    </xf>
    <xf numFmtId="0" fontId="11" fillId="0" borderId="10" xfId="0" applyFont="1" applyBorder="1"/>
    <xf numFmtId="0" fontId="12" fillId="0" borderId="10" xfId="0" applyFont="1" applyBorder="1"/>
    <xf numFmtId="0" fontId="5" fillId="25" borderId="10" xfId="0" applyFont="1" applyFill="1" applyBorder="1" applyAlignment="1">
      <alignment horizontal="justify" wrapText="1"/>
    </xf>
    <xf numFmtId="0" fontId="5" fillId="25" borderId="10" xfId="0" applyFont="1" applyFill="1" applyBorder="1" applyAlignment="1">
      <alignment wrapText="1"/>
    </xf>
    <xf numFmtId="0" fontId="13" fillId="0" borderId="10" xfId="0" applyFont="1" applyBorder="1"/>
    <xf numFmtId="0" fontId="3" fillId="0" borderId="10" xfId="0" applyFont="1" applyBorder="1"/>
    <xf numFmtId="0" fontId="5" fillId="0" borderId="10" xfId="0" applyFont="1" applyBorder="1" applyAlignment="1">
      <alignment horizontal="justify"/>
    </xf>
    <xf numFmtId="0" fontId="12" fillId="0" borderId="10" xfId="0" applyFont="1" applyFill="1" applyBorder="1" applyAlignment="1">
      <alignment wrapText="1"/>
    </xf>
    <xf numFmtId="164" fontId="18" fillId="0" borderId="0" xfId="54" applyNumberFormat="1" applyFont="1" applyFill="1" applyBorder="1" applyAlignment="1">
      <alignment horizontal="left" vertical="center" wrapText="1"/>
    </xf>
    <xf numFmtId="164" fontId="19" fillId="0" borderId="10" xfId="54" applyNumberFormat="1" applyFont="1" applyFill="1" applyBorder="1" applyAlignment="1">
      <alignment horizontal="left" vertical="center" wrapText="1"/>
    </xf>
    <xf numFmtId="0" fontId="20" fillId="0" borderId="10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3" fillId="0" borderId="0" xfId="0" applyFont="1" applyFill="1" applyAlignment="1"/>
    <xf numFmtId="0" fontId="3" fillId="0" borderId="11" xfId="0" applyFont="1" applyFill="1" applyBorder="1" applyAlignment="1"/>
    <xf numFmtId="0" fontId="11" fillId="0" borderId="0" xfId="0" applyFont="1" applyBorder="1" applyAlignment="1">
      <alignment horizontal="right" wrapText="1"/>
    </xf>
    <xf numFmtId="0" fontId="22" fillId="0" borderId="10" xfId="0" applyFont="1" applyFill="1" applyBorder="1"/>
    <xf numFmtId="0" fontId="23" fillId="0" borderId="10" xfId="0" applyFont="1" applyFill="1" applyBorder="1" applyAlignment="1">
      <alignment horizontal="right"/>
    </xf>
    <xf numFmtId="0" fontId="10" fillId="0" borderId="10" xfId="0" applyFont="1" applyFill="1" applyBorder="1"/>
    <xf numFmtId="3" fontId="3" fillId="0" borderId="10" xfId="0" applyNumberFormat="1" applyFont="1" applyFill="1" applyBorder="1"/>
    <xf numFmtId="0" fontId="11" fillId="0" borderId="10" xfId="0" applyFont="1" applyFill="1" applyBorder="1"/>
    <xf numFmtId="3" fontId="23" fillId="0" borderId="10" xfId="0" applyNumberFormat="1" applyFont="1" applyFill="1" applyBorder="1"/>
    <xf numFmtId="0" fontId="3" fillId="0" borderId="10" xfId="0" applyFont="1" applyFill="1" applyBorder="1"/>
    <xf numFmtId="0" fontId="3" fillId="0" borderId="0" xfId="0" applyFont="1" applyBorder="1"/>
    <xf numFmtId="0" fontId="2" fillId="0" borderId="10" xfId="0" applyFont="1" applyFill="1" applyBorder="1" applyAlignment="1">
      <alignment horizontal="justify" wrapText="1"/>
    </xf>
    <xf numFmtId="0" fontId="14" fillId="0" borderId="10" xfId="0" applyFont="1" applyBorder="1"/>
    <xf numFmtId="0" fontId="25" fillId="0" borderId="10" xfId="0" applyFont="1" applyBorder="1"/>
    <xf numFmtId="0" fontId="5" fillId="0" borderId="10" xfId="0" applyFont="1" applyFill="1" applyBorder="1" applyAlignment="1">
      <alignment wrapText="1"/>
    </xf>
    <xf numFmtId="0" fontId="5" fillId="0" borderId="10" xfId="0" applyFont="1" applyFill="1" applyBorder="1" applyAlignment="1">
      <alignment horizontal="justify" wrapText="1"/>
    </xf>
    <xf numFmtId="0" fontId="5" fillId="27" borderId="10" xfId="0" applyFont="1" applyFill="1" applyBorder="1"/>
    <xf numFmtId="0" fontId="14" fillId="27" borderId="10" xfId="0" applyFont="1" applyFill="1" applyBorder="1"/>
    <xf numFmtId="0" fontId="8" fillId="0" borderId="0" xfId="0" applyFont="1" applyAlignment="1">
      <alignment wrapText="1"/>
    </xf>
    <xf numFmtId="0" fontId="9" fillId="0" borderId="10" xfId="53" applyFont="1" applyFill="1" applyBorder="1" applyAlignment="1">
      <alignment horizontal="left" vertical="center" wrapText="1"/>
    </xf>
    <xf numFmtId="164" fontId="9" fillId="0" borderId="10" xfId="54" applyNumberFormat="1" applyFont="1" applyFill="1" applyBorder="1" applyAlignment="1">
      <alignment vertical="center" wrapText="1"/>
    </xf>
    <xf numFmtId="164" fontId="16" fillId="0" borderId="10" xfId="54" applyNumberFormat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justify"/>
    </xf>
    <xf numFmtId="0" fontId="5" fillId="0" borderId="10" xfId="0" applyFont="1" applyFill="1" applyBorder="1" applyAlignment="1">
      <alignment horizontal="justify"/>
    </xf>
    <xf numFmtId="0" fontId="10" fillId="0" borderId="10" xfId="0" applyFont="1" applyBorder="1"/>
    <xf numFmtId="0" fontId="11" fillId="0" borderId="0" xfId="0" applyFont="1"/>
    <xf numFmtId="0" fontId="3" fillId="0" borderId="0" xfId="0" applyFont="1" applyBorder="1" applyAlignment="1">
      <alignment horizontal="right" wrapText="1"/>
    </xf>
    <xf numFmtId="0" fontId="23" fillId="0" borderId="10" xfId="0" applyFont="1" applyFill="1" applyBorder="1" applyAlignment="1">
      <alignment wrapText="1"/>
    </xf>
    <xf numFmtId="0" fontId="24" fillId="0" borderId="10" xfId="0" applyFont="1" applyFill="1" applyBorder="1" applyAlignment="1">
      <alignment wrapText="1"/>
    </xf>
    <xf numFmtId="0" fontId="23" fillId="0" borderId="10" xfId="0" applyFont="1" applyFill="1" applyBorder="1"/>
    <xf numFmtId="0" fontId="27" fillId="26" borderId="12" xfId="0" applyFont="1" applyFill="1" applyBorder="1" applyAlignment="1">
      <alignment wrapText="1"/>
    </xf>
    <xf numFmtId="0" fontId="9" fillId="0" borderId="13" xfId="57" applyFont="1" applyFill="1" applyBorder="1" applyAlignment="1">
      <alignment vertical="center" wrapText="1"/>
    </xf>
    <xf numFmtId="0" fontId="10" fillId="0" borderId="13" xfId="0" applyFont="1" applyFill="1" applyBorder="1" applyAlignment="1">
      <alignment wrapText="1"/>
    </xf>
    <xf numFmtId="0" fontId="28" fillId="0" borderId="14" xfId="0" applyFont="1" applyFill="1" applyBorder="1"/>
    <xf numFmtId="0" fontId="27" fillId="0" borderId="13" xfId="0" applyFont="1" applyBorder="1" applyAlignment="1">
      <alignment wrapText="1"/>
    </xf>
    <xf numFmtId="0" fontId="10" fillId="0" borderId="13" xfId="0" applyFont="1" applyFill="1" applyBorder="1"/>
    <xf numFmtId="0" fontId="29" fillId="0" borderId="14" xfId="0" applyFont="1" applyFill="1" applyBorder="1"/>
    <xf numFmtId="0" fontId="27" fillId="0" borderId="13" xfId="0" applyFont="1" applyFill="1" applyBorder="1" applyAlignment="1">
      <alignment wrapText="1"/>
    </xf>
    <xf numFmtId="0" fontId="27" fillId="26" borderId="15" xfId="0" applyFont="1" applyFill="1" applyBorder="1" applyAlignment="1">
      <alignment wrapText="1"/>
    </xf>
    <xf numFmtId="0" fontId="28" fillId="0" borderId="13" xfId="0" applyFont="1" applyFill="1" applyBorder="1"/>
    <xf numFmtId="0" fontId="22" fillId="0" borderId="16" xfId="0" applyFont="1" applyFill="1" applyBorder="1" applyAlignment="1">
      <alignment wrapText="1"/>
    </xf>
    <xf numFmtId="0" fontId="10" fillId="0" borderId="0" xfId="0" applyFont="1" applyAlignment="1">
      <alignment horizontal="justify"/>
    </xf>
    <xf numFmtId="0" fontId="31" fillId="0" borderId="0" xfId="0" applyFont="1"/>
    <xf numFmtId="0" fontId="52" fillId="0" borderId="0" xfId="55" applyFont="1" applyFill="1" applyAlignment="1">
      <alignment horizontal="center" vertical="center" wrapText="1"/>
    </xf>
    <xf numFmtId="3" fontId="53" fillId="0" borderId="10" xfId="55" applyNumberFormat="1" applyFont="1" applyFill="1" applyBorder="1" applyAlignment="1">
      <alignment horizontal="center" vertical="center" wrapText="1"/>
    </xf>
    <xf numFmtId="0" fontId="54" fillId="0" borderId="10" xfId="55" applyFont="1" applyFill="1" applyBorder="1" applyAlignment="1">
      <alignment horizontal="right"/>
    </xf>
    <xf numFmtId="165" fontId="10" fillId="0" borderId="10" xfId="26" applyNumberFormat="1" applyFont="1" applyFill="1" applyBorder="1"/>
    <xf numFmtId="0" fontId="54" fillId="0" borderId="10" xfId="55" applyFont="1" applyFill="1" applyBorder="1" applyAlignment="1">
      <alignment horizontal="left" vertical="center" wrapText="1"/>
    </xf>
    <xf numFmtId="165" fontId="55" fillId="0" borderId="10" xfId="26" applyNumberFormat="1" applyFont="1" applyFill="1" applyBorder="1" applyAlignment="1">
      <alignment horizontal="left" vertical="center" wrapText="1"/>
    </xf>
    <xf numFmtId="3" fontId="55" fillId="0" borderId="10" xfId="55" applyNumberFormat="1" applyFont="1" applyFill="1" applyBorder="1" applyAlignment="1">
      <alignment horizontal="center" vertical="center" wrapText="1"/>
    </xf>
    <xf numFmtId="165" fontId="54" fillId="0" borderId="10" xfId="26" applyNumberFormat="1" applyFont="1" applyFill="1" applyBorder="1" applyAlignment="1">
      <alignment horizontal="center" vertical="center" wrapText="1"/>
    </xf>
    <xf numFmtId="0" fontId="56" fillId="0" borderId="0" xfId="55" applyFont="1" applyFill="1" applyAlignment="1">
      <alignment horizontal="center" vertical="center" wrapText="1"/>
    </xf>
    <xf numFmtId="0" fontId="54" fillId="0" borderId="10" xfId="55" applyNumberFormat="1" applyFont="1" applyFill="1" applyBorder="1" applyAlignment="1">
      <alignment horizontal="right" vertical="center" wrapText="1"/>
    </xf>
    <xf numFmtId="3" fontId="54" fillId="0" borderId="0" xfId="55" applyNumberFormat="1" applyFont="1" applyFill="1" applyAlignment="1">
      <alignment horizontal="right"/>
    </xf>
    <xf numFmtId="0" fontId="54" fillId="0" borderId="0" xfId="55" applyFont="1" applyFill="1"/>
    <xf numFmtId="165" fontId="55" fillId="0" borderId="0" xfId="26" applyNumberFormat="1" applyFont="1" applyFill="1"/>
    <xf numFmtId="3" fontId="56" fillId="0" borderId="0" xfId="55" applyNumberFormat="1" applyFont="1" applyFill="1"/>
    <xf numFmtId="0" fontId="56" fillId="0" borderId="0" xfId="55" applyFont="1" applyFill="1"/>
    <xf numFmtId="3" fontId="55" fillId="0" borderId="0" xfId="55" applyNumberFormat="1" applyFont="1" applyFill="1" applyBorder="1" applyAlignment="1">
      <alignment horizontal="center" vertical="center" wrapText="1"/>
    </xf>
    <xf numFmtId="3" fontId="56" fillId="0" borderId="0" xfId="55" applyNumberFormat="1" applyFont="1" applyFill="1" applyBorder="1"/>
    <xf numFmtId="165" fontId="54" fillId="0" borderId="0" xfId="26" applyNumberFormat="1" applyFont="1" applyFill="1"/>
    <xf numFmtId="165" fontId="3" fillId="0" borderId="10" xfId="26" applyNumberFormat="1" applyFont="1" applyBorder="1"/>
    <xf numFmtId="165" fontId="14" fillId="0" borderId="10" xfId="26" applyNumberFormat="1" applyFont="1" applyBorder="1"/>
    <xf numFmtId="165" fontId="14" fillId="27" borderId="10" xfId="26" applyNumberFormat="1" applyFont="1" applyFill="1" applyBorder="1"/>
    <xf numFmtId="165" fontId="3" fillId="27" borderId="10" xfId="26" applyNumberFormat="1" applyFont="1" applyFill="1" applyBorder="1"/>
    <xf numFmtId="165" fontId="11" fillId="0" borderId="10" xfId="26" applyNumberFormat="1" applyFont="1" applyBorder="1"/>
    <xf numFmtId="165" fontId="0" fillId="0" borderId="0" xfId="26" applyNumberFormat="1" applyFont="1"/>
    <xf numFmtId="165" fontId="23" fillId="0" borderId="10" xfId="26" applyNumberFormat="1" applyFont="1" applyBorder="1"/>
    <xf numFmtId="165" fontId="10" fillId="0" borderId="10" xfId="26" applyNumberFormat="1" applyFont="1" applyBorder="1" applyAlignment="1">
      <alignment horizontal="center" vertical="center" wrapText="1"/>
    </xf>
    <xf numFmtId="165" fontId="15" fillId="0" borderId="10" xfId="26" applyNumberFormat="1" applyFont="1" applyBorder="1" applyAlignment="1">
      <alignment horizontal="center" vertical="center" wrapText="1"/>
    </xf>
    <xf numFmtId="165" fontId="15" fillId="0" borderId="10" xfId="26" applyNumberFormat="1" applyFont="1" applyFill="1" applyBorder="1" applyAlignment="1">
      <alignment horizontal="center" vertical="center" wrapText="1"/>
    </xf>
    <xf numFmtId="165" fontId="3" fillId="0" borderId="0" xfId="26" applyNumberFormat="1" applyFont="1"/>
    <xf numFmtId="0" fontId="59" fillId="0" borderId="0" xfId="0" applyFont="1"/>
    <xf numFmtId="0" fontId="11" fillId="0" borderId="0" xfId="0" applyFont="1" applyFill="1" applyBorder="1" applyAlignment="1">
      <alignment horizontal="left" vertical="center" wrapText="1"/>
    </xf>
    <xf numFmtId="165" fontId="3" fillId="0" borderId="0" xfId="26" applyNumberFormat="1" applyFont="1" applyBorder="1"/>
    <xf numFmtId="165" fontId="3" fillId="0" borderId="10" xfId="0" applyNumberFormat="1" applyFont="1" applyBorder="1"/>
    <xf numFmtId="165" fontId="3" fillId="25" borderId="10" xfId="26" applyNumberFormat="1" applyFont="1" applyFill="1" applyBorder="1"/>
    <xf numFmtId="165" fontId="54" fillId="0" borderId="10" xfId="26" applyNumberFormat="1" applyFont="1" applyFill="1" applyBorder="1" applyAlignment="1">
      <alignment horizontal="left" vertical="center"/>
    </xf>
    <xf numFmtId="165" fontId="60" fillId="0" borderId="10" xfId="26" applyNumberFormat="1" applyFont="1" applyBorder="1" applyAlignment="1">
      <alignment horizontal="center" vertical="center" wrapText="1"/>
    </xf>
    <xf numFmtId="0" fontId="54" fillId="0" borderId="0" xfId="58" applyFont="1" applyFill="1" applyBorder="1" applyAlignment="1">
      <alignment horizontal="center" vertical="center" wrapText="1"/>
    </xf>
    <xf numFmtId="165" fontId="54" fillId="0" borderId="10" xfId="26" applyNumberFormat="1" applyFont="1" applyFill="1" applyBorder="1" applyAlignment="1">
      <alignment horizontal="center" vertical="center"/>
    </xf>
    <xf numFmtId="0" fontId="54" fillId="0" borderId="0" xfId="58" applyFont="1" applyFill="1" applyBorder="1"/>
    <xf numFmtId="165" fontId="54" fillId="0" borderId="10" xfId="26" applyNumberFormat="1" applyFont="1" applyFill="1" applyBorder="1" applyAlignment="1">
      <alignment horizontal="left" vertical="center" wrapText="1"/>
    </xf>
    <xf numFmtId="165" fontId="54" fillId="28" borderId="10" xfId="26" applyNumberFormat="1" applyFont="1" applyFill="1" applyBorder="1" applyAlignment="1">
      <alignment horizontal="left" vertical="center" wrapText="1"/>
    </xf>
    <xf numFmtId="165" fontId="54" fillId="28" borderId="10" xfId="26" applyNumberFormat="1" applyFont="1" applyFill="1" applyBorder="1" applyAlignment="1">
      <alignment horizontal="center" vertical="center" wrapText="1"/>
    </xf>
    <xf numFmtId="165" fontId="54" fillId="28" borderId="10" xfId="26" applyNumberFormat="1" applyFont="1" applyFill="1" applyBorder="1" applyAlignment="1">
      <alignment horizontal="center" vertical="center"/>
    </xf>
    <xf numFmtId="165" fontId="51" fillId="0" borderId="10" xfId="26" applyNumberFormat="1" applyFont="1" applyFill="1" applyBorder="1" applyAlignment="1">
      <alignment horizontal="left" vertical="center"/>
    </xf>
    <xf numFmtId="165" fontId="51" fillId="0" borderId="10" xfId="26" applyNumberFormat="1" applyFont="1" applyFill="1" applyBorder="1" applyAlignment="1">
      <alignment horizontal="center" vertical="center"/>
    </xf>
    <xf numFmtId="0" fontId="51" fillId="0" borderId="0" xfId="58" applyFont="1" applyFill="1" applyBorder="1"/>
    <xf numFmtId="0" fontId="54" fillId="0" borderId="0" xfId="58" applyFont="1" applyFill="1" applyBorder="1" applyAlignment="1">
      <alignment vertical="center"/>
    </xf>
    <xf numFmtId="3" fontId="54" fillId="0" borderId="0" xfId="58" applyNumberFormat="1" applyFont="1" applyFill="1" applyBorder="1" applyAlignment="1">
      <alignment horizontal="center" vertical="center"/>
    </xf>
    <xf numFmtId="0" fontId="60" fillId="0" borderId="10" xfId="58" applyFont="1" applyBorder="1" applyAlignment="1">
      <alignment horizontal="center" vertical="center" wrapText="1"/>
    </xf>
    <xf numFmtId="0" fontId="62" fillId="0" borderId="0" xfId="56" applyFont="1" applyBorder="1" applyAlignment="1">
      <alignment vertical="center"/>
    </xf>
    <xf numFmtId="0" fontId="63" fillId="0" borderId="10" xfId="56" applyFont="1" applyBorder="1" applyAlignment="1">
      <alignment horizontal="right"/>
    </xf>
    <xf numFmtId="0" fontId="64" fillId="0" borderId="10" xfId="56" applyFont="1" applyBorder="1" applyAlignment="1">
      <alignment horizontal="left" vertical="center" wrapText="1"/>
    </xf>
    <xf numFmtId="3" fontId="65" fillId="0" borderId="10" xfId="56" applyNumberFormat="1" applyFont="1" applyBorder="1" applyAlignment="1">
      <alignment horizontal="center" vertical="center" wrapText="1"/>
    </xf>
    <xf numFmtId="3" fontId="66" fillId="0" borderId="10" xfId="56" applyNumberFormat="1" applyFont="1" applyBorder="1" applyAlignment="1">
      <alignment horizontal="center" vertical="center"/>
    </xf>
    <xf numFmtId="0" fontId="66" fillId="0" borderId="10" xfId="56" applyFont="1" applyBorder="1" applyAlignment="1">
      <alignment vertical="center"/>
    </xf>
    <xf numFmtId="3" fontId="66" fillId="0" borderId="10" xfId="56" applyNumberFormat="1" applyFont="1" applyBorder="1" applyAlignment="1">
      <alignment vertical="center"/>
    </xf>
    <xf numFmtId="0" fontId="66" fillId="0" borderId="0" xfId="56" applyFont="1" applyBorder="1" applyAlignment="1">
      <alignment vertical="center"/>
    </xf>
    <xf numFmtId="0" fontId="62" fillId="0" borderId="0" xfId="56" applyFont="1" applyBorder="1" applyAlignment="1">
      <alignment horizontal="center" vertical="center"/>
    </xf>
    <xf numFmtId="165" fontId="3" fillId="0" borderId="10" xfId="26" applyNumberFormat="1" applyFont="1" applyFill="1" applyBorder="1"/>
    <xf numFmtId="165" fontId="11" fillId="0" borderId="10" xfId="26" applyNumberFormat="1" applyFont="1" applyFill="1" applyBorder="1"/>
    <xf numFmtId="165" fontId="23" fillId="0" borderId="10" xfId="26" applyNumberFormat="1" applyFont="1" applyFill="1" applyBorder="1"/>
    <xf numFmtId="165" fontId="14" fillId="0" borderId="10" xfId="0" applyNumberFormat="1" applyFont="1" applyBorder="1"/>
    <xf numFmtId="165" fontId="3" fillId="0" borderId="10" xfId="26" applyNumberFormat="1" applyFont="1" applyFill="1" applyBorder="1" applyAlignment="1"/>
    <xf numFmtId="165" fontId="3" fillId="0" borderId="10" xfId="26" applyNumberFormat="1" applyFont="1" applyFill="1" applyBorder="1" applyAlignment="1">
      <alignment vertical="center" wrapText="1"/>
    </xf>
    <xf numFmtId="165" fontId="12" fillId="0" borderId="10" xfId="26" applyNumberFormat="1" applyFont="1" applyBorder="1"/>
    <xf numFmtId="165" fontId="5" fillId="0" borderId="10" xfId="26" applyNumberFormat="1" applyFont="1" applyBorder="1"/>
    <xf numFmtId="0" fontId="60" fillId="0" borderId="10" xfId="0" applyFont="1" applyBorder="1"/>
    <xf numFmtId="0" fontId="60" fillId="0" borderId="10" xfId="0" applyFont="1" applyBorder="1" applyAlignment="1">
      <alignment horizontal="center" vertical="center" wrapText="1"/>
    </xf>
    <xf numFmtId="165" fontId="68" fillId="0" borderId="10" xfId="26" applyNumberFormat="1" applyFont="1" applyBorder="1"/>
    <xf numFmtId="0" fontId="67" fillId="0" borderId="10" xfId="0" applyFont="1" applyBorder="1" applyAlignment="1">
      <alignment horizontal="right"/>
    </xf>
    <xf numFmtId="0" fontId="68" fillId="0" borderId="10" xfId="0" applyFont="1" applyBorder="1" applyAlignment="1">
      <alignment horizontal="right"/>
    </xf>
    <xf numFmtId="0" fontId="17" fillId="0" borderId="10" xfId="56" applyFont="1" applyBorder="1" applyAlignment="1">
      <alignment horizontal="left" vertical="center" wrapText="1"/>
    </xf>
    <xf numFmtId="165" fontId="17" fillId="0" borderId="10" xfId="26" applyNumberFormat="1" applyFont="1" applyBorder="1" applyAlignment="1">
      <alignment horizontal="center" vertical="center" wrapText="1"/>
    </xf>
    <xf numFmtId="165" fontId="55" fillId="0" borderId="16" xfId="26" applyNumberFormat="1" applyFont="1" applyFill="1" applyBorder="1" applyAlignment="1">
      <alignment vertical="center"/>
    </xf>
    <xf numFmtId="0" fontId="56" fillId="0" borderId="10" xfId="55" applyFont="1" applyFill="1" applyBorder="1" applyAlignment="1">
      <alignment horizontal="center" vertical="center" wrapText="1"/>
    </xf>
    <xf numFmtId="165" fontId="55" fillId="0" borderId="10" xfId="26" applyNumberFormat="1" applyFont="1" applyFill="1" applyBorder="1"/>
    <xf numFmtId="3" fontId="56" fillId="0" borderId="10" xfId="55" applyNumberFormat="1" applyFont="1" applyFill="1" applyBorder="1"/>
    <xf numFmtId="0" fontId="0" fillId="0" borderId="0" xfId="0" applyFill="1"/>
    <xf numFmtId="165" fontId="3" fillId="26" borderId="10" xfId="26" applyNumberFormat="1" applyFont="1" applyFill="1" applyBorder="1"/>
    <xf numFmtId="165" fontId="0" fillId="0" borderId="10" xfId="26" applyNumberFormat="1" applyFont="1" applyBorder="1"/>
    <xf numFmtId="165" fontId="14" fillId="24" borderId="10" xfId="26" applyNumberFormat="1" applyFont="1" applyFill="1" applyBorder="1"/>
    <xf numFmtId="165" fontId="3" fillId="24" borderId="10" xfId="26" applyNumberFormat="1" applyFont="1" applyFill="1" applyBorder="1"/>
    <xf numFmtId="0" fontId="2" fillId="0" borderId="10" xfId="0" applyFont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53" fillId="0" borderId="10" xfId="55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 wrapText="1"/>
    </xf>
    <xf numFmtId="166" fontId="53" fillId="0" borderId="10" xfId="0" applyNumberFormat="1" applyFont="1" applyFill="1" applyBorder="1" applyAlignment="1">
      <alignment horizontal="center" vertical="center" wrapText="1"/>
    </xf>
    <xf numFmtId="165" fontId="53" fillId="0" borderId="10" xfId="26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0" xfId="0" applyFont="1" applyBorder="1" applyAlignment="1"/>
    <xf numFmtId="0" fontId="58" fillId="0" borderId="1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left" wrapText="1"/>
    </xf>
    <xf numFmtId="0" fontId="54" fillId="0" borderId="10" xfId="55" applyFont="1" applyFill="1" applyBorder="1" applyAlignment="1">
      <alignment horizontal="left" wrapText="1"/>
    </xf>
    <xf numFmtId="0" fontId="54" fillId="0" borderId="10" xfId="55" applyFont="1" applyFill="1" applyBorder="1" applyAlignment="1">
      <alignment wrapText="1"/>
    </xf>
    <xf numFmtId="0" fontId="12" fillId="0" borderId="10" xfId="0" applyFont="1" applyBorder="1" applyAlignment="1">
      <alignment wrapText="1"/>
    </xf>
    <xf numFmtId="0" fontId="3" fillId="0" borderId="10" xfId="59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165" fontId="20" fillId="0" borderId="10" xfId="26" applyNumberFormat="1" applyFont="1" applyBorder="1"/>
    <xf numFmtId="0" fontId="3" fillId="0" borderId="10" xfId="56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0" fontId="11" fillId="0" borderId="10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165" fontId="3" fillId="0" borderId="10" xfId="26" applyNumberFormat="1" applyFont="1" applyBorder="1" applyAlignment="1"/>
    <xf numFmtId="0" fontId="0" fillId="0" borderId="0" xfId="0" applyBorder="1"/>
    <xf numFmtId="0" fontId="21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165" fontId="51" fillId="0" borderId="10" xfId="26" applyNumberFormat="1" applyFont="1" applyFill="1" applyBorder="1" applyAlignment="1">
      <alignment horizontal="center" vertical="center" wrapText="1"/>
    </xf>
    <xf numFmtId="0" fontId="70" fillId="0" borderId="0" xfId="0" applyFont="1"/>
    <xf numFmtId="0" fontId="23" fillId="0" borderId="10" xfId="0" applyFont="1" applyBorder="1"/>
    <xf numFmtId="0" fontId="14" fillId="0" borderId="10" xfId="0" applyFont="1" applyBorder="1" applyAlignment="1">
      <alignment horizontal="justify"/>
    </xf>
    <xf numFmtId="0" fontId="3" fillId="0" borderId="10" xfId="0" applyFont="1" applyBorder="1" applyAlignment="1">
      <alignment horizontal="justify"/>
    </xf>
    <xf numFmtId="0" fontId="14" fillId="25" borderId="10" xfId="0" applyFont="1" applyFill="1" applyBorder="1" applyAlignment="1">
      <alignment horizontal="justify" wrapText="1"/>
    </xf>
    <xf numFmtId="0" fontId="14" fillId="0" borderId="10" xfId="0" applyFont="1" applyBorder="1" applyAlignment="1">
      <alignment horizontal="justify" wrapText="1"/>
    </xf>
    <xf numFmtId="0" fontId="14" fillId="25" borderId="10" xfId="0" applyFont="1" applyFill="1" applyBorder="1" applyAlignment="1">
      <alignment wrapText="1"/>
    </xf>
    <xf numFmtId="0" fontId="14" fillId="0" borderId="10" xfId="0" applyFont="1" applyBorder="1" applyAlignment="1">
      <alignment wrapText="1"/>
    </xf>
    <xf numFmtId="0" fontId="3" fillId="0" borderId="10" xfId="0" applyFont="1" applyFill="1" applyBorder="1" applyAlignment="1">
      <alignment horizontal="justify"/>
    </xf>
    <xf numFmtId="0" fontId="14" fillId="24" borderId="10" xfId="0" applyFont="1" applyFill="1" applyBorder="1" applyAlignment="1">
      <alignment wrapText="1"/>
    </xf>
    <xf numFmtId="0" fontId="3" fillId="25" borderId="10" xfId="0" applyFont="1" applyFill="1" applyBorder="1" applyAlignment="1">
      <alignment wrapText="1"/>
    </xf>
    <xf numFmtId="0" fontId="3" fillId="0" borderId="10" xfId="0" applyFont="1" applyBorder="1" applyAlignment="1">
      <alignment horizontal="left"/>
    </xf>
    <xf numFmtId="0" fontId="14" fillId="26" borderId="10" xfId="0" applyFont="1" applyFill="1" applyBorder="1" applyAlignment="1">
      <alignment wrapText="1"/>
    </xf>
    <xf numFmtId="0" fontId="3" fillId="0" borderId="10" xfId="0" applyFont="1" applyFill="1" applyBorder="1" applyAlignment="1">
      <alignment horizontal="left"/>
    </xf>
    <xf numFmtId="165" fontId="70" fillId="0" borderId="0" xfId="26" applyNumberFormat="1" applyFont="1"/>
    <xf numFmtId="165" fontId="14" fillId="0" borderId="10" xfId="26" applyNumberFormat="1" applyFont="1" applyBorder="1" applyAlignment="1">
      <alignment horizontal="center" wrapText="1"/>
    </xf>
    <xf numFmtId="165" fontId="70" fillId="0" borderId="10" xfId="26" applyNumberFormat="1" applyFont="1" applyBorder="1"/>
    <xf numFmtId="165" fontId="24" fillId="0" borderId="17" xfId="26" applyNumberFormat="1" applyFont="1" applyBorder="1" applyAlignment="1">
      <alignment horizontal="center" wrapText="1"/>
    </xf>
    <xf numFmtId="165" fontId="24" fillId="0" borderId="18" xfId="26" applyNumberFormat="1" applyFont="1" applyBorder="1" applyAlignment="1">
      <alignment horizontal="center" wrapText="1"/>
    </xf>
    <xf numFmtId="165" fontId="10" fillId="0" borderId="19" xfId="26" applyNumberFormat="1" applyFont="1" applyFill="1" applyBorder="1"/>
    <xf numFmtId="165" fontId="28" fillId="0" borderId="20" xfId="26" applyNumberFormat="1" applyFont="1" applyFill="1" applyBorder="1"/>
    <xf numFmtId="165" fontId="28" fillId="0" borderId="21" xfId="26" applyNumberFormat="1" applyFont="1" applyFill="1" applyBorder="1"/>
    <xf numFmtId="165" fontId="24" fillId="0" borderId="10" xfId="26" applyNumberFormat="1" applyFont="1" applyFill="1" applyBorder="1" applyAlignment="1">
      <alignment horizontal="right" wrapText="1"/>
    </xf>
    <xf numFmtId="165" fontId="24" fillId="0" borderId="19" xfId="26" applyNumberFormat="1" applyFont="1" applyFill="1" applyBorder="1" applyAlignment="1">
      <alignment horizontal="right" wrapText="1"/>
    </xf>
    <xf numFmtId="165" fontId="29" fillId="0" borderId="20" xfId="26" applyNumberFormat="1" applyFont="1" applyFill="1" applyBorder="1"/>
    <xf numFmtId="165" fontId="29" fillId="0" borderId="21" xfId="26" applyNumberFormat="1" applyFont="1" applyFill="1" applyBorder="1"/>
    <xf numFmtId="165" fontId="30" fillId="0" borderId="21" xfId="26" applyNumberFormat="1" applyFont="1" applyFill="1" applyBorder="1"/>
    <xf numFmtId="165" fontId="28" fillId="0" borderId="10" xfId="26" applyNumberFormat="1" applyFont="1" applyFill="1" applyBorder="1"/>
    <xf numFmtId="165" fontId="30" fillId="0" borderId="19" xfId="26" applyNumberFormat="1" applyFont="1" applyFill="1" applyBorder="1"/>
    <xf numFmtId="0" fontId="67" fillId="0" borderId="0" xfId="0" applyFont="1"/>
    <xf numFmtId="165" fontId="12" fillId="0" borderId="16" xfId="26" applyNumberFormat="1" applyFont="1" applyFill="1" applyBorder="1"/>
    <xf numFmtId="165" fontId="55" fillId="0" borderId="10" xfId="26" applyNumberFormat="1" applyFont="1" applyFill="1" applyBorder="1" applyAlignment="1">
      <alignment horizontal="left"/>
    </xf>
    <xf numFmtId="0" fontId="73" fillId="0" borderId="0" xfId="0" applyFont="1"/>
    <xf numFmtId="0" fontId="57" fillId="0" borderId="0" xfId="0" applyFont="1"/>
    <xf numFmtId="0" fontId="67" fillId="0" borderId="0" xfId="0" applyFont="1" applyFill="1"/>
    <xf numFmtId="3" fontId="54" fillId="0" borderId="0" xfId="55" applyNumberFormat="1" applyFont="1" applyFill="1" applyAlignment="1">
      <alignment horizontal="left"/>
    </xf>
    <xf numFmtId="0" fontId="2" fillId="0" borderId="13" xfId="0" applyFont="1" applyFill="1" applyBorder="1"/>
    <xf numFmtId="165" fontId="2" fillId="0" borderId="10" xfId="26" applyNumberFormat="1" applyFont="1" applyFill="1" applyBorder="1"/>
    <xf numFmtId="0" fontId="17" fillId="0" borderId="13" xfId="0" applyFont="1" applyFill="1" applyBorder="1" applyAlignment="1">
      <alignment wrapText="1"/>
    </xf>
    <xf numFmtId="49" fontId="10" fillId="0" borderId="0" xfId="0" applyNumberFormat="1" applyFont="1" applyAlignment="1">
      <alignment horizontal="left"/>
    </xf>
    <xf numFmtId="0" fontId="10" fillId="0" borderId="0" xfId="0" applyFont="1"/>
    <xf numFmtId="0" fontId="15" fillId="0" borderId="0" xfId="0" applyFont="1"/>
    <xf numFmtId="49" fontId="10" fillId="0" borderId="0" xfId="0" applyNumberFormat="1" applyFont="1" applyFill="1" applyAlignment="1">
      <alignment horizontal="left"/>
    </xf>
    <xf numFmtId="49" fontId="10" fillId="0" borderId="0" xfId="0" applyNumberFormat="1" applyFont="1" applyFill="1" applyAlignment="1">
      <alignment horizontal="left" vertical="top"/>
    </xf>
    <xf numFmtId="0" fontId="10" fillId="0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70" fillId="0" borderId="10" xfId="0" applyFont="1" applyFill="1" applyBorder="1" applyAlignment="1">
      <alignment horizontal="center" vertical="center" wrapText="1"/>
    </xf>
    <xf numFmtId="165" fontId="14" fillId="0" borderId="10" xfId="26" applyNumberFormat="1" applyFont="1" applyBorder="1" applyAlignment="1">
      <alignment horizontal="center"/>
    </xf>
    <xf numFmtId="0" fontId="23" fillId="0" borderId="10" xfId="0" applyFont="1" applyFill="1" applyBorder="1" applyAlignment="1">
      <alignment horizontal="center" wrapText="1"/>
    </xf>
    <xf numFmtId="2" fontId="11" fillId="0" borderId="10" xfId="0" applyNumberFormat="1" applyFont="1" applyFill="1" applyBorder="1" applyAlignment="1">
      <alignment horizontal="center" vertical="center" wrapText="1"/>
    </xf>
    <xf numFmtId="165" fontId="10" fillId="0" borderId="22" xfId="26" applyNumberFormat="1" applyFont="1" applyFill="1" applyBorder="1"/>
    <xf numFmtId="165" fontId="24" fillId="0" borderId="22" xfId="26" applyNumberFormat="1" applyFont="1" applyFill="1" applyBorder="1" applyAlignment="1">
      <alignment horizontal="right" wrapText="1"/>
    </xf>
    <xf numFmtId="165" fontId="29" fillId="0" borderId="23" xfId="26" applyNumberFormat="1" applyFont="1" applyFill="1" applyBorder="1"/>
    <xf numFmtId="165" fontId="2" fillId="0" borderId="22" xfId="26" applyNumberFormat="1" applyFont="1" applyFill="1" applyBorder="1"/>
    <xf numFmtId="165" fontId="28" fillId="0" borderId="22" xfId="26" applyNumberFormat="1" applyFont="1" applyFill="1" applyBorder="1"/>
    <xf numFmtId="0" fontId="61" fillId="0" borderId="10" xfId="56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wrapText="1"/>
    </xf>
    <xf numFmtId="0" fontId="57" fillId="0" borderId="10" xfId="0" applyFont="1" applyBorder="1" applyAlignment="1">
      <alignment horizontal="center" vertical="top" wrapText="1"/>
    </xf>
    <xf numFmtId="0" fontId="57" fillId="0" borderId="10" xfId="0" applyFont="1" applyBorder="1" applyAlignment="1">
      <alignment horizontal="left" vertical="top" wrapText="1"/>
    </xf>
    <xf numFmtId="165" fontId="1" fillId="0" borderId="10" xfId="26" applyNumberFormat="1" applyBorder="1"/>
    <xf numFmtId="0" fontId="77" fillId="0" borderId="0" xfId="0" applyFont="1"/>
    <xf numFmtId="0" fontId="66" fillId="0" borderId="0" xfId="0" applyFont="1" applyAlignment="1">
      <alignment horizontal="left"/>
    </xf>
    <xf numFmtId="0" fontId="55" fillId="0" borderId="24" xfId="0" applyFont="1" applyBorder="1" applyAlignment="1">
      <alignment horizontal="center" wrapText="1"/>
    </xf>
    <xf numFmtId="0" fontId="55" fillId="0" borderId="25" xfId="0" applyFont="1" applyBorder="1" applyAlignment="1">
      <alignment horizontal="center" wrapText="1"/>
    </xf>
    <xf numFmtId="0" fontId="55" fillId="0" borderId="26" xfId="0" applyFont="1" applyBorder="1" applyAlignment="1">
      <alignment horizontal="center" wrapText="1"/>
    </xf>
    <xf numFmtId="0" fontId="55" fillId="0" borderId="27" xfId="0" applyFont="1" applyBorder="1" applyAlignment="1">
      <alignment horizontal="center" wrapText="1"/>
    </xf>
    <xf numFmtId="0" fontId="55" fillId="0" borderId="28" xfId="0" applyFont="1" applyBorder="1" applyAlignment="1">
      <alignment horizontal="center" wrapText="1"/>
    </xf>
    <xf numFmtId="0" fontId="55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28" xfId="0" applyBorder="1" applyAlignment="1">
      <alignment wrapText="1"/>
    </xf>
    <xf numFmtId="0" fontId="57" fillId="0" borderId="10" xfId="0" applyFont="1" applyBorder="1" applyAlignment="1">
      <alignment horizontal="justify" wrapText="1"/>
    </xf>
    <xf numFmtId="165" fontId="57" fillId="0" borderId="10" xfId="26" applyNumberFormat="1" applyFont="1" applyBorder="1" applyAlignment="1">
      <alignment horizontal="justify" wrapText="1"/>
    </xf>
    <xf numFmtId="0" fontId="57" fillId="0" borderId="10" xfId="0" applyFont="1" applyBorder="1" applyAlignment="1">
      <alignment horizontal="left" wrapText="1" indent="1"/>
    </xf>
    <xf numFmtId="0" fontId="66" fillId="0" borderId="10" xfId="0" applyFont="1" applyBorder="1" applyAlignment="1">
      <alignment horizontal="justify" wrapText="1"/>
    </xf>
    <xf numFmtId="0" fontId="58" fillId="0" borderId="0" xfId="0" applyFont="1" applyBorder="1" applyAlignment="1">
      <alignment horizontal="right"/>
    </xf>
    <xf numFmtId="0" fontId="0" fillId="0" borderId="29" xfId="0" applyBorder="1" applyAlignment="1">
      <alignment wrapText="1"/>
    </xf>
    <xf numFmtId="0" fontId="0" fillId="0" borderId="16" xfId="0" applyBorder="1" applyAlignment="1">
      <alignment wrapText="1"/>
    </xf>
    <xf numFmtId="0" fontId="55" fillId="0" borderId="11" xfId="0" applyFont="1" applyBorder="1" applyAlignment="1">
      <alignment horizontal="center" wrapText="1"/>
    </xf>
    <xf numFmtId="0" fontId="0" fillId="0" borderId="11" xfId="0" applyBorder="1" applyAlignment="1">
      <alignment wrapText="1"/>
    </xf>
    <xf numFmtId="0" fontId="55" fillId="0" borderId="16" xfId="0" applyFont="1" applyBorder="1" applyAlignment="1">
      <alignment horizontal="center" wrapText="1"/>
    </xf>
    <xf numFmtId="0" fontId="12" fillId="0" borderId="10" xfId="0" applyFont="1" applyFill="1" applyBorder="1"/>
    <xf numFmtId="165" fontId="10" fillId="0" borderId="10" xfId="26" applyNumberFormat="1" applyFont="1" applyFill="1" applyBorder="1" applyAlignment="1">
      <alignment horizontal="center" vertical="center" wrapText="1"/>
    </xf>
    <xf numFmtId="165" fontId="70" fillId="0" borderId="0" xfId="26" applyNumberFormat="1" applyFont="1" applyFill="1"/>
    <xf numFmtId="165" fontId="3" fillId="0" borderId="0" xfId="26" applyNumberFormat="1" applyFont="1" applyFill="1"/>
    <xf numFmtId="165" fontId="14" fillId="0" borderId="10" xfId="26" applyNumberFormat="1" applyFont="1" applyFill="1" applyBorder="1" applyAlignment="1">
      <alignment horizontal="center" wrapText="1"/>
    </xf>
    <xf numFmtId="165" fontId="14" fillId="0" borderId="10" xfId="26" applyNumberFormat="1" applyFont="1" applyFill="1" applyBorder="1" applyAlignment="1">
      <alignment horizontal="center"/>
    </xf>
    <xf numFmtId="165" fontId="70" fillId="0" borderId="10" xfId="26" applyNumberFormat="1" applyFont="1" applyFill="1" applyBorder="1"/>
    <xf numFmtId="0" fontId="70" fillId="0" borderId="0" xfId="0" applyFont="1" applyFill="1"/>
    <xf numFmtId="165" fontId="70" fillId="0" borderId="0" xfId="26" applyNumberFormat="1" applyFont="1" applyFill="1" applyBorder="1"/>
    <xf numFmtId="0" fontId="59" fillId="0" borderId="0" xfId="0" applyFont="1" applyFill="1"/>
    <xf numFmtId="165" fontId="0" fillId="0" borderId="0" xfId="26" applyNumberFormat="1" applyFont="1" applyFill="1"/>
    <xf numFmtId="165" fontId="53" fillId="0" borderId="10" xfId="26" applyNumberFormat="1" applyFont="1" applyBorder="1" applyAlignment="1">
      <alignment vertical="center"/>
    </xf>
    <xf numFmtId="49" fontId="3" fillId="0" borderId="10" xfId="0" applyNumberFormat="1" applyFont="1" applyBorder="1"/>
    <xf numFmtId="0" fontId="76" fillId="0" borderId="10" xfId="0" applyFont="1" applyBorder="1" applyAlignment="1">
      <alignment horizontal="center" wrapText="1"/>
    </xf>
    <xf numFmtId="0" fontId="9" fillId="0" borderId="0" xfId="60" applyFont="1" applyAlignment="1">
      <alignment horizontal="right" wrapText="1"/>
    </xf>
    <xf numFmtId="0" fontId="9" fillId="0" borderId="0" xfId="60" applyFont="1" applyAlignment="1">
      <alignment horizontal="right"/>
    </xf>
    <xf numFmtId="0" fontId="32" fillId="0" borderId="0" xfId="60"/>
    <xf numFmtId="0" fontId="9" fillId="0" borderId="0" xfId="60" applyFont="1"/>
    <xf numFmtId="0" fontId="79" fillId="0" borderId="0" xfId="60" applyFont="1" applyAlignment="1">
      <alignment horizontal="center" wrapText="1"/>
    </xf>
    <xf numFmtId="0" fontId="32" fillId="0" borderId="0" xfId="60" applyAlignment="1">
      <alignment horizontal="center" wrapText="1"/>
    </xf>
    <xf numFmtId="0" fontId="80" fillId="0" borderId="10" xfId="60" applyFont="1" applyBorder="1" applyAlignment="1">
      <alignment wrapText="1"/>
    </xf>
    <xf numFmtId="0" fontId="10" fillId="0" borderId="10" xfId="46" applyFont="1" applyBorder="1" applyAlignment="1">
      <alignment horizontal="left" vertical="top" wrapText="1"/>
    </xf>
    <xf numFmtId="0" fontId="15" fillId="29" borderId="10" xfId="46" applyFont="1" applyFill="1" applyBorder="1" applyAlignment="1">
      <alignment horizontal="left" vertical="top" wrapText="1"/>
    </xf>
    <xf numFmtId="0" fontId="10" fillId="0" borderId="10" xfId="46" applyFont="1" applyFill="1" applyBorder="1" applyAlignment="1">
      <alignment horizontal="left" vertical="top" wrapText="1"/>
    </xf>
    <xf numFmtId="0" fontId="32" fillId="0" borderId="0" xfId="60" applyFill="1"/>
    <xf numFmtId="0" fontId="79" fillId="0" borderId="0" xfId="60" applyFont="1" applyAlignment="1">
      <alignment wrapText="1"/>
    </xf>
    <xf numFmtId="0" fontId="32" fillId="0" borderId="0" xfId="60" applyAlignment="1">
      <alignment wrapText="1"/>
    </xf>
    <xf numFmtId="0" fontId="10" fillId="0" borderId="10" xfId="60" applyFont="1" applyBorder="1" applyAlignment="1">
      <alignment horizontal="left" vertical="top" wrapText="1"/>
    </xf>
    <xf numFmtId="0" fontId="15" fillId="29" borderId="10" xfId="60" applyFont="1" applyFill="1" applyBorder="1" applyAlignment="1">
      <alignment horizontal="left" vertical="top" wrapText="1"/>
    </xf>
    <xf numFmtId="0" fontId="32" fillId="0" borderId="0" xfId="60" applyAlignment="1"/>
    <xf numFmtId="0" fontId="32" fillId="0" borderId="0" xfId="60" applyAlignment="1">
      <alignment horizontal="center"/>
    </xf>
    <xf numFmtId="0" fontId="12" fillId="0" borderId="10" xfId="60" applyFont="1" applyBorder="1"/>
    <xf numFmtId="0" fontId="14" fillId="0" borderId="10" xfId="60" applyFont="1" applyBorder="1" applyAlignment="1">
      <alignment wrapText="1"/>
    </xf>
    <xf numFmtId="0" fontId="11" fillId="29" borderId="10" xfId="60" applyFont="1" applyFill="1" applyBorder="1" applyAlignment="1">
      <alignment horizontal="left" wrapText="1"/>
    </xf>
    <xf numFmtId="0" fontId="3" fillId="0" borderId="10" xfId="60" applyFont="1" applyFill="1" applyBorder="1"/>
    <xf numFmtId="0" fontId="3" fillId="0" borderId="10" xfId="60" applyFont="1" applyBorder="1"/>
    <xf numFmtId="0" fontId="21" fillId="0" borderId="10" xfId="60" applyFont="1" applyBorder="1" applyAlignment="1">
      <alignment wrapText="1"/>
    </xf>
    <xf numFmtId="0" fontId="10" fillId="0" borderId="10" xfId="60" applyFont="1" applyBorder="1"/>
    <xf numFmtId="0" fontId="10" fillId="0" borderId="10" xfId="60" applyFont="1" applyBorder="1" applyAlignment="1">
      <alignment wrapText="1"/>
    </xf>
    <xf numFmtId="0" fontId="84" fillId="0" borderId="0" xfId="0" applyFont="1" applyAlignment="1"/>
    <xf numFmtId="0" fontId="21" fillId="29" borderId="10" xfId="60" applyFont="1" applyFill="1" applyBorder="1" applyAlignment="1">
      <alignment wrapText="1"/>
    </xf>
    <xf numFmtId="0" fontId="10" fillId="29" borderId="10" xfId="60" applyFont="1" applyFill="1" applyBorder="1"/>
    <xf numFmtId="0" fontId="2" fillId="0" borderId="0" xfId="60" applyFont="1" applyBorder="1" applyAlignment="1">
      <alignment wrapText="1"/>
    </xf>
    <xf numFmtId="0" fontId="3" fillId="0" borderId="0" xfId="60" applyFont="1"/>
    <xf numFmtId="0" fontId="2" fillId="0" borderId="0" xfId="60" applyFont="1" applyAlignment="1">
      <alignment horizontal="justify" wrapText="1"/>
    </xf>
    <xf numFmtId="0" fontId="3" fillId="0" borderId="0" xfId="60" applyFont="1" applyAlignment="1">
      <alignment wrapText="1"/>
    </xf>
    <xf numFmtId="0" fontId="14" fillId="0" borderId="10" xfId="60" applyFont="1" applyBorder="1" applyAlignment="1">
      <alignment horizontal="right"/>
    </xf>
    <xf numFmtId="0" fontId="2" fillId="0" borderId="0" xfId="60" applyFont="1" applyBorder="1" applyAlignment="1"/>
    <xf numFmtId="0" fontId="3" fillId="0" borderId="0" xfId="60" applyFont="1" applyBorder="1" applyAlignment="1"/>
    <xf numFmtId="0" fontId="3" fillId="0" borderId="0" xfId="60" applyFont="1" applyBorder="1"/>
    <xf numFmtId="0" fontId="2" fillId="0" borderId="0" xfId="60" applyFont="1"/>
    <xf numFmtId="0" fontId="15" fillId="0" borderId="10" xfId="60" applyFont="1" applyBorder="1" applyAlignment="1">
      <alignment wrapText="1"/>
    </xf>
    <xf numFmtId="0" fontId="14" fillId="0" borderId="10" xfId="60" applyFont="1" applyBorder="1" applyAlignment="1">
      <alignment horizontal="center" wrapText="1"/>
    </xf>
    <xf numFmtId="0" fontId="14" fillId="29" borderId="10" xfId="60" applyFont="1" applyFill="1" applyBorder="1"/>
    <xf numFmtId="0" fontId="11" fillId="29" borderId="10" xfId="60" applyFont="1" applyFill="1" applyBorder="1"/>
    <xf numFmtId="0" fontId="3" fillId="29" borderId="10" xfId="60" applyFont="1" applyFill="1" applyBorder="1"/>
    <xf numFmtId="0" fontId="14" fillId="0" borderId="10" xfId="60" applyFont="1" applyBorder="1" applyAlignment="1">
      <alignment horizontal="left" vertical="top" wrapText="1"/>
    </xf>
    <xf numFmtId="0" fontId="80" fillId="0" borderId="10" xfId="60" applyFont="1" applyBorder="1"/>
    <xf numFmtId="0" fontId="3" fillId="0" borderId="10" xfId="60" applyFont="1" applyBorder="1" applyAlignment="1">
      <alignment horizontal="left" vertical="top" wrapText="1"/>
    </xf>
    <xf numFmtId="0" fontId="9" fillId="0" borderId="10" xfId="60" applyFont="1" applyBorder="1"/>
    <xf numFmtId="0" fontId="14" fillId="29" borderId="10" xfId="60" applyFont="1" applyFill="1" applyBorder="1" applyAlignment="1">
      <alignment horizontal="left" vertical="top" wrapText="1"/>
    </xf>
    <xf numFmtId="0" fontId="80" fillId="29" borderId="10" xfId="60" applyFont="1" applyFill="1" applyBorder="1"/>
    <xf numFmtId="0" fontId="80" fillId="0" borderId="10" xfId="60" applyFont="1" applyBorder="1" applyAlignment="1">
      <alignment horizontal="center"/>
    </xf>
    <xf numFmtId="0" fontId="14" fillId="30" borderId="10" xfId="60" applyFont="1" applyFill="1" applyBorder="1" applyAlignment="1">
      <alignment horizontal="left" vertical="top" wrapText="1"/>
    </xf>
    <xf numFmtId="0" fontId="15" fillId="0" borderId="10" xfId="60" applyFont="1" applyBorder="1" applyAlignment="1">
      <alignment horizontal="left" vertical="top" wrapText="1"/>
    </xf>
    <xf numFmtId="0" fontId="10" fillId="0" borderId="10" xfId="60" applyFont="1" applyFill="1" applyBorder="1" applyAlignment="1">
      <alignment horizontal="left" vertical="top" wrapText="1"/>
    </xf>
    <xf numFmtId="0" fontId="10" fillId="28" borderId="10" xfId="60" applyFont="1" applyFill="1" applyBorder="1" applyAlignment="1">
      <alignment horizontal="left" vertical="top" wrapText="1"/>
    </xf>
    <xf numFmtId="0" fontId="32" fillId="0" borderId="10" xfId="60" applyBorder="1"/>
    <xf numFmtId="165" fontId="73" fillId="0" borderId="0" xfId="26" applyNumberFormat="1" applyFont="1"/>
    <xf numFmtId="165" fontId="57" fillId="0" borderId="0" xfId="26" applyNumberFormat="1" applyFont="1"/>
    <xf numFmtId="165" fontId="2" fillId="0" borderId="10" xfId="26" applyNumberFormat="1" applyFont="1" applyBorder="1" applyAlignment="1">
      <alignment horizontal="justify"/>
    </xf>
    <xf numFmtId="165" fontId="2" fillId="0" borderId="10" xfId="26" applyNumberFormat="1" applyFont="1" applyFill="1" applyBorder="1" applyAlignment="1">
      <alignment horizontal="justify"/>
    </xf>
    <xf numFmtId="165" fontId="2" fillId="0" borderId="10" xfId="26" applyNumberFormat="1" applyFont="1" applyBorder="1"/>
    <xf numFmtId="165" fontId="5" fillId="24" borderId="10" xfId="26" applyNumberFormat="1" applyFont="1" applyFill="1" applyBorder="1" applyAlignment="1">
      <alignment wrapText="1"/>
    </xf>
    <xf numFmtId="165" fontId="2" fillId="25" borderId="10" xfId="26" applyNumberFormat="1" applyFont="1" applyFill="1" applyBorder="1" applyAlignment="1">
      <alignment wrapText="1"/>
    </xf>
    <xf numFmtId="165" fontId="2" fillId="0" borderId="10" xfId="26" applyNumberFormat="1" applyFont="1" applyBorder="1" applyAlignment="1">
      <alignment horizontal="left"/>
    </xf>
    <xf numFmtId="165" fontId="5" fillId="27" borderId="10" xfId="26" applyNumberFormat="1" applyFont="1" applyFill="1" applyBorder="1"/>
    <xf numFmtId="165" fontId="5" fillId="26" borderId="10" xfId="26" applyNumberFormat="1" applyFont="1" applyFill="1" applyBorder="1" applyAlignment="1">
      <alignment wrapText="1"/>
    </xf>
    <xf numFmtId="165" fontId="5" fillId="25" borderId="10" xfId="26" applyNumberFormat="1" applyFont="1" applyFill="1" applyBorder="1" applyAlignment="1">
      <alignment wrapText="1"/>
    </xf>
    <xf numFmtId="165" fontId="2" fillId="0" borderId="10" xfId="26" applyNumberFormat="1" applyFont="1" applyFill="1" applyBorder="1" applyAlignment="1">
      <alignment horizontal="left"/>
    </xf>
    <xf numFmtId="165" fontId="2" fillId="0" borderId="10" xfId="26" applyNumberFormat="1" applyFont="1" applyFill="1" applyBorder="1" applyAlignment="1">
      <alignment wrapText="1"/>
    </xf>
    <xf numFmtId="165" fontId="2" fillId="0" borderId="0" xfId="26" applyNumberFormat="1" applyFont="1"/>
    <xf numFmtId="0" fontId="27" fillId="0" borderId="0" xfId="60" applyFont="1" applyAlignment="1">
      <alignment horizontal="left" wrapText="1"/>
    </xf>
    <xf numFmtId="0" fontId="81" fillId="0" borderId="0" xfId="60" applyFont="1" applyAlignment="1">
      <alignment horizontal="left" wrapText="1"/>
    </xf>
    <xf numFmtId="0" fontId="32" fillId="0" borderId="0" xfId="60" applyFont="1"/>
    <xf numFmtId="165" fontId="10" fillId="0" borderId="10" xfId="26" applyNumberFormat="1" applyFont="1" applyBorder="1" applyAlignment="1">
      <alignment horizontal="right" vertical="top" wrapText="1"/>
    </xf>
    <xf numFmtId="165" fontId="15" fillId="29" borderId="10" xfId="26" applyNumberFormat="1" applyFont="1" applyFill="1" applyBorder="1" applyAlignment="1">
      <alignment horizontal="right" vertical="top" wrapText="1"/>
    </xf>
    <xf numFmtId="165" fontId="10" fillId="0" borderId="10" xfId="26" applyNumberFormat="1" applyFont="1" applyBorder="1" applyAlignment="1">
      <alignment horizontal="center" vertical="top" wrapText="1"/>
    </xf>
    <xf numFmtId="165" fontId="10" fillId="0" borderId="10" xfId="26" applyNumberFormat="1" applyFont="1" applyBorder="1" applyAlignment="1">
      <alignment horizontal="center" vertical="center"/>
    </xf>
    <xf numFmtId="165" fontId="9" fillId="0" borderId="10" xfId="26" applyNumberFormat="1" applyFont="1" applyBorder="1" applyAlignment="1">
      <alignment horizontal="center" vertical="center"/>
    </xf>
    <xf numFmtId="165" fontId="15" fillId="0" borderId="10" xfId="26" applyNumberFormat="1" applyFont="1" applyBorder="1" applyAlignment="1">
      <alignment horizontal="center" vertical="center"/>
    </xf>
    <xf numFmtId="165" fontId="80" fillId="0" borderId="10" xfId="26" applyNumberFormat="1" applyFont="1" applyBorder="1" applyAlignment="1">
      <alignment horizontal="center" vertical="center"/>
    </xf>
    <xf numFmtId="165" fontId="15" fillId="29" borderId="10" xfId="26" applyNumberFormat="1" applyFont="1" applyFill="1" applyBorder="1" applyAlignment="1">
      <alignment horizontal="center" vertical="center"/>
    </xf>
    <xf numFmtId="165" fontId="80" fillId="29" borderId="10" xfId="26" applyNumberFormat="1" applyFont="1" applyFill="1" applyBorder="1" applyAlignment="1">
      <alignment horizontal="center" vertical="center"/>
    </xf>
    <xf numFmtId="0" fontId="32" fillId="0" borderId="0" xfId="60" applyAlignment="1">
      <alignment horizontal="center" vertical="center"/>
    </xf>
    <xf numFmtId="0" fontId="9" fillId="0" borderId="0" xfId="60" applyFont="1" applyAlignment="1"/>
    <xf numFmtId="0" fontId="3" fillId="0" borderId="0" xfId="60" applyFont="1" applyAlignment="1"/>
    <xf numFmtId="165" fontId="3" fillId="0" borderId="10" xfId="26" applyNumberFormat="1" applyFont="1" applyBorder="1" applyAlignment="1">
      <alignment horizontal="center"/>
    </xf>
    <xf numFmtId="165" fontId="32" fillId="0" borderId="10" xfId="26" applyNumberFormat="1" applyFont="1" applyBorder="1" applyAlignment="1">
      <alignment horizontal="center"/>
    </xf>
    <xf numFmtId="0" fontId="82" fillId="0" borderId="10" xfId="0" applyFont="1" applyFill="1" applyBorder="1"/>
    <xf numFmtId="165" fontId="3" fillId="29" borderId="10" xfId="60" applyNumberFormat="1" applyFont="1" applyFill="1" applyBorder="1"/>
    <xf numFmtId="165" fontId="10" fillId="0" borderId="10" xfId="26" applyNumberFormat="1" applyFont="1" applyBorder="1"/>
    <xf numFmtId="165" fontId="32" fillId="0" borderId="10" xfId="60" applyNumberFormat="1" applyBorder="1"/>
    <xf numFmtId="0" fontId="83" fillId="0" borderId="0" xfId="0" applyFont="1"/>
    <xf numFmtId="0" fontId="84" fillId="0" borderId="0" xfId="0" applyFont="1"/>
    <xf numFmtId="165" fontId="9" fillId="0" borderId="0" xfId="26" applyNumberFormat="1" applyFont="1" applyAlignment="1">
      <alignment horizontal="right" wrapText="1"/>
    </xf>
    <xf numFmtId="165" fontId="9" fillId="0" borderId="0" xfId="26" applyNumberFormat="1" applyFont="1" applyAlignment="1"/>
    <xf numFmtId="165" fontId="32" fillId="0" borderId="0" xfId="26" applyNumberFormat="1" applyFont="1" applyAlignment="1">
      <alignment horizontal="center" wrapText="1"/>
    </xf>
    <xf numFmtId="165" fontId="10" fillId="0" borderId="10" xfId="26" applyNumberFormat="1" applyFont="1" applyFill="1" applyBorder="1" applyAlignment="1">
      <alignment horizontal="right" vertical="top" wrapText="1"/>
    </xf>
    <xf numFmtId="165" fontId="32" fillId="0" borderId="0" xfId="26" applyNumberFormat="1" applyFont="1" applyFill="1"/>
    <xf numFmtId="165" fontId="32" fillId="0" borderId="0" xfId="26" applyNumberFormat="1" applyFont="1"/>
    <xf numFmtId="0" fontId="76" fillId="0" borderId="10" xfId="0" applyFont="1" applyBorder="1" applyAlignment="1">
      <alignment wrapText="1"/>
    </xf>
    <xf numFmtId="0" fontId="67" fillId="0" borderId="10" xfId="0" applyFont="1" applyBorder="1" applyAlignment="1">
      <alignment wrapText="1"/>
    </xf>
    <xf numFmtId="165" fontId="0" fillId="0" borderId="0" xfId="0" applyNumberFormat="1"/>
    <xf numFmtId="165" fontId="24" fillId="0" borderId="30" xfId="26" applyNumberFormat="1" applyFont="1" applyBorder="1" applyAlignment="1">
      <alignment horizontal="center" wrapText="1"/>
    </xf>
    <xf numFmtId="165" fontId="67" fillId="0" borderId="10" xfId="26" applyNumberFormat="1" applyFont="1" applyBorder="1" applyAlignment="1">
      <alignment wrapText="1"/>
    </xf>
    <xf numFmtId="165" fontId="67" fillId="0" borderId="10" xfId="26" applyNumberFormat="1" applyFont="1" applyFill="1" applyBorder="1" applyAlignment="1">
      <alignment wrapText="1"/>
    </xf>
    <xf numFmtId="0" fontId="9" fillId="0" borderId="0" xfId="60" applyFont="1" applyFill="1"/>
    <xf numFmtId="0" fontId="32" fillId="26" borderId="10" xfId="60" applyFill="1" applyBorder="1"/>
    <xf numFmtId="165" fontId="80" fillId="0" borderId="10" xfId="26" applyNumberFormat="1" applyFont="1" applyBorder="1" applyAlignment="1">
      <alignment horizontal="center"/>
    </xf>
    <xf numFmtId="165" fontId="32" fillId="26" borderId="10" xfId="26" applyNumberFormat="1" applyFont="1" applyFill="1" applyBorder="1"/>
    <xf numFmtId="165" fontId="32" fillId="0" borderId="10" xfId="26" applyNumberFormat="1" applyFont="1" applyBorder="1"/>
    <xf numFmtId="165" fontId="32" fillId="30" borderId="10" xfId="26" applyNumberFormat="1" applyFont="1" applyFill="1" applyBorder="1"/>
    <xf numFmtId="165" fontId="32" fillId="0" borderId="0" xfId="26" applyNumberFormat="1" applyFont="1" applyAlignment="1"/>
    <xf numFmtId="165" fontId="3" fillId="0" borderId="10" xfId="26" applyNumberFormat="1" applyFont="1" applyBorder="1" applyAlignment="1">
      <alignment horizontal="right" vertical="top" wrapText="1"/>
    </xf>
    <xf numFmtId="165" fontId="14" fillId="0" borderId="10" xfId="26" applyNumberFormat="1" applyFont="1" applyBorder="1" applyAlignment="1">
      <alignment horizontal="right" vertical="top" wrapText="1"/>
    </xf>
    <xf numFmtId="165" fontId="14" fillId="30" borderId="10" xfId="26" applyNumberFormat="1" applyFont="1" applyFill="1" applyBorder="1" applyAlignment="1">
      <alignment horizontal="right" vertical="top" wrapText="1"/>
    </xf>
    <xf numFmtId="165" fontId="32" fillId="30" borderId="10" xfId="60" applyNumberFormat="1" applyFill="1" applyBorder="1"/>
    <xf numFmtId="165" fontId="32" fillId="0" borderId="0" xfId="26" applyNumberFormat="1" applyFont="1" applyAlignment="1">
      <alignment horizontal="center"/>
    </xf>
    <xf numFmtId="165" fontId="14" fillId="0" borderId="10" xfId="26" applyNumberFormat="1" applyFont="1" applyBorder="1" applyAlignment="1">
      <alignment wrapText="1"/>
    </xf>
    <xf numFmtId="165" fontId="9" fillId="0" borderId="10" xfId="26" applyNumberFormat="1" applyFont="1" applyBorder="1"/>
    <xf numFmtId="165" fontId="15" fillId="0" borderId="10" xfId="26" applyNumberFormat="1" applyFont="1" applyBorder="1" applyAlignment="1">
      <alignment horizontal="right" vertical="top" wrapText="1"/>
    </xf>
    <xf numFmtId="165" fontId="9" fillId="29" borderId="10" xfId="26" applyNumberFormat="1" applyFont="1" applyFill="1" applyBorder="1"/>
    <xf numFmtId="165" fontId="9" fillId="26" borderId="10" xfId="26" applyNumberFormat="1" applyFont="1" applyFill="1" applyBorder="1"/>
    <xf numFmtId="0" fontId="12" fillId="26" borderId="10" xfId="60" applyFont="1" applyFill="1" applyBorder="1"/>
    <xf numFmtId="165" fontId="10" fillId="26" borderId="10" xfId="26" applyNumberFormat="1" applyFont="1" applyFill="1" applyBorder="1" applyAlignment="1">
      <alignment horizontal="center" vertical="center" wrapText="1"/>
    </xf>
    <xf numFmtId="165" fontId="14" fillId="26" borderId="10" xfId="26" applyNumberFormat="1" applyFont="1" applyFill="1" applyBorder="1" applyAlignment="1">
      <alignment horizontal="center" wrapText="1"/>
    </xf>
    <xf numFmtId="0" fontId="9" fillId="0" borderId="10" xfId="60" applyFont="1" applyBorder="1" applyAlignment="1">
      <alignment horizontal="center"/>
    </xf>
    <xf numFmtId="165" fontId="9" fillId="29" borderId="10" xfId="26" applyNumberFormat="1" applyFont="1" applyFill="1" applyBorder="1" applyAlignment="1">
      <alignment horizontal="center"/>
    </xf>
    <xf numFmtId="165" fontId="9" fillId="0" borderId="10" xfId="26" applyNumberFormat="1" applyFont="1" applyBorder="1" applyAlignment="1">
      <alignment horizontal="center"/>
    </xf>
    <xf numFmtId="165" fontId="80" fillId="29" borderId="10" xfId="26" applyNumberFormat="1" applyFont="1" applyFill="1" applyBorder="1"/>
    <xf numFmtId="165" fontId="80" fillId="29" borderId="10" xfId="26" applyNumberFormat="1" applyFont="1" applyFill="1" applyBorder="1" applyAlignment="1">
      <alignment horizontal="center"/>
    </xf>
    <xf numFmtId="165" fontId="9" fillId="0" borderId="0" xfId="26" applyNumberFormat="1" applyFont="1"/>
    <xf numFmtId="165" fontId="9" fillId="0" borderId="0" xfId="26" applyNumberFormat="1" applyFont="1" applyAlignment="1">
      <alignment horizontal="center"/>
    </xf>
    <xf numFmtId="165" fontId="57" fillId="0" borderId="10" xfId="26" applyNumberFormat="1" applyFont="1" applyBorder="1" applyAlignment="1">
      <alignment horizontal="justify" vertical="top" wrapText="1"/>
    </xf>
    <xf numFmtId="0" fontId="85" fillId="0" borderId="0" xfId="0" applyFont="1"/>
    <xf numFmtId="0" fontId="84" fillId="0" borderId="0" xfId="0" applyFont="1" applyFill="1"/>
    <xf numFmtId="0" fontId="86" fillId="0" borderId="0" xfId="0" applyFont="1" applyFill="1"/>
    <xf numFmtId="0" fontId="86" fillId="0" borderId="0" xfId="0" applyFont="1"/>
    <xf numFmtId="0" fontId="87" fillId="0" borderId="0" xfId="58" applyFont="1" applyFill="1" applyBorder="1" applyAlignment="1">
      <alignment vertical="center"/>
    </xf>
    <xf numFmtId="0" fontId="88" fillId="0" borderId="0" xfId="56" applyFont="1" applyBorder="1" applyAlignment="1">
      <alignment vertical="center"/>
    </xf>
    <xf numFmtId="0" fontId="3" fillId="0" borderId="0" xfId="60" applyFont="1" applyFill="1" applyAlignment="1"/>
    <xf numFmtId="0" fontId="3" fillId="0" borderId="0" xfId="0" applyFont="1" applyFill="1"/>
    <xf numFmtId="0" fontId="17" fillId="0" borderId="0" xfId="60" applyFont="1" applyAlignment="1">
      <alignment horizontal="left" wrapText="1"/>
    </xf>
    <xf numFmtId="0" fontId="3" fillId="0" borderId="27" xfId="0" applyFont="1" applyFill="1" applyBorder="1" applyAlignment="1">
      <alignment horizontal="justify"/>
    </xf>
    <xf numFmtId="0" fontId="3" fillId="0" borderId="0" xfId="58" applyFont="1" applyFill="1" applyBorder="1" applyAlignment="1">
      <alignment vertical="center"/>
    </xf>
    <xf numFmtId="0" fontId="3" fillId="0" borderId="0" xfId="56" applyFont="1" applyBorder="1" applyAlignment="1">
      <alignment vertical="center"/>
    </xf>
    <xf numFmtId="165" fontId="10" fillId="0" borderId="25" xfId="26" applyNumberFormat="1" applyFont="1" applyFill="1" applyBorder="1"/>
    <xf numFmtId="165" fontId="10" fillId="0" borderId="24" xfId="26" applyNumberFormat="1" applyFont="1" applyFill="1" applyBorder="1"/>
    <xf numFmtId="165" fontId="10" fillId="0" borderId="31" xfId="26" applyNumberFormat="1" applyFont="1" applyFill="1" applyBorder="1"/>
    <xf numFmtId="0" fontId="10" fillId="0" borderId="32" xfId="0" applyFont="1" applyBorder="1"/>
    <xf numFmtId="165" fontId="10" fillId="26" borderId="10" xfId="26" applyNumberFormat="1" applyFont="1" applyFill="1" applyBorder="1"/>
    <xf numFmtId="0" fontId="21" fillId="26" borderId="10" xfId="60" applyFont="1" applyFill="1" applyBorder="1" applyAlignment="1">
      <alignment wrapText="1"/>
    </xf>
    <xf numFmtId="3" fontId="53" fillId="0" borderId="10" xfId="55" applyNumberFormat="1" applyFont="1" applyFill="1" applyBorder="1" applyAlignment="1">
      <alignment horizontal="center" vertical="center" wrapText="1"/>
    </xf>
    <xf numFmtId="0" fontId="70" fillId="0" borderId="10" xfId="0" applyFont="1" applyFill="1" applyBorder="1" applyAlignment="1">
      <alignment horizontal="center" vertical="center" wrapText="1"/>
    </xf>
    <xf numFmtId="0" fontId="53" fillId="0" borderId="10" xfId="55" applyFont="1" applyFill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center" vertical="center" wrapText="1"/>
    </xf>
    <xf numFmtId="0" fontId="51" fillId="0" borderId="10" xfId="55" applyFont="1" applyFill="1" applyBorder="1" applyAlignment="1">
      <alignment horizontal="center" vertical="center" wrapText="1"/>
    </xf>
    <xf numFmtId="49" fontId="54" fillId="0" borderId="16" xfId="55" applyNumberFormat="1" applyFont="1" applyFill="1" applyBorder="1" applyAlignment="1">
      <alignment horizontal="center" vertical="center"/>
    </xf>
    <xf numFmtId="0" fontId="57" fillId="0" borderId="16" xfId="55" applyFont="1" applyFill="1" applyBorder="1" applyAlignment="1">
      <alignment vertical="center"/>
    </xf>
    <xf numFmtId="165" fontId="51" fillId="0" borderId="10" xfId="26" applyNumberFormat="1" applyFont="1" applyFill="1" applyBorder="1" applyAlignment="1">
      <alignment horizontal="center" vertical="center" wrapText="1"/>
    </xf>
    <xf numFmtId="165" fontId="51" fillId="0" borderId="22" xfId="26" applyNumberFormat="1" applyFont="1" applyFill="1" applyBorder="1" applyAlignment="1">
      <alignment horizontal="center" vertical="center" wrapText="1"/>
    </xf>
    <xf numFmtId="0" fontId="70" fillId="0" borderId="33" xfId="0" applyFont="1" applyFill="1" applyBorder="1" applyAlignment="1">
      <alignment horizontal="center" vertical="center" wrapText="1"/>
    </xf>
    <xf numFmtId="0" fontId="70" fillId="0" borderId="34" xfId="0" applyFont="1" applyFill="1" applyBorder="1" applyAlignment="1">
      <alignment horizontal="center" vertical="center" wrapText="1"/>
    </xf>
    <xf numFmtId="2" fontId="52" fillId="0" borderId="22" xfId="55" applyNumberFormat="1" applyFont="1" applyFill="1" applyBorder="1" applyAlignment="1">
      <alignment horizontal="center" vertical="center" wrapText="1"/>
    </xf>
    <xf numFmtId="2" fontId="52" fillId="0" borderId="33" xfId="55" applyNumberFormat="1" applyFont="1" applyFill="1" applyBorder="1" applyAlignment="1">
      <alignment horizontal="center" vertical="center" wrapText="1"/>
    </xf>
    <xf numFmtId="2" fontId="40" fillId="0" borderId="33" xfId="55" applyNumberFormat="1" applyFont="1" applyFill="1" applyBorder="1" applyAlignment="1">
      <alignment horizontal="center" vertical="center" wrapText="1"/>
    </xf>
    <xf numFmtId="165" fontId="14" fillId="0" borderId="10" xfId="26" applyNumberFormat="1" applyFont="1" applyFill="1" applyBorder="1" applyAlignment="1">
      <alignment horizontal="center"/>
    </xf>
    <xf numFmtId="165" fontId="14" fillId="0" borderId="10" xfId="26" applyNumberFormat="1" applyFont="1" applyBorder="1" applyAlignment="1">
      <alignment horizontal="center"/>
    </xf>
    <xf numFmtId="165" fontId="14" fillId="0" borderId="22" xfId="26" applyNumberFormat="1" applyFont="1" applyBorder="1" applyAlignment="1">
      <alignment horizontal="center" vertical="center"/>
    </xf>
    <xf numFmtId="165" fontId="14" fillId="0" borderId="33" xfId="26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5" fontId="14" fillId="0" borderId="22" xfId="26" applyNumberFormat="1" applyFont="1" applyFill="1" applyBorder="1" applyAlignment="1">
      <alignment horizontal="center"/>
    </xf>
    <xf numFmtId="165" fontId="14" fillId="0" borderId="33" xfId="26" applyNumberFormat="1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71" fillId="0" borderId="0" xfId="0" applyFont="1" applyAlignment="1">
      <alignment wrapText="1"/>
    </xf>
    <xf numFmtId="0" fontId="72" fillId="0" borderId="0" xfId="0" applyFont="1" applyAlignment="1">
      <alignment wrapText="1"/>
    </xf>
    <xf numFmtId="0" fontId="12" fillId="0" borderId="22" xfId="60" applyFont="1" applyBorder="1" applyAlignment="1">
      <alignment horizontal="left"/>
    </xf>
    <xf numFmtId="0" fontId="12" fillId="0" borderId="34" xfId="60" applyFont="1" applyBorder="1" applyAlignment="1">
      <alignment horizontal="left"/>
    </xf>
    <xf numFmtId="0" fontId="2" fillId="0" borderId="10" xfId="60" applyFont="1" applyBorder="1" applyAlignment="1"/>
    <xf numFmtId="0" fontId="3" fillId="0" borderId="10" xfId="60" applyFont="1" applyBorder="1" applyAlignment="1"/>
    <xf numFmtId="0" fontId="3" fillId="0" borderId="33" xfId="0" applyFont="1" applyFill="1" applyBorder="1" applyAlignment="1"/>
    <xf numFmtId="0" fontId="83" fillId="0" borderId="27" xfId="0" applyFont="1" applyFill="1" applyBorder="1" applyAlignment="1">
      <alignment horizontal="justify"/>
    </xf>
    <xf numFmtId="0" fontId="84" fillId="0" borderId="0" xfId="0" applyFont="1" applyAlignment="1"/>
    <xf numFmtId="0" fontId="10" fillId="0" borderId="27" xfId="0" applyFont="1" applyFill="1" applyBorder="1" applyAlignment="1"/>
    <xf numFmtId="0" fontId="3" fillId="0" borderId="0" xfId="0" applyFont="1" applyFill="1" applyBorder="1" applyAlignment="1"/>
    <xf numFmtId="0" fontId="3" fillId="0" borderId="35" xfId="0" applyFont="1" applyFill="1" applyBorder="1" applyAlignment="1"/>
    <xf numFmtId="0" fontId="28" fillId="0" borderId="27" xfId="0" applyFont="1" applyFill="1" applyBorder="1" applyAlignment="1"/>
    <xf numFmtId="0" fontId="3" fillId="0" borderId="0" xfId="0" applyFont="1" applyBorder="1" applyAlignment="1"/>
    <xf numFmtId="0" fontId="3" fillId="0" borderId="35" xfId="0" applyFont="1" applyBorder="1" applyAlignment="1"/>
    <xf numFmtId="0" fontId="76" fillId="0" borderId="10" xfId="0" applyFont="1" applyBorder="1" applyAlignment="1">
      <alignment horizontal="center" wrapText="1"/>
    </xf>
    <xf numFmtId="0" fontId="67" fillId="0" borderId="10" xfId="0" applyFont="1" applyBorder="1" applyAlignment="1">
      <alignment horizontal="right" wrapText="1"/>
    </xf>
    <xf numFmtId="0" fontId="14" fillId="0" borderId="10" xfId="6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15" fillId="0" borderId="10" xfId="26" applyNumberFormat="1" applyFont="1" applyBorder="1" applyAlignment="1">
      <alignment horizontal="center" vertical="center" wrapText="1"/>
    </xf>
    <xf numFmtId="0" fontId="14" fillId="26" borderId="22" xfId="60" applyFont="1" applyFill="1" applyBorder="1" applyAlignment="1">
      <alignment horizontal="left" vertical="top" wrapText="1"/>
    </xf>
    <xf numFmtId="0" fontId="9" fillId="26" borderId="33" xfId="60" applyFont="1" applyFill="1" applyBorder="1" applyAlignment="1"/>
    <xf numFmtId="0" fontId="9" fillId="26" borderId="34" xfId="60" applyFont="1" applyFill="1" applyBorder="1" applyAlignment="1"/>
    <xf numFmtId="165" fontId="15" fillId="0" borderId="22" xfId="26" applyNumberFormat="1" applyFont="1" applyFill="1" applyBorder="1" applyAlignment="1">
      <alignment horizontal="center" vertical="center" wrapText="1"/>
    </xf>
    <xf numFmtId="165" fontId="15" fillId="0" borderId="34" xfId="26" applyNumberFormat="1" applyFont="1" applyFill="1" applyBorder="1" applyAlignment="1">
      <alignment horizontal="center" vertical="center" wrapText="1"/>
    </xf>
    <xf numFmtId="165" fontId="57" fillId="0" borderId="25" xfId="26" applyNumberFormat="1" applyFont="1" applyBorder="1" applyAlignment="1">
      <alignment horizontal="center" wrapText="1"/>
    </xf>
    <xf numFmtId="165" fontId="57" fillId="0" borderId="28" xfId="26" applyNumberFormat="1" applyFont="1" applyBorder="1" applyAlignment="1">
      <alignment horizontal="center" wrapText="1"/>
    </xf>
    <xf numFmtId="165" fontId="57" fillId="0" borderId="16" xfId="26" applyNumberFormat="1" applyFont="1" applyBorder="1" applyAlignment="1">
      <alignment horizontal="center" wrapText="1"/>
    </xf>
    <xf numFmtId="0" fontId="55" fillId="0" borderId="10" xfId="0" applyFont="1" applyBorder="1" applyAlignment="1">
      <alignment horizontal="center" wrapText="1"/>
    </xf>
    <xf numFmtId="0" fontId="55" fillId="0" borderId="24" xfId="0" applyFont="1" applyBorder="1" applyAlignment="1">
      <alignment horizontal="center" wrapText="1"/>
    </xf>
    <xf numFmtId="0" fontId="55" fillId="0" borderId="27" xfId="0" applyFont="1" applyBorder="1" applyAlignment="1">
      <alignment horizontal="center" wrapText="1"/>
    </xf>
    <xf numFmtId="165" fontId="57" fillId="0" borderId="10" xfId="26" applyNumberFormat="1" applyFont="1" applyBorder="1" applyAlignment="1">
      <alignment horizontal="justify" wrapText="1"/>
    </xf>
    <xf numFmtId="165" fontId="57" fillId="0" borderId="10" xfId="26" applyNumberFormat="1" applyFont="1" applyBorder="1" applyAlignment="1">
      <alignment horizontal="justify" vertical="top" wrapText="1"/>
    </xf>
    <xf numFmtId="0" fontId="56" fillId="0" borderId="10" xfId="0" applyFont="1" applyBorder="1" applyAlignment="1">
      <alignment horizontal="center" wrapText="1"/>
    </xf>
    <xf numFmtId="0" fontId="57" fillId="0" borderId="10" xfId="0" applyFont="1" applyBorder="1" applyAlignment="1">
      <alignment horizontal="center" vertical="top" wrapText="1"/>
    </xf>
  </cellXfs>
  <cellStyles count="6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 builtinId="29" customBuiltin="1"/>
    <cellStyle name="Jelölőszín (2)" xfId="32" builtinId="33" customBuiltin="1"/>
    <cellStyle name="Jelölőszín (3)" xfId="33" builtinId="37" customBuiltin="1"/>
    <cellStyle name="Jelölőszín (4)" xfId="34" builtinId="41" customBuiltin="1"/>
    <cellStyle name="Jelölőszín (5)" xfId="35" builtinId="45" customBuiltin="1"/>
    <cellStyle name="Jelölőszín (6)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 10" xfId="40"/>
    <cellStyle name="Normál 11" xfId="41"/>
    <cellStyle name="Normál 12" xfId="42"/>
    <cellStyle name="Normál 13" xfId="43"/>
    <cellStyle name="Normál 2" xfId="44"/>
    <cellStyle name="Normál 3" xfId="45"/>
    <cellStyle name="Normál 3_ZÁRSZÁMADÁSI RENDELET MINTA 2013 (2)" xfId="46"/>
    <cellStyle name="Normál 4" xfId="47"/>
    <cellStyle name="Normál 5" xfId="48"/>
    <cellStyle name="Normál 6" xfId="49"/>
    <cellStyle name="Normál 7" xfId="50"/>
    <cellStyle name="Normál 8" xfId="51"/>
    <cellStyle name="Normál 9" xfId="52"/>
    <cellStyle name="Normál_70ûrlap" xfId="53"/>
    <cellStyle name="Normál_97ûrlap" xfId="54"/>
    <cellStyle name="Normál_ELŐZETES TERVEK 2013" xfId="55"/>
    <cellStyle name="Normál_ELŐZETES TERVEK 2013 javított" xfId="56"/>
    <cellStyle name="Normál_Munka1" xfId="57"/>
    <cellStyle name="Normál_terv2005" xfId="58"/>
    <cellStyle name="Normál_terv2006" xfId="59"/>
    <cellStyle name="Normál_ZÁRSZÁMADÁSI RENDELET MINTA 2013 (2)" xfId="60"/>
    <cellStyle name="Összesen" xfId="61" builtinId="25" customBuiltin="1"/>
    <cellStyle name="Rossz" xfId="62" builtinId="27" customBuiltin="1"/>
    <cellStyle name="Semleges" xfId="63" builtinId="28" customBuiltin="1"/>
    <cellStyle name="Számítás" xfId="64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zoomScale="80" zoomScaleNormal="100" zoomScaleSheetLayoutView="100" workbookViewId="0">
      <selection activeCell="B11" sqref="B11"/>
    </sheetView>
  </sheetViews>
  <sheetFormatPr defaultRowHeight="15"/>
  <cols>
    <col min="1" max="1" width="3.85546875" style="224" bestFit="1" customWidth="1"/>
    <col min="2" max="2" width="160.5703125" style="219" customWidth="1"/>
    <col min="3" max="16384" width="9.140625" style="219"/>
  </cols>
  <sheetData>
    <row r="1" spans="1:10">
      <c r="A1" s="218"/>
    </row>
    <row r="2" spans="1:10">
      <c r="A2" s="218"/>
      <c r="B2" s="220" t="s">
        <v>4</v>
      </c>
    </row>
    <row r="3" spans="1:10">
      <c r="A3" s="218"/>
    </row>
    <row r="4" spans="1:10">
      <c r="A4" s="218"/>
    </row>
    <row r="5" spans="1:10" ht="15.75">
      <c r="A5" s="221" t="s">
        <v>5</v>
      </c>
      <c r="B5" s="2" t="s">
        <v>217</v>
      </c>
    </row>
    <row r="6" spans="1:10" ht="15.75">
      <c r="A6" s="221" t="s">
        <v>6</v>
      </c>
      <c r="B6" s="2" t="s">
        <v>218</v>
      </c>
    </row>
    <row r="7" spans="1:10" ht="15.75">
      <c r="A7" s="221" t="s">
        <v>7</v>
      </c>
      <c r="B7" s="411" t="s">
        <v>219</v>
      </c>
    </row>
    <row r="8" spans="1:10" ht="15.75">
      <c r="A8" s="221" t="s">
        <v>8</v>
      </c>
      <c r="B8" s="411" t="s">
        <v>220</v>
      </c>
    </row>
    <row r="9" spans="1:10" ht="15.75">
      <c r="A9" s="221" t="s">
        <v>9</v>
      </c>
      <c r="B9" s="2" t="s">
        <v>221</v>
      </c>
    </row>
    <row r="10" spans="1:10" ht="15.75">
      <c r="A10" s="221" t="s">
        <v>10</v>
      </c>
      <c r="B10" s="411" t="s">
        <v>222</v>
      </c>
    </row>
    <row r="11" spans="1:10" ht="15.75">
      <c r="A11" s="221" t="s">
        <v>11</v>
      </c>
      <c r="B11" s="2" t="s">
        <v>223</v>
      </c>
    </row>
    <row r="12" spans="1:10" ht="15.75">
      <c r="A12" s="221" t="s">
        <v>12</v>
      </c>
      <c r="B12" s="2" t="s">
        <v>224</v>
      </c>
    </row>
    <row r="13" spans="1:10" ht="15.75">
      <c r="A13" s="221" t="s">
        <v>13</v>
      </c>
      <c r="B13" s="412" t="s">
        <v>473</v>
      </c>
    </row>
    <row r="14" spans="1:10" ht="15.75">
      <c r="A14" s="221" t="s">
        <v>14</v>
      </c>
      <c r="B14" s="412" t="s">
        <v>214</v>
      </c>
    </row>
    <row r="15" spans="1:10" ht="15.75">
      <c r="A15" s="221" t="s">
        <v>15</v>
      </c>
      <c r="B15" s="412" t="s">
        <v>216</v>
      </c>
    </row>
    <row r="16" spans="1:10" ht="15.75">
      <c r="A16" s="221" t="s">
        <v>16</v>
      </c>
      <c r="B16" s="413" t="s">
        <v>231</v>
      </c>
      <c r="C16" s="298"/>
      <c r="D16" s="298"/>
      <c r="E16" s="298"/>
      <c r="F16" s="298"/>
      <c r="G16" s="298"/>
      <c r="H16" s="298"/>
      <c r="I16" s="298"/>
      <c r="J16" s="298"/>
    </row>
    <row r="17" spans="1:2" ht="15.75">
      <c r="A17" s="221" t="s">
        <v>17</v>
      </c>
      <c r="B17" s="2" t="s">
        <v>232</v>
      </c>
    </row>
    <row r="18" spans="1:2" ht="15.75">
      <c r="A18" s="221" t="s">
        <v>18</v>
      </c>
      <c r="B18" s="2" t="s">
        <v>233</v>
      </c>
    </row>
    <row r="19" spans="1:2" ht="15.75">
      <c r="A19" s="221" t="s">
        <v>19</v>
      </c>
      <c r="B19" s="2" t="s">
        <v>234</v>
      </c>
    </row>
    <row r="20" spans="1:2" ht="15.75">
      <c r="A20" s="221" t="s">
        <v>20</v>
      </c>
      <c r="B20" s="411" t="s">
        <v>235</v>
      </c>
    </row>
    <row r="21" spans="1:2" ht="15.75">
      <c r="A21" s="222" t="s">
        <v>21</v>
      </c>
      <c r="B21" s="2" t="s">
        <v>236</v>
      </c>
    </row>
    <row r="22" spans="1:2" ht="15.75">
      <c r="A22" s="221" t="s">
        <v>22</v>
      </c>
      <c r="B22" s="2" t="s">
        <v>237</v>
      </c>
    </row>
    <row r="23" spans="1:2" ht="15.75">
      <c r="A23" s="221" t="s">
        <v>23</v>
      </c>
      <c r="B23" s="2" t="s">
        <v>238</v>
      </c>
    </row>
    <row r="24" spans="1:2" ht="15.75">
      <c r="A24" s="221" t="s">
        <v>24</v>
      </c>
      <c r="B24" s="2" t="s">
        <v>474</v>
      </c>
    </row>
    <row r="25" spans="1:2" ht="15.75">
      <c r="A25" s="223">
        <v>21</v>
      </c>
      <c r="B25" s="2" t="s">
        <v>241</v>
      </c>
    </row>
    <row r="26" spans="1:2" ht="15.75">
      <c r="A26" s="223">
        <v>22</v>
      </c>
      <c r="B26" s="2" t="s">
        <v>243</v>
      </c>
    </row>
    <row r="27" spans="1:2" ht="15.75">
      <c r="A27" s="223">
        <v>23</v>
      </c>
      <c r="B27" s="2" t="s">
        <v>244</v>
      </c>
    </row>
    <row r="28" spans="1:2" ht="15.75">
      <c r="A28" s="221" t="s">
        <v>251</v>
      </c>
      <c r="B28" s="2" t="s">
        <v>258</v>
      </c>
    </row>
    <row r="29" spans="1:2" ht="15.75">
      <c r="A29" s="221" t="s">
        <v>252</v>
      </c>
      <c r="B29" s="2" t="s">
        <v>247</v>
      </c>
    </row>
    <row r="30" spans="1:2" ht="15.75">
      <c r="A30" s="221" t="s">
        <v>253</v>
      </c>
      <c r="B30" s="2" t="s">
        <v>246</v>
      </c>
    </row>
    <row r="31" spans="1:2" ht="15.75">
      <c r="A31" s="221" t="s">
        <v>254</v>
      </c>
      <c r="B31" s="2" t="s">
        <v>259</v>
      </c>
    </row>
    <row r="32" spans="1:2" ht="15.75">
      <c r="A32" s="221" t="s">
        <v>255</v>
      </c>
      <c r="B32" s="2" t="s">
        <v>260</v>
      </c>
    </row>
    <row r="33" spans="1:2">
      <c r="A33" s="221" t="s">
        <v>256</v>
      </c>
      <c r="B33" s="414" t="s">
        <v>249</v>
      </c>
    </row>
    <row r="34" spans="1:2">
      <c r="A34" s="221" t="s">
        <v>257</v>
      </c>
      <c r="B34" s="415" t="s">
        <v>250</v>
      </c>
    </row>
    <row r="35" spans="1:2">
      <c r="A35" s="221"/>
    </row>
    <row r="36" spans="1:2">
      <c r="A36" s="221"/>
    </row>
    <row r="37" spans="1:2">
      <c r="A37" s="221"/>
    </row>
    <row r="38" spans="1:2">
      <c r="A38" s="221"/>
    </row>
    <row r="39" spans="1:2">
      <c r="A39" s="221"/>
    </row>
    <row r="40" spans="1:2">
      <c r="A40" s="221"/>
    </row>
    <row r="41" spans="1:2">
      <c r="A41" s="221"/>
    </row>
    <row r="42" spans="1:2">
      <c r="A42" s="221"/>
    </row>
  </sheetData>
  <phoneticPr fontId="7" type="noConversion"/>
  <printOptions horizontalCentered="1"/>
  <pageMargins left="0.19685039370078741" right="0.15748031496062992" top="0.31496062992125984" bottom="0.55118110236220474" header="0.15748031496062992" footer="0.27559055118110237"/>
  <pageSetup paperSize="9" scale="8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F22"/>
  <sheetViews>
    <sheetView workbookViewId="0">
      <selection activeCell="A3" sqref="A3"/>
    </sheetView>
  </sheetViews>
  <sheetFormatPr defaultRowHeight="15"/>
  <cols>
    <col min="1" max="1" width="52" style="275" customWidth="1"/>
    <col min="2" max="2" width="16" style="275" customWidth="1"/>
    <col min="3" max="3" width="18.28515625" style="275" customWidth="1"/>
    <col min="4" max="4" width="17.28515625" style="275" customWidth="1"/>
    <col min="5" max="5" width="17.5703125" style="275" customWidth="1"/>
    <col min="6" max="6" width="18.7109375" style="275" customWidth="1"/>
    <col min="7" max="16384" width="9.140625" style="275"/>
  </cols>
  <sheetData>
    <row r="1" spans="1:6" ht="15" customHeight="1">
      <c r="A1" s="342" t="s">
        <v>539</v>
      </c>
      <c r="B1" s="273"/>
      <c r="C1" s="273"/>
      <c r="D1" s="273"/>
      <c r="E1" s="273"/>
      <c r="F1" s="273"/>
    </row>
    <row r="2" spans="1:6">
      <c r="A2" s="342" t="s">
        <v>473</v>
      </c>
      <c r="B2" s="285"/>
      <c r="C2" s="285"/>
      <c r="D2" s="285"/>
      <c r="E2" s="285"/>
      <c r="F2" s="285"/>
    </row>
    <row r="3" spans="1:6">
      <c r="A3" s="341"/>
      <c r="B3" s="278"/>
      <c r="C3" s="278"/>
      <c r="D3" s="278"/>
      <c r="E3" s="278"/>
      <c r="F3" s="285"/>
    </row>
    <row r="4" spans="1:6" ht="27.75" customHeight="1">
      <c r="B4" s="285"/>
      <c r="C4" s="285"/>
      <c r="D4" s="285"/>
      <c r="E4" s="285"/>
      <c r="F4" s="285"/>
    </row>
    <row r="6" spans="1:6">
      <c r="F6" s="343"/>
    </row>
    <row r="7" spans="1:6" ht="45">
      <c r="A7" s="290" t="s">
        <v>629</v>
      </c>
      <c r="B7" s="260" t="s">
        <v>540</v>
      </c>
      <c r="C7" s="97" t="s">
        <v>534</v>
      </c>
      <c r="D7" s="97" t="s">
        <v>806</v>
      </c>
      <c r="E7" s="97" t="s">
        <v>541</v>
      </c>
      <c r="F7" s="291" t="s">
        <v>630</v>
      </c>
    </row>
    <row r="8" spans="1:6">
      <c r="A8" s="315" t="s">
        <v>312</v>
      </c>
      <c r="B8" s="316"/>
      <c r="C8" s="316"/>
      <c r="D8" s="316"/>
      <c r="E8" s="316"/>
      <c r="F8" s="316"/>
    </row>
    <row r="9" spans="1:6" ht="45">
      <c r="A9" s="317" t="s">
        <v>313</v>
      </c>
      <c r="B9" s="347">
        <v>58</v>
      </c>
      <c r="C9" s="348">
        <v>97</v>
      </c>
      <c r="D9" s="348">
        <v>101</v>
      </c>
      <c r="E9" s="348">
        <v>59094</v>
      </c>
      <c r="F9" s="348">
        <f t="shared" ref="F9:F21" si="0">SUM(B9:E9)</f>
        <v>59350</v>
      </c>
    </row>
    <row r="10" spans="1:6">
      <c r="A10" s="317" t="s">
        <v>314</v>
      </c>
      <c r="B10" s="347"/>
      <c r="C10" s="348"/>
      <c r="D10" s="348"/>
      <c r="E10" s="348"/>
      <c r="F10" s="348">
        <f t="shared" si="0"/>
        <v>0</v>
      </c>
    </row>
    <row r="11" spans="1:6">
      <c r="A11" s="317" t="s">
        <v>315</v>
      </c>
      <c r="B11" s="347">
        <v>17</v>
      </c>
      <c r="C11" s="348">
        <v>23</v>
      </c>
      <c r="D11" s="348">
        <v>10</v>
      </c>
      <c r="E11" s="348">
        <v>602</v>
      </c>
      <c r="F11" s="348">
        <f t="shared" si="0"/>
        <v>652</v>
      </c>
    </row>
    <row r="12" spans="1:6">
      <c r="A12" s="317" t="s">
        <v>316</v>
      </c>
      <c r="B12" s="347"/>
      <c r="C12" s="348"/>
      <c r="D12" s="348"/>
      <c r="E12" s="348"/>
      <c r="F12" s="348">
        <f t="shared" si="0"/>
        <v>0</v>
      </c>
    </row>
    <row r="13" spans="1:6">
      <c r="A13" s="315" t="s">
        <v>317</v>
      </c>
      <c r="B13" s="349">
        <f>B12+B11+B10+B9</f>
        <v>75</v>
      </c>
      <c r="C13" s="349">
        <f>C12+C11+C10+C9</f>
        <v>120</v>
      </c>
      <c r="D13" s="349">
        <f>D12+D11+D10+D9</f>
        <v>111</v>
      </c>
      <c r="E13" s="349">
        <f>E12+E11+E10+E9</f>
        <v>59696</v>
      </c>
      <c r="F13" s="350">
        <f t="shared" si="0"/>
        <v>60002</v>
      </c>
    </row>
    <row r="14" spans="1:6">
      <c r="A14" s="315" t="s">
        <v>318</v>
      </c>
      <c r="B14" s="349">
        <v>53088</v>
      </c>
      <c r="C14" s="350">
        <v>24994</v>
      </c>
      <c r="D14" s="350">
        <v>57351</v>
      </c>
      <c r="E14" s="350">
        <v>500620</v>
      </c>
      <c r="F14" s="350">
        <f t="shared" si="0"/>
        <v>636053</v>
      </c>
    </row>
    <row r="15" spans="1:6">
      <c r="A15" s="315" t="s">
        <v>319</v>
      </c>
      <c r="B15" s="349">
        <v>52882</v>
      </c>
      <c r="C15" s="350">
        <v>24921</v>
      </c>
      <c r="D15" s="350">
        <v>57212</v>
      </c>
      <c r="E15" s="350">
        <v>457195</v>
      </c>
      <c r="F15" s="350">
        <f t="shared" si="0"/>
        <v>592210</v>
      </c>
    </row>
    <row r="16" spans="1:6">
      <c r="A16" s="315" t="s">
        <v>320</v>
      </c>
      <c r="B16" s="350">
        <f>B13+B14-B15</f>
        <v>281</v>
      </c>
      <c r="C16" s="350">
        <f>C13+C14-C15</f>
        <v>193</v>
      </c>
      <c r="D16" s="350">
        <f>D13+D14-D15</f>
        <v>250</v>
      </c>
      <c r="E16" s="350">
        <f>E13+E14-E15</f>
        <v>103121</v>
      </c>
      <c r="F16" s="350">
        <f t="shared" si="0"/>
        <v>103845</v>
      </c>
    </row>
    <row r="17" spans="1:6" ht="45">
      <c r="A17" s="317" t="s">
        <v>313</v>
      </c>
      <c r="B17" s="347">
        <v>250</v>
      </c>
      <c r="C17" s="348">
        <v>169</v>
      </c>
      <c r="D17" s="348">
        <v>135</v>
      </c>
      <c r="E17" s="348">
        <v>103092</v>
      </c>
      <c r="F17" s="348">
        <f t="shared" si="0"/>
        <v>103646</v>
      </c>
    </row>
    <row r="18" spans="1:6">
      <c r="A18" s="317" t="s">
        <v>314</v>
      </c>
      <c r="B18" s="347"/>
      <c r="C18" s="348"/>
      <c r="D18" s="348"/>
      <c r="E18" s="348"/>
      <c r="F18" s="348">
        <f t="shared" si="0"/>
        <v>0</v>
      </c>
    </row>
    <row r="19" spans="1:6">
      <c r="A19" s="317" t="s">
        <v>315</v>
      </c>
      <c r="B19" s="347">
        <v>31</v>
      </c>
      <c r="C19" s="348">
        <v>24</v>
      </c>
      <c r="D19" s="348">
        <v>115</v>
      </c>
      <c r="E19" s="348">
        <v>29</v>
      </c>
      <c r="F19" s="348">
        <f t="shared" si="0"/>
        <v>199</v>
      </c>
    </row>
    <row r="20" spans="1:6">
      <c r="A20" s="317" t="s">
        <v>316</v>
      </c>
      <c r="B20" s="347"/>
      <c r="C20" s="348"/>
      <c r="D20" s="348"/>
      <c r="E20" s="348"/>
      <c r="F20" s="348">
        <f t="shared" si="0"/>
        <v>0</v>
      </c>
    </row>
    <row r="21" spans="1:6">
      <c r="A21" s="319" t="s">
        <v>321</v>
      </c>
      <c r="B21" s="351">
        <f>B19+B17</f>
        <v>281</v>
      </c>
      <c r="C21" s="351">
        <f>C19+C17</f>
        <v>193</v>
      </c>
      <c r="D21" s="351">
        <f>D19+D17</f>
        <v>250</v>
      </c>
      <c r="E21" s="351">
        <f>E19+E17</f>
        <v>103121</v>
      </c>
      <c r="F21" s="352">
        <f t="shared" si="0"/>
        <v>103845</v>
      </c>
    </row>
    <row r="22" spans="1:6">
      <c r="B22" s="353"/>
      <c r="C22" s="353"/>
      <c r="D22" s="353"/>
      <c r="E22" s="353"/>
      <c r="F22" s="353"/>
    </row>
  </sheetData>
  <phoneticPr fontId="32" type="noConversion"/>
  <pageMargins left="0.7" right="0.7" top="0.75" bottom="0.75" header="0.3" footer="0.3"/>
  <pageSetup paperSize="9" scale="8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E29"/>
  <sheetViews>
    <sheetView workbookViewId="0">
      <selection activeCell="B5" sqref="B5"/>
    </sheetView>
  </sheetViews>
  <sheetFormatPr defaultRowHeight="15"/>
  <cols>
    <col min="1" max="1" width="78.140625" style="275" customWidth="1"/>
    <col min="2" max="2" width="11.42578125" style="275" customWidth="1"/>
    <col min="3" max="3" width="19.5703125" style="275" customWidth="1"/>
    <col min="4" max="4" width="20.85546875" style="275" customWidth="1"/>
    <col min="5" max="5" width="20.140625" style="275" customWidth="1"/>
    <col min="6" max="16384" width="9.140625" style="275"/>
  </cols>
  <sheetData>
    <row r="1" spans="1:5">
      <c r="A1" s="342" t="s">
        <v>542</v>
      </c>
      <c r="B1" s="288"/>
      <c r="C1" s="288"/>
    </row>
    <row r="2" spans="1:5">
      <c r="A2" s="342" t="s">
        <v>214</v>
      </c>
      <c r="B2" s="288"/>
      <c r="C2" s="288"/>
    </row>
    <row r="3" spans="1:5">
      <c r="A3" s="341"/>
      <c r="B3" s="289"/>
      <c r="C3" s="289"/>
    </row>
    <row r="4" spans="1:5" ht="24" customHeight="1">
      <c r="A4" s="277"/>
      <c r="B4" s="288"/>
      <c r="C4" s="288"/>
    </row>
    <row r="5" spans="1:5">
      <c r="A5" s="288"/>
      <c r="B5" s="288"/>
      <c r="C5" s="288"/>
    </row>
    <row r="6" spans="1:5" ht="63.75">
      <c r="A6" s="303" t="s">
        <v>304</v>
      </c>
      <c r="B6" s="304"/>
      <c r="C6" s="304"/>
    </row>
    <row r="7" spans="1:5" ht="16.5">
      <c r="A7" s="303"/>
      <c r="B7" s="304"/>
      <c r="C7" s="304"/>
    </row>
    <row r="8" spans="1:5" ht="15.75">
      <c r="A8" s="410"/>
      <c r="B8" s="355"/>
      <c r="C8" s="355"/>
    </row>
    <row r="9" spans="1:5" ht="45">
      <c r="A9" s="447" t="s">
        <v>629</v>
      </c>
      <c r="B9" s="448"/>
      <c r="C9" s="97" t="s">
        <v>48</v>
      </c>
      <c r="D9" s="97" t="s">
        <v>49</v>
      </c>
      <c r="E9" s="97" t="s">
        <v>50</v>
      </c>
    </row>
    <row r="10" spans="1:5" ht="16.5">
      <c r="A10" s="449" t="s">
        <v>308</v>
      </c>
      <c r="B10" s="450"/>
      <c r="C10" s="356">
        <f>(78500+800+9450)*0.5</f>
        <v>44375</v>
      </c>
      <c r="D10" s="357">
        <f>(91500+1500+14250)*0.5</f>
        <v>53625</v>
      </c>
      <c r="E10" s="357">
        <f>(112575+2279+19433)*0.5</f>
        <v>67143.5</v>
      </c>
    </row>
    <row r="11" spans="1:5" ht="16.5">
      <c r="A11" s="306"/>
      <c r="B11" s="307"/>
      <c r="C11" s="308"/>
    </row>
    <row r="12" spans="1:5" ht="16.5">
      <c r="A12" s="309"/>
      <c r="B12" s="302"/>
      <c r="C12" s="302"/>
    </row>
    <row r="13" spans="1:5" ht="30">
      <c r="A13" s="310" t="s">
        <v>309</v>
      </c>
      <c r="B13" s="311" t="s">
        <v>310</v>
      </c>
      <c r="C13" s="305" t="s">
        <v>305</v>
      </c>
      <c r="D13" s="305" t="s">
        <v>306</v>
      </c>
      <c r="E13" s="305" t="s">
        <v>307</v>
      </c>
    </row>
    <row r="14" spans="1:5" ht="15.75">
      <c r="A14" s="138" t="s">
        <v>875</v>
      </c>
      <c r="B14" s="20"/>
      <c r="C14" s="20"/>
      <c r="D14" s="20"/>
      <c r="E14" s="20"/>
    </row>
    <row r="15" spans="1:5" ht="15.75">
      <c r="A15" s="141" t="s">
        <v>876</v>
      </c>
      <c r="B15" s="20">
        <v>2011</v>
      </c>
      <c r="C15" s="140">
        <f>3000000/1000</f>
        <v>3000</v>
      </c>
      <c r="D15" s="140">
        <f>3000000/1000</f>
        <v>3000</v>
      </c>
      <c r="E15" s="140">
        <f>3000000/1000</f>
        <v>3000</v>
      </c>
    </row>
    <row r="16" spans="1:5" ht="15.75">
      <c r="A16" s="142" t="s">
        <v>877</v>
      </c>
      <c r="B16" s="20">
        <v>2011</v>
      </c>
      <c r="C16" s="140">
        <f>21250000/1000</f>
        <v>21250</v>
      </c>
      <c r="D16" s="140">
        <f>21250000/1000</f>
        <v>21250</v>
      </c>
      <c r="E16" s="140">
        <f>21250000/1000</f>
        <v>21250</v>
      </c>
    </row>
    <row r="17" spans="1:5" ht="15.75">
      <c r="A17" s="20"/>
      <c r="B17" s="20"/>
      <c r="C17" s="20"/>
      <c r="D17" s="20"/>
      <c r="E17" s="20"/>
    </row>
    <row r="18" spans="1:5" ht="15.75">
      <c r="A18" s="358" t="s">
        <v>786</v>
      </c>
      <c r="B18" s="20"/>
      <c r="C18" s="90"/>
      <c r="D18" s="20"/>
      <c r="E18" s="20"/>
    </row>
    <row r="19" spans="1:5" ht="15.75">
      <c r="A19" s="171" t="s">
        <v>885</v>
      </c>
      <c r="B19" s="20">
        <v>2013</v>
      </c>
      <c r="C19" s="90">
        <v>50000</v>
      </c>
      <c r="D19" s="20"/>
      <c r="E19" s="20"/>
    </row>
    <row r="20" spans="1:5" ht="15.75">
      <c r="A20" s="20"/>
      <c r="B20" s="20"/>
      <c r="C20" s="20"/>
      <c r="D20" s="20"/>
      <c r="E20" s="20"/>
    </row>
    <row r="21" spans="1:5" ht="15.75">
      <c r="A21" s="312" t="s">
        <v>311</v>
      </c>
      <c r="B21" s="294"/>
      <c r="C21" s="294"/>
      <c r="D21" s="326"/>
      <c r="E21" s="326"/>
    </row>
    <row r="22" spans="1:5" ht="15.75">
      <c r="A22" s="294"/>
      <c r="B22" s="294"/>
      <c r="C22" s="294"/>
      <c r="D22" s="326"/>
      <c r="E22" s="326"/>
    </row>
    <row r="23" spans="1:5" ht="15.75">
      <c r="A23" s="294"/>
      <c r="B23" s="294"/>
      <c r="C23" s="294"/>
      <c r="D23" s="326"/>
      <c r="E23" s="326"/>
    </row>
    <row r="24" spans="1:5" ht="15.75">
      <c r="A24" s="294"/>
      <c r="B24" s="294"/>
      <c r="C24" s="294"/>
      <c r="D24" s="326"/>
      <c r="E24" s="326"/>
    </row>
    <row r="25" spans="1:5" ht="15.75">
      <c r="A25" s="294"/>
      <c r="B25" s="294"/>
      <c r="C25" s="294"/>
      <c r="D25" s="326"/>
      <c r="E25" s="326"/>
    </row>
    <row r="26" spans="1:5" ht="16.5">
      <c r="A26" s="313" t="s">
        <v>694</v>
      </c>
      <c r="B26" s="314"/>
      <c r="C26" s="359">
        <f>SUM(C15:C19)</f>
        <v>74250</v>
      </c>
      <c r="D26" s="359">
        <f>SUM(D15:D19)</f>
        <v>24250</v>
      </c>
      <c r="E26" s="359">
        <f>SUM(E15:E19)</f>
        <v>24250</v>
      </c>
    </row>
    <row r="27" spans="1:5" ht="15.75">
      <c r="A27" s="302"/>
      <c r="B27" s="302"/>
      <c r="C27" s="302"/>
    </row>
    <row r="28" spans="1:5" ht="15.75">
      <c r="A28" s="302"/>
      <c r="B28" s="302"/>
      <c r="C28" s="302"/>
    </row>
    <row r="29" spans="1:5" ht="15.75">
      <c r="A29" s="302"/>
      <c r="B29" s="302"/>
      <c r="C29" s="302"/>
    </row>
  </sheetData>
  <mergeCells count="2">
    <mergeCell ref="A9:B9"/>
    <mergeCell ref="A10:B10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F30"/>
  <sheetViews>
    <sheetView topLeftCell="A13" workbookViewId="0">
      <selection activeCell="A10" sqref="A10"/>
    </sheetView>
  </sheetViews>
  <sheetFormatPr defaultRowHeight="15"/>
  <cols>
    <col min="1" max="1" width="63.7109375" style="275" customWidth="1"/>
    <col min="2" max="2" width="12.42578125" style="275" customWidth="1"/>
    <col min="3" max="3" width="17.28515625" style="275" customWidth="1"/>
    <col min="4" max="4" width="18.42578125" style="275" customWidth="1"/>
    <col min="5" max="5" width="17.42578125" style="275" customWidth="1"/>
    <col min="6" max="6" width="18.5703125" style="275" customWidth="1"/>
    <col min="7" max="16384" width="9.140625" style="275"/>
  </cols>
  <sheetData>
    <row r="1" spans="1:6">
      <c r="A1" s="342" t="s">
        <v>215</v>
      </c>
      <c r="B1" s="273"/>
      <c r="C1" s="273"/>
      <c r="D1" s="273"/>
      <c r="E1" s="288"/>
    </row>
    <row r="2" spans="1:6">
      <c r="A2" s="342" t="s">
        <v>216</v>
      </c>
      <c r="B2" s="354"/>
      <c r="C2" s="354"/>
      <c r="D2" s="354"/>
      <c r="E2" s="288"/>
    </row>
    <row r="3" spans="1:6" ht="18">
      <c r="A3" s="277"/>
      <c r="B3" s="278"/>
      <c r="C3" s="278"/>
      <c r="D3" s="278"/>
      <c r="E3" s="289"/>
    </row>
    <row r="4" spans="1:6" ht="29.25" customHeight="1">
      <c r="A4" s="277"/>
      <c r="B4" s="278"/>
      <c r="C4" s="278"/>
      <c r="D4" s="278"/>
      <c r="E4" s="288"/>
    </row>
    <row r="5" spans="1:6">
      <c r="A5" s="288"/>
      <c r="B5" s="288"/>
      <c r="C5" s="288"/>
      <c r="D5" s="288"/>
      <c r="E5" s="288"/>
    </row>
    <row r="7" spans="1:6" ht="45">
      <c r="A7" s="290" t="s">
        <v>629</v>
      </c>
      <c r="B7" s="260" t="s">
        <v>540</v>
      </c>
      <c r="C7" s="97" t="s">
        <v>534</v>
      </c>
      <c r="D7" s="97" t="s">
        <v>806</v>
      </c>
      <c r="E7" s="97" t="s">
        <v>541</v>
      </c>
      <c r="F7" s="291" t="s">
        <v>630</v>
      </c>
    </row>
    <row r="8" spans="1:6" ht="16.5">
      <c r="A8" s="292" t="s">
        <v>298</v>
      </c>
      <c r="B8" s="293"/>
      <c r="C8" s="293"/>
      <c r="D8" s="293"/>
      <c r="E8" s="293"/>
      <c r="F8" s="326"/>
    </row>
    <row r="9" spans="1:6">
      <c r="A9" s="295" t="s">
        <v>299</v>
      </c>
      <c r="B9" s="296"/>
      <c r="C9" s="296"/>
      <c r="D9" s="296"/>
      <c r="E9" s="296"/>
      <c r="F9" s="326"/>
    </row>
    <row r="10" spans="1:6">
      <c r="A10" s="297"/>
      <c r="B10" s="296"/>
      <c r="C10" s="296"/>
      <c r="D10" s="296"/>
      <c r="E10" s="296"/>
      <c r="F10" s="326"/>
    </row>
    <row r="11" spans="1:6">
      <c r="A11" s="297"/>
      <c r="B11" s="296"/>
      <c r="C11" s="296"/>
      <c r="D11" s="296"/>
      <c r="E11" s="296"/>
      <c r="F11" s="326"/>
    </row>
    <row r="12" spans="1:6">
      <c r="A12" s="297"/>
      <c r="B12" s="296"/>
      <c r="C12" s="296"/>
      <c r="D12" s="296"/>
      <c r="E12" s="296"/>
      <c r="F12" s="326"/>
    </row>
    <row r="13" spans="1:6">
      <c r="A13" s="297"/>
      <c r="B13" s="296"/>
      <c r="C13" s="296"/>
      <c r="D13" s="296"/>
      <c r="E13" s="296"/>
      <c r="F13" s="326"/>
    </row>
    <row r="14" spans="1:6">
      <c r="A14" s="297"/>
      <c r="B14" s="296"/>
      <c r="C14" s="296"/>
      <c r="D14" s="296"/>
      <c r="E14" s="296"/>
      <c r="F14" s="326"/>
    </row>
    <row r="15" spans="1:6">
      <c r="A15" s="295" t="s">
        <v>300</v>
      </c>
      <c r="B15" s="296"/>
      <c r="C15" s="296"/>
      <c r="D15" s="296"/>
      <c r="E15" s="296"/>
      <c r="F15" s="326"/>
    </row>
    <row r="16" spans="1:6">
      <c r="A16" s="297"/>
      <c r="B16" s="296"/>
      <c r="C16" s="296"/>
      <c r="D16" s="296"/>
      <c r="E16" s="296"/>
      <c r="F16" s="326"/>
    </row>
    <row r="17" spans="1:6">
      <c r="A17" s="297"/>
      <c r="B17" s="296"/>
      <c r="C17" s="296"/>
      <c r="D17" s="296"/>
      <c r="E17" s="296"/>
      <c r="F17" s="326"/>
    </row>
    <row r="18" spans="1:6">
      <c r="A18" s="297"/>
      <c r="B18" s="296"/>
      <c r="C18" s="296"/>
      <c r="D18" s="296"/>
      <c r="E18" s="296"/>
      <c r="F18" s="326"/>
    </row>
    <row r="19" spans="1:6">
      <c r="A19" s="297"/>
      <c r="B19" s="296"/>
      <c r="C19" s="296"/>
      <c r="D19" s="296"/>
      <c r="E19" s="296"/>
      <c r="F19" s="326"/>
    </row>
    <row r="20" spans="1:6">
      <c r="A20" s="299" t="s">
        <v>301</v>
      </c>
      <c r="B20" s="300"/>
      <c r="C20" s="300"/>
      <c r="D20" s="300"/>
      <c r="E20" s="300"/>
      <c r="F20" s="326"/>
    </row>
    <row r="21" spans="1:6" ht="16.5">
      <c r="A21" s="301"/>
      <c r="B21" s="302"/>
      <c r="C21" s="302"/>
      <c r="D21" s="302"/>
      <c r="E21" s="302"/>
    </row>
    <row r="22" spans="1:6" ht="16.5">
      <c r="A22" s="301"/>
      <c r="B22" s="302"/>
      <c r="C22" s="302"/>
      <c r="D22" s="302"/>
      <c r="E22" s="302"/>
    </row>
    <row r="23" spans="1:6" ht="45">
      <c r="A23" s="290" t="s">
        <v>629</v>
      </c>
      <c r="B23" s="260" t="s">
        <v>540</v>
      </c>
      <c r="C23" s="97" t="s">
        <v>534</v>
      </c>
      <c r="D23" s="97" t="s">
        <v>806</v>
      </c>
      <c r="E23" s="97" t="s">
        <v>541</v>
      </c>
      <c r="F23" s="311" t="s">
        <v>630</v>
      </c>
    </row>
    <row r="24" spans="1:6" ht="16.5">
      <c r="A24" s="292" t="s">
        <v>302</v>
      </c>
      <c r="B24" s="294"/>
      <c r="C24" s="294"/>
      <c r="D24" s="294"/>
      <c r="E24" s="294"/>
      <c r="F24" s="326"/>
    </row>
    <row r="25" spans="1:6">
      <c r="A25" s="297" t="s">
        <v>299</v>
      </c>
      <c r="B25" s="296"/>
      <c r="C25" s="296"/>
      <c r="D25" s="296"/>
      <c r="E25" s="296"/>
      <c r="F25" s="326"/>
    </row>
    <row r="26" spans="1:6">
      <c r="A26" s="297" t="s">
        <v>300</v>
      </c>
      <c r="B26" s="360">
        <v>133</v>
      </c>
      <c r="C26" s="360">
        <v>130</v>
      </c>
      <c r="D26" s="360">
        <v>140</v>
      </c>
      <c r="E26" s="360">
        <v>68297</v>
      </c>
      <c r="F26" s="361">
        <f>E26+D26+C26+B26</f>
        <v>68700</v>
      </c>
    </row>
    <row r="27" spans="1:6">
      <c r="A27" s="421" t="s">
        <v>303</v>
      </c>
      <c r="B27" s="420">
        <f>SUM(B26)</f>
        <v>133</v>
      </c>
      <c r="C27" s="420">
        <f>SUM(C26)</f>
        <v>130</v>
      </c>
      <c r="D27" s="420">
        <f>SUM(D26)</f>
        <v>140</v>
      </c>
      <c r="E27" s="420">
        <f>SUM(E26)</f>
        <v>68297</v>
      </c>
      <c r="F27" s="420">
        <f>SUM(F26)</f>
        <v>68700</v>
      </c>
    </row>
    <row r="28" spans="1:6" ht="15.75">
      <c r="A28" s="302"/>
      <c r="B28" s="302"/>
      <c r="C28" s="302"/>
      <c r="D28" s="302"/>
      <c r="E28" s="302"/>
    </row>
    <row r="29" spans="1:6" ht="15.75">
      <c r="A29" s="302"/>
      <c r="B29" s="302"/>
      <c r="C29" s="302"/>
      <c r="D29" s="302"/>
      <c r="E29" s="302"/>
    </row>
    <row r="30" spans="1:6" ht="15.75">
      <c r="A30" s="302"/>
      <c r="B30" s="302"/>
      <c r="C30" s="302"/>
      <c r="D30" s="302"/>
      <c r="E30" s="302"/>
    </row>
  </sheetData>
  <phoneticPr fontId="32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J19"/>
  <sheetViews>
    <sheetView workbookViewId="0">
      <selection activeCell="A2" sqref="A2:I2"/>
    </sheetView>
  </sheetViews>
  <sheetFormatPr defaultRowHeight="12.75"/>
  <cols>
    <col min="1" max="1" width="46.28515625" customWidth="1"/>
    <col min="2" max="4" width="16.5703125" customWidth="1"/>
    <col min="5" max="5" width="13" customWidth="1"/>
    <col min="6" max="6" width="18.140625" customWidth="1"/>
    <col min="7" max="7" width="16.28515625" customWidth="1"/>
    <col min="8" max="10" width="17.42578125" customWidth="1"/>
    <col min="11" max="11" width="21.7109375" customWidth="1"/>
  </cols>
  <sheetData>
    <row r="1" spans="1:10" ht="13.5">
      <c r="A1" s="362" t="s">
        <v>543</v>
      </c>
    </row>
    <row r="2" spans="1:10" ht="13.5">
      <c r="A2" s="452" t="s">
        <v>231</v>
      </c>
      <c r="B2" s="453"/>
      <c r="C2" s="453"/>
      <c r="D2" s="453"/>
      <c r="E2" s="453"/>
      <c r="F2" s="453"/>
      <c r="G2" s="453"/>
      <c r="H2" s="453"/>
      <c r="I2" s="453"/>
    </row>
    <row r="3" spans="1:10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ht="15.75">
      <c r="A4" s="176" t="s">
        <v>900</v>
      </c>
      <c r="B4" s="177"/>
      <c r="C4" s="177"/>
      <c r="D4" s="177"/>
      <c r="E4" s="160"/>
      <c r="F4" s="160"/>
      <c r="G4" s="160"/>
      <c r="H4" s="160"/>
      <c r="I4" s="160"/>
      <c r="J4" s="160"/>
    </row>
    <row r="5" spans="1:10" ht="16.5">
      <c r="A5" s="27"/>
      <c r="B5" s="27"/>
      <c r="C5" s="27"/>
      <c r="D5" s="27"/>
      <c r="E5" s="28"/>
      <c r="F5" s="28"/>
      <c r="G5" s="28"/>
      <c r="H5" s="29"/>
      <c r="I5" s="29"/>
      <c r="J5" s="29"/>
    </row>
    <row r="6" spans="1:10" ht="47.25">
      <c r="A6" s="30" t="s">
        <v>703</v>
      </c>
      <c r="B6" s="227" t="s">
        <v>141</v>
      </c>
      <c r="C6" s="227" t="s">
        <v>142</v>
      </c>
      <c r="D6" s="227" t="s">
        <v>143</v>
      </c>
      <c r="E6" s="31" t="s">
        <v>712</v>
      </c>
      <c r="F6" s="31" t="s">
        <v>713</v>
      </c>
      <c r="G6" s="31" t="s">
        <v>704</v>
      </c>
      <c r="H6" s="228" t="s">
        <v>144</v>
      </c>
      <c r="I6" s="228" t="s">
        <v>145</v>
      </c>
      <c r="J6" s="228" t="s">
        <v>146</v>
      </c>
    </row>
    <row r="7" spans="1:10" ht="15.75">
      <c r="A7" s="32" t="s">
        <v>705</v>
      </c>
      <c r="B7" s="75">
        <f ca="1">'3. szakfeladatok'!AD34</f>
        <v>148860</v>
      </c>
      <c r="C7" s="75">
        <v>148860</v>
      </c>
      <c r="D7" s="75"/>
      <c r="E7" s="75"/>
      <c r="F7" s="130"/>
      <c r="G7" s="130"/>
      <c r="H7" s="130">
        <f t="shared" ref="H7:J10" si="0">B7</f>
        <v>148860</v>
      </c>
      <c r="I7" s="130">
        <f t="shared" si="0"/>
        <v>148860</v>
      </c>
      <c r="J7" s="130">
        <f t="shared" si="0"/>
        <v>0</v>
      </c>
    </row>
    <row r="8" spans="1:10" ht="15.75">
      <c r="A8" s="32" t="s">
        <v>706</v>
      </c>
      <c r="B8" s="75"/>
      <c r="C8" s="75"/>
      <c r="D8" s="75"/>
      <c r="E8" s="75"/>
      <c r="F8" s="130"/>
      <c r="G8" s="130"/>
      <c r="H8" s="130">
        <f t="shared" si="0"/>
        <v>0</v>
      </c>
      <c r="I8" s="130">
        <f t="shared" si="0"/>
        <v>0</v>
      </c>
      <c r="J8" s="130">
        <f t="shared" si="0"/>
        <v>0</v>
      </c>
    </row>
    <row r="9" spans="1:10" ht="15.75">
      <c r="A9" s="32" t="s">
        <v>707</v>
      </c>
      <c r="B9" s="75">
        <f>180011-B7</f>
        <v>31151</v>
      </c>
      <c r="C9" s="75">
        <v>31151</v>
      </c>
      <c r="D9" s="75"/>
      <c r="E9" s="75"/>
      <c r="F9" s="130"/>
      <c r="G9" s="130"/>
      <c r="H9" s="130">
        <f t="shared" si="0"/>
        <v>31151</v>
      </c>
      <c r="I9" s="130">
        <f t="shared" si="0"/>
        <v>31151</v>
      </c>
      <c r="J9" s="130">
        <f t="shared" si="0"/>
        <v>0</v>
      </c>
    </row>
    <row r="10" spans="1:10" ht="16.5">
      <c r="A10" s="34" t="s">
        <v>701</v>
      </c>
      <c r="B10" s="131">
        <f>SUM(B7:B9)</f>
        <v>180011</v>
      </c>
      <c r="C10" s="131">
        <f>SUM(C7:C9)</f>
        <v>180011</v>
      </c>
      <c r="D10" s="131"/>
      <c r="E10" s="131"/>
      <c r="F10" s="132"/>
      <c r="G10" s="132"/>
      <c r="H10" s="130">
        <f t="shared" si="0"/>
        <v>180011</v>
      </c>
      <c r="I10" s="130">
        <f t="shared" si="0"/>
        <v>180011</v>
      </c>
      <c r="J10" s="130">
        <f t="shared" si="0"/>
        <v>0</v>
      </c>
    </row>
    <row r="11" spans="1:10" ht="15">
      <c r="A11" s="451"/>
      <c r="B11" s="451"/>
      <c r="C11" s="451"/>
      <c r="D11" s="451"/>
      <c r="E11" s="451"/>
      <c r="F11" s="451"/>
      <c r="G11" s="451"/>
      <c r="H11" s="451"/>
      <c r="I11" s="2"/>
    </row>
    <row r="12" spans="1:10" ht="47.25">
      <c r="A12" s="30" t="s">
        <v>708</v>
      </c>
      <c r="B12" s="227" t="s">
        <v>141</v>
      </c>
      <c r="C12" s="227" t="s">
        <v>142</v>
      </c>
      <c r="D12" s="227" t="s">
        <v>143</v>
      </c>
      <c r="E12" s="31" t="s">
        <v>712</v>
      </c>
      <c r="F12" s="31" t="s">
        <v>713</v>
      </c>
      <c r="G12" s="31" t="s">
        <v>704</v>
      </c>
      <c r="H12" s="228" t="s">
        <v>144</v>
      </c>
      <c r="I12" s="228" t="s">
        <v>145</v>
      </c>
      <c r="J12" s="228" t="s">
        <v>146</v>
      </c>
    </row>
    <row r="13" spans="1:10" ht="15">
      <c r="A13" s="36" t="s">
        <v>613</v>
      </c>
      <c r="B13" s="130"/>
      <c r="C13" s="130"/>
      <c r="D13" s="130"/>
      <c r="E13" s="33"/>
      <c r="F13" s="33"/>
      <c r="G13" s="33"/>
      <c r="H13" s="130">
        <f>B13</f>
        <v>0</v>
      </c>
      <c r="I13" s="130">
        <f>C13</f>
        <v>0</v>
      </c>
      <c r="J13" s="130">
        <f>D13</f>
        <v>0</v>
      </c>
    </row>
    <row r="14" spans="1:10" ht="15">
      <c r="A14" s="36" t="s">
        <v>709</v>
      </c>
      <c r="B14" s="130"/>
      <c r="C14" s="130"/>
      <c r="D14" s="130"/>
      <c r="E14" s="33"/>
      <c r="F14" s="33"/>
      <c r="G14" s="33"/>
      <c r="H14" s="130">
        <f t="shared" ref="H14:H19" si="1">B14</f>
        <v>0</v>
      </c>
      <c r="I14" s="130">
        <f t="shared" ref="I14:I19" si="2">C14</f>
        <v>0</v>
      </c>
      <c r="J14" s="130">
        <f t="shared" ref="J14:J19" si="3">D14</f>
        <v>0</v>
      </c>
    </row>
    <row r="15" spans="1:10" ht="15">
      <c r="A15" s="36" t="s">
        <v>610</v>
      </c>
      <c r="B15" s="130"/>
      <c r="C15" s="130"/>
      <c r="D15" s="130"/>
      <c r="E15" s="33"/>
      <c r="F15" s="33"/>
      <c r="G15" s="33"/>
      <c r="H15" s="130">
        <f t="shared" si="1"/>
        <v>0</v>
      </c>
      <c r="I15" s="130">
        <f t="shared" si="2"/>
        <v>0</v>
      </c>
      <c r="J15" s="130">
        <f t="shared" si="3"/>
        <v>0</v>
      </c>
    </row>
    <row r="16" spans="1:10" ht="15">
      <c r="A16" s="36" t="s">
        <v>601</v>
      </c>
      <c r="B16" s="130"/>
      <c r="C16" s="130"/>
      <c r="D16" s="130"/>
      <c r="E16" s="33"/>
      <c r="F16" s="33"/>
      <c r="G16" s="33"/>
      <c r="H16" s="130">
        <f t="shared" si="1"/>
        <v>0</v>
      </c>
      <c r="I16" s="130">
        <f t="shared" si="2"/>
        <v>0</v>
      </c>
      <c r="J16" s="130">
        <f t="shared" si="3"/>
        <v>0</v>
      </c>
    </row>
    <row r="17" spans="1:10" ht="15">
      <c r="A17" s="36" t="s">
        <v>710</v>
      </c>
      <c r="B17" s="130">
        <v>180011</v>
      </c>
      <c r="C17" s="130">
        <v>180011</v>
      </c>
      <c r="D17" s="130">
        <v>10565</v>
      </c>
      <c r="E17" s="33"/>
      <c r="F17" s="33"/>
      <c r="G17" s="33"/>
      <c r="H17" s="130">
        <f t="shared" si="1"/>
        <v>180011</v>
      </c>
      <c r="I17" s="130">
        <f t="shared" si="2"/>
        <v>180011</v>
      </c>
      <c r="J17" s="130">
        <f t="shared" si="3"/>
        <v>10565</v>
      </c>
    </row>
    <row r="18" spans="1:10" ht="15">
      <c r="A18" s="36" t="s">
        <v>711</v>
      </c>
      <c r="B18" s="130"/>
      <c r="C18" s="130"/>
      <c r="D18" s="130"/>
      <c r="E18" s="33"/>
      <c r="F18" s="33"/>
      <c r="G18" s="33"/>
      <c r="H18" s="130">
        <f t="shared" si="1"/>
        <v>0</v>
      </c>
      <c r="I18" s="130">
        <f t="shared" si="2"/>
        <v>0</v>
      </c>
      <c r="J18" s="130">
        <f t="shared" si="3"/>
        <v>0</v>
      </c>
    </row>
    <row r="19" spans="1:10" ht="16.5">
      <c r="A19" s="34" t="s">
        <v>701</v>
      </c>
      <c r="B19" s="131">
        <f>SUM(B13:B18)</f>
        <v>180011</v>
      </c>
      <c r="C19" s="131">
        <f>SUM(C13:C18)</f>
        <v>180011</v>
      </c>
      <c r="D19" s="131">
        <f>SUM(D13:D18)</f>
        <v>10565</v>
      </c>
      <c r="E19" s="35"/>
      <c r="F19" s="35"/>
      <c r="G19" s="35"/>
      <c r="H19" s="130">
        <f t="shared" si="1"/>
        <v>180011</v>
      </c>
      <c r="I19" s="130">
        <f t="shared" si="2"/>
        <v>180011</v>
      </c>
      <c r="J19" s="130">
        <f t="shared" si="3"/>
        <v>10565</v>
      </c>
    </row>
  </sheetData>
  <mergeCells count="2">
    <mergeCell ref="A11:H11"/>
    <mergeCell ref="A2:I2"/>
  </mergeCells>
  <phoneticPr fontId="7" type="noConversion"/>
  <pageMargins left="0.75" right="0.75" top="1" bottom="1" header="0.5" footer="0.5"/>
  <pageSetup paperSize="9" scale="7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P119"/>
  <sheetViews>
    <sheetView workbookViewId="0">
      <selection activeCell="A3" sqref="A3"/>
    </sheetView>
  </sheetViews>
  <sheetFormatPr defaultRowHeight="12.75"/>
  <cols>
    <col min="1" max="1" width="63.5703125" customWidth="1"/>
    <col min="2" max="7" width="17.28515625" customWidth="1"/>
    <col min="8" max="10" width="18.140625" customWidth="1"/>
    <col min="11" max="13" width="20.140625" customWidth="1"/>
    <col min="14" max="16" width="22.28515625" customWidth="1"/>
  </cols>
  <sheetData>
    <row r="1" spans="1:16">
      <c r="A1" t="s">
        <v>544</v>
      </c>
    </row>
    <row r="2" spans="1:16">
      <c r="A2" s="404" t="s">
        <v>469</v>
      </c>
    </row>
    <row r="3" spans="1:16">
      <c r="A3" s="404"/>
    </row>
    <row r="4" spans="1:16" ht="75">
      <c r="A4" s="16" t="s">
        <v>629</v>
      </c>
      <c r="B4" s="97" t="s">
        <v>139</v>
      </c>
      <c r="C4" s="97" t="s">
        <v>140</v>
      </c>
      <c r="D4" s="97" t="s">
        <v>40</v>
      </c>
      <c r="E4" s="97" t="s">
        <v>41</v>
      </c>
      <c r="F4" s="97" t="s">
        <v>42</v>
      </c>
      <c r="G4" s="97" t="s">
        <v>43</v>
      </c>
      <c r="H4" s="97" t="s">
        <v>44</v>
      </c>
      <c r="I4" s="97" t="s">
        <v>46</v>
      </c>
      <c r="J4" s="97" t="s">
        <v>47</v>
      </c>
      <c r="K4" s="97" t="s">
        <v>48</v>
      </c>
      <c r="L4" s="97" t="s">
        <v>49</v>
      </c>
      <c r="M4" s="97" t="s">
        <v>50</v>
      </c>
      <c r="N4" s="98" t="s">
        <v>136</v>
      </c>
      <c r="O4" s="98" t="s">
        <v>137</v>
      </c>
      <c r="P4" s="98" t="s">
        <v>138</v>
      </c>
    </row>
    <row r="5" spans="1:16" ht="32.25">
      <c r="A5" s="38" t="s">
        <v>714</v>
      </c>
      <c r="B5" s="90">
        <v>0</v>
      </c>
      <c r="C5" s="90">
        <v>0</v>
      </c>
      <c r="D5" s="90">
        <v>0</v>
      </c>
      <c r="E5" s="90">
        <v>0</v>
      </c>
      <c r="F5" s="90"/>
      <c r="G5" s="90"/>
      <c r="H5" s="90">
        <v>0</v>
      </c>
      <c r="I5" s="90"/>
      <c r="J5" s="90"/>
      <c r="K5" s="90">
        <f ca="1">'1. kiadások össz'!O14</f>
        <v>126886</v>
      </c>
      <c r="L5" s="90">
        <v>140641</v>
      </c>
      <c r="M5" s="90">
        <v>130604</v>
      </c>
      <c r="N5" s="90">
        <f t="shared" ref="N5:P6" si="0">K5+H5+E5+B5</f>
        <v>126886</v>
      </c>
      <c r="O5" s="90">
        <v>140641</v>
      </c>
      <c r="P5" s="90">
        <f t="shared" si="0"/>
        <v>130604</v>
      </c>
    </row>
    <row r="6" spans="1:16" ht="32.25">
      <c r="A6" s="14" t="s">
        <v>715</v>
      </c>
      <c r="B6" s="90">
        <v>0</v>
      </c>
      <c r="C6" s="90">
        <v>0</v>
      </c>
      <c r="D6" s="90">
        <v>0</v>
      </c>
      <c r="E6" s="90">
        <v>0</v>
      </c>
      <c r="F6" s="90"/>
      <c r="G6" s="90"/>
      <c r="H6" s="90">
        <v>0</v>
      </c>
      <c r="I6" s="90"/>
      <c r="J6" s="90"/>
      <c r="K6" s="90">
        <f ca="1">'1. kiadások össz'!O27</f>
        <v>6985</v>
      </c>
      <c r="L6" s="90">
        <v>6385</v>
      </c>
      <c r="M6" s="90">
        <v>1082</v>
      </c>
      <c r="N6" s="90">
        <f t="shared" si="0"/>
        <v>6985</v>
      </c>
      <c r="O6" s="90">
        <v>6385</v>
      </c>
      <c r="P6" s="90">
        <f t="shared" si="0"/>
        <v>1082</v>
      </c>
    </row>
    <row r="7" spans="1:16" ht="33" customHeight="1">
      <c r="A7" s="40" t="s">
        <v>716</v>
      </c>
      <c r="B7" s="136">
        <f>SUM(B5:B6)</f>
        <v>0</v>
      </c>
      <c r="C7" s="136">
        <v>0</v>
      </c>
      <c r="D7" s="136">
        <v>0</v>
      </c>
      <c r="E7" s="136">
        <f>SUM(E5:E6)</f>
        <v>0</v>
      </c>
      <c r="F7" s="136"/>
      <c r="G7" s="136"/>
      <c r="H7" s="136">
        <f>SUM(H5:H6)</f>
        <v>0</v>
      </c>
      <c r="I7" s="136"/>
      <c r="J7" s="136"/>
      <c r="K7" s="136">
        <f>SUM(K5:K6)</f>
        <v>133871</v>
      </c>
      <c r="L7" s="136">
        <v>147026</v>
      </c>
      <c r="M7" s="136">
        <f>SUM(M5:M6)</f>
        <v>131686</v>
      </c>
      <c r="N7" s="136">
        <f>SUM(N5:N6)</f>
        <v>133871</v>
      </c>
      <c r="O7" s="136">
        <f>SUM(O5:O6)</f>
        <v>147026</v>
      </c>
      <c r="P7" s="136">
        <f>SUM(P5:P6)</f>
        <v>131686</v>
      </c>
    </row>
    <row r="8" spans="1:16" ht="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75">
      <c r="A11" s="16" t="s">
        <v>629</v>
      </c>
      <c r="B11" s="97" t="s">
        <v>139</v>
      </c>
      <c r="C11" s="97" t="s">
        <v>140</v>
      </c>
      <c r="D11" s="97" t="s">
        <v>40</v>
      </c>
      <c r="E11" s="97" t="s">
        <v>41</v>
      </c>
      <c r="F11" s="97" t="s">
        <v>42</v>
      </c>
      <c r="G11" s="97" t="s">
        <v>43</v>
      </c>
      <c r="H11" s="97" t="s">
        <v>44</v>
      </c>
      <c r="I11" s="97" t="s">
        <v>46</v>
      </c>
      <c r="J11" s="97" t="s">
        <v>47</v>
      </c>
      <c r="K11" s="97" t="s">
        <v>48</v>
      </c>
      <c r="L11" s="97" t="s">
        <v>49</v>
      </c>
      <c r="M11" s="97" t="s">
        <v>50</v>
      </c>
      <c r="N11" s="98" t="s">
        <v>136</v>
      </c>
      <c r="O11" s="98" t="s">
        <v>137</v>
      </c>
      <c r="P11" s="98" t="s">
        <v>138</v>
      </c>
    </row>
    <row r="12" spans="1:16" ht="31.5">
      <c r="A12" s="42" t="s">
        <v>714</v>
      </c>
      <c r="B12" s="137">
        <f ca="1">'2. bevételek össz'!C12</f>
        <v>47651</v>
      </c>
      <c r="C12" s="137">
        <f ca="1">53588-C16</f>
        <v>52664</v>
      </c>
      <c r="D12" s="137">
        <v>51638</v>
      </c>
      <c r="E12" s="137">
        <f ca="1">SUM(E13:E15)</f>
        <v>23731</v>
      </c>
      <c r="F12" s="137">
        <v>24578</v>
      </c>
      <c r="G12" s="137">
        <v>22913</v>
      </c>
      <c r="H12" s="137">
        <f ca="1">'2. bevételek össz'!K12</f>
        <v>55504</v>
      </c>
      <c r="I12" s="137">
        <v>63399</v>
      </c>
      <c r="J12" s="137">
        <v>56053</v>
      </c>
      <c r="K12" s="137">
        <f>SUM(K13:K15)</f>
        <v>0</v>
      </c>
      <c r="L12" s="137"/>
      <c r="M12" s="137"/>
      <c r="N12" s="137">
        <f>K12+H12+E12+B12</f>
        <v>126886</v>
      </c>
      <c r="O12" s="137">
        <f>L12+I12+F12+C12</f>
        <v>140641</v>
      </c>
      <c r="P12" s="137">
        <f>M12+J12+G12+D12</f>
        <v>130604</v>
      </c>
    </row>
    <row r="13" spans="1:16" ht="16.5">
      <c r="A13" s="38" t="s">
        <v>718</v>
      </c>
      <c r="B13" s="90">
        <v>34044</v>
      </c>
      <c r="C13" s="90">
        <v>38008</v>
      </c>
      <c r="D13" s="90">
        <v>37990</v>
      </c>
      <c r="E13" s="90">
        <v>0</v>
      </c>
      <c r="F13" s="90">
        <v>2776</v>
      </c>
      <c r="G13" s="90"/>
      <c r="H13" s="90">
        <v>29724</v>
      </c>
      <c r="I13" s="90">
        <v>39989</v>
      </c>
      <c r="J13" s="90"/>
      <c r="K13" s="90"/>
      <c r="L13" s="90"/>
      <c r="M13" s="90"/>
      <c r="N13" s="137">
        <f t="shared" ref="N13:O20" si="1">K13+H13+E13+B13</f>
        <v>63768</v>
      </c>
      <c r="O13" s="137">
        <f t="shared" si="1"/>
        <v>80773</v>
      </c>
      <c r="P13" s="137">
        <f t="shared" ref="P13:P20" si="2">M13+J13+G13+D13</f>
        <v>37990</v>
      </c>
    </row>
    <row r="14" spans="1:16" ht="16.5">
      <c r="A14" s="38" t="s">
        <v>873</v>
      </c>
      <c r="B14" s="90">
        <f ca="1">'2. bevételek össz'!C12-B13</f>
        <v>13607</v>
      </c>
      <c r="C14" s="90">
        <f ca="1">'2. bevételek össz'!D12-C13</f>
        <v>14655.542000000001</v>
      </c>
      <c r="D14" s="90">
        <f ca="1">D12-D13</f>
        <v>13648</v>
      </c>
      <c r="E14" s="90">
        <f ca="1">'2. bevételek össz'!G12</f>
        <v>23731</v>
      </c>
      <c r="F14" s="90">
        <f>F12-F13</f>
        <v>21802</v>
      </c>
      <c r="G14" s="90">
        <v>22913</v>
      </c>
      <c r="H14" s="90">
        <f ca="1">'2. bevételek össz'!K12-'13.intézmény finansz'!H13</f>
        <v>25780</v>
      </c>
      <c r="I14" s="90">
        <f>I12-I13</f>
        <v>23410</v>
      </c>
      <c r="J14" s="90">
        <v>56053</v>
      </c>
      <c r="K14" s="90"/>
      <c r="L14" s="90"/>
      <c r="M14" s="90"/>
      <c r="N14" s="137">
        <f t="shared" si="1"/>
        <v>63118</v>
      </c>
      <c r="O14" s="137">
        <f t="shared" si="1"/>
        <v>59867.542000000001</v>
      </c>
      <c r="P14" s="137">
        <f t="shared" si="2"/>
        <v>92614</v>
      </c>
    </row>
    <row r="15" spans="1:16" ht="16.5">
      <c r="A15" s="38" t="s">
        <v>874</v>
      </c>
      <c r="B15" s="90">
        <v>0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137">
        <f t="shared" si="1"/>
        <v>0</v>
      </c>
      <c r="O15" s="137">
        <f t="shared" si="1"/>
        <v>0</v>
      </c>
      <c r="P15" s="137">
        <f t="shared" si="2"/>
        <v>0</v>
      </c>
    </row>
    <row r="16" spans="1:16" ht="31.5">
      <c r="A16" s="41" t="s">
        <v>715</v>
      </c>
      <c r="B16" s="137">
        <f>SUM(B17:B19)</f>
        <v>1524</v>
      </c>
      <c r="C16" s="137">
        <v>924</v>
      </c>
      <c r="D16" s="137">
        <v>0</v>
      </c>
      <c r="E16" s="137">
        <f>SUM(E17:E19)</f>
        <v>4826</v>
      </c>
      <c r="F16" s="137">
        <v>4826</v>
      </c>
      <c r="G16" s="137">
        <v>962</v>
      </c>
      <c r="H16" s="137">
        <f>SUM(H17:H19)</f>
        <v>635</v>
      </c>
      <c r="I16" s="137">
        <v>635</v>
      </c>
      <c r="J16" s="137">
        <v>120</v>
      </c>
      <c r="K16" s="137">
        <f>SUM(K17:K19)</f>
        <v>0</v>
      </c>
      <c r="L16" s="137"/>
      <c r="M16" s="137"/>
      <c r="N16" s="137">
        <f t="shared" si="1"/>
        <v>6985</v>
      </c>
      <c r="O16" s="137">
        <f t="shared" si="1"/>
        <v>6385</v>
      </c>
      <c r="P16" s="137">
        <f t="shared" si="2"/>
        <v>1082</v>
      </c>
    </row>
    <row r="17" spans="1:16" ht="16.5">
      <c r="A17" s="38" t="s">
        <v>718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137">
        <f t="shared" si="1"/>
        <v>0</v>
      </c>
      <c r="O17" s="137">
        <f t="shared" si="1"/>
        <v>0</v>
      </c>
      <c r="P17" s="137">
        <f t="shared" si="2"/>
        <v>0</v>
      </c>
    </row>
    <row r="18" spans="1:16" ht="16.5">
      <c r="A18" s="38" t="s">
        <v>873</v>
      </c>
      <c r="B18" s="90">
        <v>1524</v>
      </c>
      <c r="C18" s="90">
        <v>924</v>
      </c>
      <c r="D18" s="90">
        <v>0</v>
      </c>
      <c r="E18" s="90">
        <f ca="1">'2. bevételek össz'!G25</f>
        <v>4826</v>
      </c>
      <c r="F18" s="90">
        <v>4826</v>
      </c>
      <c r="G18" s="90">
        <v>962</v>
      </c>
      <c r="H18" s="90">
        <f ca="1">'2. bevételek össz'!K25</f>
        <v>635</v>
      </c>
      <c r="I18" s="90">
        <v>635</v>
      </c>
      <c r="J18" s="90">
        <v>120</v>
      </c>
      <c r="K18" s="90"/>
      <c r="L18" s="90"/>
      <c r="M18" s="90"/>
      <c r="N18" s="137">
        <f t="shared" si="1"/>
        <v>6985</v>
      </c>
      <c r="O18" s="137">
        <f t="shared" si="1"/>
        <v>6385</v>
      </c>
      <c r="P18" s="137">
        <f t="shared" si="2"/>
        <v>1082</v>
      </c>
    </row>
    <row r="19" spans="1:16" ht="16.5">
      <c r="A19" s="38" t="s">
        <v>874</v>
      </c>
      <c r="B19" s="90">
        <v>0</v>
      </c>
      <c r="C19" s="90">
        <v>0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137">
        <f t="shared" si="1"/>
        <v>0</v>
      </c>
      <c r="O19" s="137">
        <f t="shared" si="1"/>
        <v>0</v>
      </c>
      <c r="P19" s="137">
        <f t="shared" si="2"/>
        <v>0</v>
      </c>
    </row>
    <row r="20" spans="1:16" ht="31.5" customHeight="1">
      <c r="A20" s="40" t="s">
        <v>717</v>
      </c>
      <c r="B20" s="136">
        <f t="shared" ref="B20:K20" si="3">SUM(B12,B16)</f>
        <v>49175</v>
      </c>
      <c r="C20" s="136">
        <f t="shared" si="3"/>
        <v>53588</v>
      </c>
      <c r="D20" s="136">
        <f t="shared" si="3"/>
        <v>51638</v>
      </c>
      <c r="E20" s="136">
        <f t="shared" si="3"/>
        <v>28557</v>
      </c>
      <c r="F20" s="136">
        <f t="shared" si="3"/>
        <v>29404</v>
      </c>
      <c r="G20" s="136">
        <f t="shared" si="3"/>
        <v>23875</v>
      </c>
      <c r="H20" s="136">
        <f t="shared" si="3"/>
        <v>56139</v>
      </c>
      <c r="I20" s="136">
        <f t="shared" si="3"/>
        <v>64034</v>
      </c>
      <c r="J20" s="136">
        <f t="shared" si="3"/>
        <v>56173</v>
      </c>
      <c r="K20" s="136">
        <f t="shared" si="3"/>
        <v>0</v>
      </c>
      <c r="L20" s="136"/>
      <c r="M20" s="136"/>
      <c r="N20" s="137">
        <f t="shared" si="1"/>
        <v>133871</v>
      </c>
      <c r="O20" s="137">
        <f t="shared" si="1"/>
        <v>147026</v>
      </c>
      <c r="P20" s="137">
        <f t="shared" si="2"/>
        <v>131686</v>
      </c>
    </row>
    <row r="21" spans="1:16" ht="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</sheetData>
  <phoneticPr fontId="7" type="noConversion"/>
  <pageMargins left="0.17" right="0.24" top="1" bottom="1" header="0.5" footer="0.5"/>
  <pageSetup paperSize="9" scale="4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R74"/>
  <sheetViews>
    <sheetView workbookViewId="0">
      <selection activeCell="A3" sqref="A3"/>
    </sheetView>
  </sheetViews>
  <sheetFormatPr defaultRowHeight="12.75"/>
  <cols>
    <col min="1" max="1" width="56.28515625" customWidth="1"/>
    <col min="2" max="2" width="16.5703125" customWidth="1"/>
    <col min="3" max="3" width="13" customWidth="1"/>
    <col min="4" max="4" width="18.140625" customWidth="1"/>
    <col min="5" max="7" width="17.28515625" customWidth="1"/>
    <col min="8" max="8" width="21" customWidth="1"/>
    <col min="9" max="10" width="17.42578125" customWidth="1"/>
    <col min="11" max="11" width="22.28515625" customWidth="1"/>
    <col min="12" max="14" width="22.140625" customWidth="1"/>
  </cols>
  <sheetData>
    <row r="1" spans="1:18">
      <c r="A1" s="404" t="s">
        <v>546</v>
      </c>
    </row>
    <row r="2" spans="1:18" ht="15">
      <c r="A2" s="362" t="s">
        <v>470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8" ht="90">
      <c r="A4" s="16" t="s">
        <v>629</v>
      </c>
      <c r="B4" s="97" t="s">
        <v>804</v>
      </c>
      <c r="C4" s="97" t="s">
        <v>805</v>
      </c>
      <c r="D4" s="97" t="s">
        <v>806</v>
      </c>
      <c r="E4" s="97" t="s">
        <v>48</v>
      </c>
      <c r="F4" s="97" t="s">
        <v>49</v>
      </c>
      <c r="G4" s="97" t="s">
        <v>50</v>
      </c>
      <c r="H4" s="98" t="s">
        <v>136</v>
      </c>
      <c r="I4" s="98" t="s">
        <v>137</v>
      </c>
      <c r="J4" s="98" t="s">
        <v>138</v>
      </c>
      <c r="K4" s="97" t="s">
        <v>850</v>
      </c>
      <c r="L4" s="99" t="s">
        <v>57</v>
      </c>
      <c r="M4" s="99" t="s">
        <v>58</v>
      </c>
      <c r="N4" s="99" t="s">
        <v>59</v>
      </c>
      <c r="O4" s="2"/>
      <c r="P4" s="2"/>
      <c r="Q4" s="2"/>
      <c r="R4" s="2"/>
    </row>
    <row r="5" spans="1:18" ht="30">
      <c r="A5" s="7" t="s">
        <v>719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"/>
      <c r="P5" s="2"/>
      <c r="Q5" s="2"/>
      <c r="R5" s="2"/>
    </row>
    <row r="6" spans="1:18" ht="30">
      <c r="A6" s="7" t="s">
        <v>720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"/>
      <c r="P6" s="2"/>
      <c r="Q6" s="2"/>
      <c r="R6" s="2"/>
    </row>
    <row r="7" spans="1:18" ht="45">
      <c r="A7" s="7" t="s">
        <v>721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"/>
      <c r="P7" s="2"/>
      <c r="Q7" s="2"/>
      <c r="R7" s="2"/>
    </row>
    <row r="8" spans="1:18" ht="30">
      <c r="A8" s="7" t="s">
        <v>722</v>
      </c>
      <c r="B8" s="20"/>
      <c r="C8" s="20"/>
      <c r="D8" s="20"/>
      <c r="E8" s="90">
        <f ca="1">'3. szakfeladatok'!O14</f>
        <v>4922</v>
      </c>
      <c r="F8" s="90">
        <v>4922</v>
      </c>
      <c r="G8" s="90">
        <v>5135</v>
      </c>
      <c r="H8" s="90">
        <f>E8</f>
        <v>4922</v>
      </c>
      <c r="I8" s="90">
        <v>4922</v>
      </c>
      <c r="J8" s="90">
        <v>5135</v>
      </c>
      <c r="K8" s="90"/>
      <c r="L8" s="90">
        <f>H8</f>
        <v>4922</v>
      </c>
      <c r="M8" s="90">
        <v>4922</v>
      </c>
      <c r="N8" s="90">
        <v>5135</v>
      </c>
      <c r="O8" s="2"/>
      <c r="P8" s="2"/>
      <c r="Q8" s="2"/>
      <c r="R8" s="2"/>
    </row>
    <row r="9" spans="1:18" ht="30">
      <c r="A9" s="7" t="s">
        <v>723</v>
      </c>
      <c r="B9" s="20"/>
      <c r="C9" s="20"/>
      <c r="D9" s="20"/>
      <c r="E9" s="90"/>
      <c r="F9" s="90"/>
      <c r="G9" s="90"/>
      <c r="H9" s="90"/>
      <c r="I9" s="90"/>
      <c r="J9" s="90"/>
      <c r="K9" s="90"/>
      <c r="L9" s="90"/>
      <c r="M9" s="90"/>
      <c r="N9" s="90"/>
      <c r="O9" s="2"/>
      <c r="P9" s="2"/>
      <c r="Q9" s="2"/>
      <c r="R9" s="2"/>
    </row>
    <row r="10" spans="1:18" ht="30">
      <c r="A10" s="7" t="s">
        <v>724</v>
      </c>
      <c r="B10" s="20"/>
      <c r="C10" s="20"/>
      <c r="D10" s="2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2"/>
      <c r="P10" s="2"/>
      <c r="Q10" s="2"/>
      <c r="R10" s="2"/>
    </row>
    <row r="11" spans="1:18" ht="30">
      <c r="A11" s="7" t="s">
        <v>725</v>
      </c>
      <c r="B11" s="20"/>
      <c r="C11" s="20"/>
      <c r="D11" s="2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2"/>
      <c r="P11" s="2"/>
      <c r="Q11" s="2"/>
      <c r="R11" s="2"/>
    </row>
    <row r="12" spans="1:18" ht="30">
      <c r="A12" s="7" t="s">
        <v>726</v>
      </c>
      <c r="B12" s="20"/>
      <c r="C12" s="20"/>
      <c r="D12" s="2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2"/>
      <c r="P12" s="2"/>
      <c r="Q12" s="2"/>
      <c r="R12" s="2"/>
    </row>
    <row r="13" spans="1:18" ht="45">
      <c r="A13" s="7" t="s">
        <v>727</v>
      </c>
      <c r="B13" s="20"/>
      <c r="C13" s="20"/>
      <c r="D13" s="2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2"/>
      <c r="P13" s="2"/>
      <c r="Q13" s="2"/>
      <c r="R13" s="2"/>
    </row>
    <row r="14" spans="1:18" ht="30" customHeight="1">
      <c r="A14" s="7" t="s">
        <v>545</v>
      </c>
      <c r="B14" s="20"/>
      <c r="C14" s="20"/>
      <c r="D14" s="20"/>
      <c r="E14" s="90"/>
      <c r="F14" s="90">
        <v>2503</v>
      </c>
      <c r="G14" s="90">
        <v>2603</v>
      </c>
      <c r="H14" s="90"/>
      <c r="I14" s="90">
        <v>2503</v>
      </c>
      <c r="J14" s="90">
        <v>2603</v>
      </c>
      <c r="K14" s="90"/>
      <c r="L14" s="90"/>
      <c r="M14" s="90">
        <v>2503</v>
      </c>
      <c r="N14" s="90">
        <v>2603</v>
      </c>
      <c r="O14" s="2"/>
      <c r="P14" s="2"/>
      <c r="Q14" s="2"/>
      <c r="R14" s="2"/>
    </row>
    <row r="15" spans="1:18" ht="15.75">
      <c r="A15" s="24" t="s">
        <v>728</v>
      </c>
      <c r="B15" s="90">
        <f>SUM(B5:B14)</f>
        <v>0</v>
      </c>
      <c r="C15" s="90">
        <f>SUM(C5:C14)</f>
        <v>0</v>
      </c>
      <c r="D15" s="90">
        <f>SUM(D5:D14)</f>
        <v>0</v>
      </c>
      <c r="E15" s="90">
        <f>SUM(E8:E14)</f>
        <v>4922</v>
      </c>
      <c r="F15" s="90">
        <f t="shared" ref="F15:N15" si="0">SUM(F8:F14)</f>
        <v>7425</v>
      </c>
      <c r="G15" s="90">
        <f t="shared" si="0"/>
        <v>7738</v>
      </c>
      <c r="H15" s="90">
        <f t="shared" si="0"/>
        <v>4922</v>
      </c>
      <c r="I15" s="90">
        <f t="shared" si="0"/>
        <v>7425</v>
      </c>
      <c r="J15" s="90">
        <f t="shared" si="0"/>
        <v>7738</v>
      </c>
      <c r="K15" s="90">
        <f t="shared" si="0"/>
        <v>0</v>
      </c>
      <c r="L15" s="90">
        <f t="shared" si="0"/>
        <v>4922</v>
      </c>
      <c r="M15" s="90">
        <f t="shared" si="0"/>
        <v>7425</v>
      </c>
      <c r="N15" s="90">
        <f t="shared" si="0"/>
        <v>7738</v>
      </c>
      <c r="O15" s="2"/>
      <c r="P15" s="2"/>
      <c r="Q15" s="2"/>
      <c r="R15" s="2"/>
    </row>
    <row r="16" spans="1:18" ht="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90">
      <c r="A19" s="16" t="s">
        <v>629</v>
      </c>
      <c r="B19" s="97" t="s">
        <v>804</v>
      </c>
      <c r="C19" s="97" t="s">
        <v>805</v>
      </c>
      <c r="D19" s="97" t="s">
        <v>806</v>
      </c>
      <c r="E19" s="97" t="s">
        <v>48</v>
      </c>
      <c r="F19" s="97" t="s">
        <v>49</v>
      </c>
      <c r="G19" s="97" t="s">
        <v>50</v>
      </c>
      <c r="H19" s="98" t="s">
        <v>136</v>
      </c>
      <c r="I19" s="98" t="s">
        <v>137</v>
      </c>
      <c r="J19" s="98" t="s">
        <v>138</v>
      </c>
      <c r="K19" s="97" t="s">
        <v>850</v>
      </c>
      <c r="L19" s="99" t="s">
        <v>57</v>
      </c>
      <c r="M19" s="99" t="s">
        <v>58</v>
      </c>
      <c r="N19" s="99" t="s">
        <v>59</v>
      </c>
      <c r="O19" s="2"/>
      <c r="P19" s="2"/>
      <c r="Q19" s="2"/>
      <c r="R19" s="2"/>
    </row>
    <row r="20" spans="1:18" ht="30">
      <c r="A20" s="46" t="s">
        <v>729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"/>
      <c r="P20" s="2"/>
      <c r="Q20" s="2"/>
      <c r="R20" s="2"/>
    </row>
    <row r="21" spans="1:18" ht="30">
      <c r="A21" s="7" t="s">
        <v>730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"/>
      <c r="P21" s="2"/>
      <c r="Q21" s="2"/>
      <c r="R21" s="2"/>
    </row>
    <row r="22" spans="1:18" ht="45">
      <c r="A22" s="7" t="s">
        <v>731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"/>
      <c r="P22" s="2"/>
      <c r="Q22" s="2"/>
      <c r="R22" s="2"/>
    </row>
    <row r="23" spans="1:18" ht="45">
      <c r="A23" s="7" t="s">
        <v>732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"/>
      <c r="P23" s="2"/>
      <c r="Q23" s="2"/>
      <c r="R23" s="2"/>
    </row>
    <row r="24" spans="1:18" ht="30">
      <c r="A24" s="7" t="s">
        <v>733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"/>
      <c r="P24" s="2"/>
      <c r="Q24" s="2"/>
      <c r="R24" s="2"/>
    </row>
    <row r="25" spans="1:18" ht="30">
      <c r="A25" s="7" t="s">
        <v>734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"/>
      <c r="P25" s="2"/>
      <c r="Q25" s="2"/>
      <c r="R25" s="2"/>
    </row>
    <row r="26" spans="1:18" ht="30">
      <c r="A26" s="7" t="s">
        <v>735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"/>
      <c r="P26" s="2"/>
      <c r="Q26" s="2"/>
      <c r="R26" s="2"/>
    </row>
    <row r="27" spans="1:18" ht="30">
      <c r="A27" s="7" t="s">
        <v>736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"/>
      <c r="P27" s="2"/>
      <c r="Q27" s="2"/>
      <c r="R27" s="2"/>
    </row>
    <row r="28" spans="1:18" ht="30">
      <c r="A28" s="7" t="s">
        <v>737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"/>
      <c r="P28" s="2"/>
      <c r="Q28" s="2"/>
      <c r="R28" s="2"/>
    </row>
    <row r="29" spans="1:18" ht="45">
      <c r="A29" s="7" t="s">
        <v>738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"/>
      <c r="P29" s="2"/>
      <c r="Q29" s="2"/>
      <c r="R29" s="2"/>
    </row>
    <row r="30" spans="1:18" ht="24.75" customHeight="1">
      <c r="A30" s="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"/>
      <c r="P30" s="2"/>
      <c r="Q30" s="2"/>
      <c r="R30" s="2"/>
    </row>
    <row r="31" spans="1:18" ht="15.75">
      <c r="A31" s="24" t="s">
        <v>739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"/>
      <c r="P31" s="2"/>
      <c r="Q31" s="2"/>
      <c r="R31" s="2"/>
    </row>
    <row r="32" spans="1:18" ht="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</sheetData>
  <phoneticPr fontId="7" type="noConversion"/>
  <pageMargins left="0.75" right="0.75" top="0.28000000000000003" bottom="0.35" header="0.17" footer="0.11"/>
  <pageSetup paperSize="9" scale="51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J68"/>
  <sheetViews>
    <sheetView workbookViewId="0">
      <selection activeCell="A3" sqref="A3"/>
    </sheetView>
  </sheetViews>
  <sheetFormatPr defaultRowHeight="12.75"/>
  <cols>
    <col min="1" max="1" width="46.28515625" customWidth="1"/>
    <col min="2" max="2" width="16.5703125" customWidth="1"/>
    <col min="3" max="3" width="13" customWidth="1"/>
    <col min="4" max="4" width="18.140625" customWidth="1"/>
    <col min="5" max="5" width="16.28515625" customWidth="1"/>
    <col min="6" max="6" width="17.42578125" customWidth="1"/>
    <col min="7" max="7" width="22.28515625" customWidth="1"/>
    <col min="8" max="8" width="22.140625" customWidth="1"/>
  </cols>
  <sheetData>
    <row r="1" spans="1:10">
      <c r="A1" s="363" t="s">
        <v>28</v>
      </c>
    </row>
    <row r="2" spans="1:10" ht="15">
      <c r="A2" s="362" t="s">
        <v>471</v>
      </c>
      <c r="B2" s="2"/>
      <c r="C2" s="2"/>
      <c r="D2" s="2"/>
      <c r="E2" s="2"/>
      <c r="F2" s="2"/>
      <c r="G2" s="2"/>
      <c r="H2" s="2"/>
      <c r="I2" s="2"/>
      <c r="J2" s="2"/>
    </row>
    <row r="3" spans="1:10" ht="1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60">
      <c r="A4" s="16" t="s">
        <v>629</v>
      </c>
      <c r="B4" s="97" t="s">
        <v>804</v>
      </c>
      <c r="C4" s="97" t="s">
        <v>805</v>
      </c>
      <c r="D4" s="97" t="s">
        <v>806</v>
      </c>
      <c r="E4" s="97" t="s">
        <v>807</v>
      </c>
      <c r="F4" s="98" t="s">
        <v>630</v>
      </c>
      <c r="G4" s="97" t="s">
        <v>850</v>
      </c>
      <c r="H4" s="99" t="s">
        <v>631</v>
      </c>
      <c r="I4" s="2"/>
      <c r="J4" s="2"/>
    </row>
    <row r="5" spans="1:10" ht="30">
      <c r="A5" s="7" t="s">
        <v>740</v>
      </c>
      <c r="B5" s="20"/>
      <c r="C5" s="20"/>
      <c r="D5" s="20"/>
      <c r="E5" s="20"/>
      <c r="F5" s="20"/>
      <c r="G5" s="20"/>
      <c r="H5" s="20"/>
      <c r="I5" s="2"/>
      <c r="J5" s="2"/>
    </row>
    <row r="6" spans="1:10" ht="30">
      <c r="A6" s="7" t="s">
        <v>741</v>
      </c>
      <c r="B6" s="20"/>
      <c r="C6" s="20"/>
      <c r="D6" s="20"/>
      <c r="E6" s="20"/>
      <c r="F6" s="20"/>
      <c r="G6" s="20"/>
      <c r="H6" s="20"/>
      <c r="I6" s="2"/>
      <c r="J6" s="2"/>
    </row>
    <row r="7" spans="1:10" ht="30">
      <c r="A7" s="7" t="s">
        <v>742</v>
      </c>
      <c r="B7" s="20"/>
      <c r="C7" s="20"/>
      <c r="D7" s="20"/>
      <c r="E7" s="20"/>
      <c r="F7" s="20"/>
      <c r="G7" s="20"/>
      <c r="H7" s="20"/>
      <c r="I7" s="2"/>
      <c r="J7" s="2"/>
    </row>
    <row r="8" spans="1:10" ht="30">
      <c r="A8" s="7" t="s">
        <v>743</v>
      </c>
      <c r="B8" s="20"/>
      <c r="C8" s="20"/>
      <c r="D8" s="20"/>
      <c r="E8" s="20"/>
      <c r="F8" s="20"/>
      <c r="G8" s="20"/>
      <c r="H8" s="20"/>
      <c r="I8" s="2"/>
      <c r="J8" s="2"/>
    </row>
    <row r="9" spans="1:10" ht="45">
      <c r="A9" s="7" t="s">
        <v>744</v>
      </c>
      <c r="B9" s="20"/>
      <c r="C9" s="20"/>
      <c r="D9" s="20"/>
      <c r="E9" s="20"/>
      <c r="F9" s="20"/>
      <c r="G9" s="20"/>
      <c r="H9" s="20"/>
      <c r="I9" s="2"/>
      <c r="J9" s="2"/>
    </row>
    <row r="10" spans="1:10" ht="45">
      <c r="A10" s="7" t="s">
        <v>745</v>
      </c>
      <c r="B10" s="20"/>
      <c r="C10" s="20"/>
      <c r="D10" s="20"/>
      <c r="E10" s="20"/>
      <c r="F10" s="20"/>
      <c r="G10" s="20"/>
      <c r="H10" s="20"/>
      <c r="I10" s="2"/>
      <c r="J10" s="2"/>
    </row>
    <row r="11" spans="1:10" ht="30">
      <c r="A11" s="7" t="s">
        <v>746</v>
      </c>
      <c r="B11" s="20"/>
      <c r="C11" s="20"/>
      <c r="D11" s="20"/>
      <c r="E11" s="20"/>
      <c r="F11" s="20"/>
      <c r="G11" s="20"/>
      <c r="H11" s="20"/>
      <c r="I11" s="2"/>
      <c r="J11" s="2"/>
    </row>
    <row r="12" spans="1:10" ht="45">
      <c r="A12" s="7" t="s">
        <v>747</v>
      </c>
      <c r="B12" s="20"/>
      <c r="C12" s="20"/>
      <c r="D12" s="20"/>
      <c r="E12" s="20"/>
      <c r="F12" s="20"/>
      <c r="G12" s="20"/>
      <c r="H12" s="20"/>
      <c r="I12" s="2"/>
      <c r="J12" s="2"/>
    </row>
    <row r="13" spans="1:10" ht="30">
      <c r="A13" s="7" t="s">
        <v>748</v>
      </c>
      <c r="B13" s="20"/>
      <c r="C13" s="20"/>
      <c r="D13" s="20"/>
      <c r="E13" s="20"/>
      <c r="F13" s="20"/>
      <c r="G13" s="20"/>
      <c r="H13" s="20"/>
      <c r="I13" s="2"/>
      <c r="J13" s="2"/>
    </row>
    <row r="14" spans="1:10" ht="45">
      <c r="A14" s="7" t="s">
        <v>749</v>
      </c>
      <c r="B14" s="20"/>
      <c r="C14" s="20"/>
      <c r="D14" s="20"/>
      <c r="E14" s="20"/>
      <c r="F14" s="20"/>
      <c r="G14" s="20"/>
      <c r="H14" s="20"/>
      <c r="I14" s="2"/>
      <c r="J14" s="2"/>
    </row>
    <row r="15" spans="1:10" ht="26.25" customHeight="1">
      <c r="A15" s="7"/>
      <c r="B15" s="20"/>
      <c r="C15" s="20"/>
      <c r="D15" s="20"/>
      <c r="E15" s="20"/>
      <c r="F15" s="20"/>
      <c r="G15" s="20"/>
      <c r="H15" s="20"/>
      <c r="I15" s="2"/>
      <c r="J15" s="2"/>
    </row>
    <row r="16" spans="1:10" ht="31.5">
      <c r="A16" s="24" t="s">
        <v>750</v>
      </c>
      <c r="B16" s="20"/>
      <c r="C16" s="20"/>
      <c r="D16" s="20"/>
      <c r="E16" s="20"/>
      <c r="F16" s="20"/>
      <c r="G16" s="20"/>
      <c r="H16" s="20"/>
      <c r="I16" s="2"/>
      <c r="J16" s="2"/>
    </row>
    <row r="17" spans="1:10" ht="15">
      <c r="A17" s="45"/>
      <c r="B17" s="2"/>
      <c r="C17" s="2"/>
      <c r="D17" s="2"/>
      <c r="E17" s="2"/>
      <c r="F17" s="2"/>
      <c r="G17" s="2"/>
      <c r="H17" s="2"/>
      <c r="I17" s="2"/>
      <c r="J17" s="2"/>
    </row>
    <row r="18" spans="1:10" ht="15">
      <c r="A18" s="45"/>
      <c r="B18" s="2"/>
      <c r="C18" s="2"/>
      <c r="D18" s="2"/>
      <c r="E18" s="2"/>
      <c r="F18" s="2"/>
      <c r="G18" s="2"/>
      <c r="H18" s="2"/>
      <c r="I18" s="2"/>
      <c r="J18" s="2"/>
    </row>
    <row r="19" spans="1:10" ht="60">
      <c r="A19" s="16" t="s">
        <v>629</v>
      </c>
      <c r="B19" s="97" t="s">
        <v>804</v>
      </c>
      <c r="C19" s="97" t="s">
        <v>805</v>
      </c>
      <c r="D19" s="97" t="s">
        <v>806</v>
      </c>
      <c r="E19" s="97" t="s">
        <v>807</v>
      </c>
      <c r="F19" s="98" t="s">
        <v>630</v>
      </c>
      <c r="G19" s="97" t="s">
        <v>850</v>
      </c>
      <c r="H19" s="99" t="s">
        <v>631</v>
      </c>
      <c r="I19" s="2"/>
      <c r="J19" s="2"/>
    </row>
    <row r="20" spans="1:10" ht="30">
      <c r="A20" s="7" t="s">
        <v>751</v>
      </c>
      <c r="B20" s="20"/>
      <c r="C20" s="20"/>
      <c r="D20" s="20"/>
      <c r="E20" s="20"/>
      <c r="F20" s="20"/>
      <c r="G20" s="20"/>
      <c r="H20" s="20"/>
      <c r="I20" s="2"/>
      <c r="J20" s="2"/>
    </row>
    <row r="21" spans="1:10" ht="30">
      <c r="A21" s="7" t="s">
        <v>752</v>
      </c>
      <c r="B21" s="20"/>
      <c r="C21" s="20"/>
      <c r="D21" s="20"/>
      <c r="E21" s="20"/>
      <c r="F21" s="20"/>
      <c r="G21" s="20"/>
      <c r="H21" s="20"/>
      <c r="I21" s="2"/>
      <c r="J21" s="2"/>
    </row>
    <row r="22" spans="1:10" ht="30">
      <c r="A22" s="7" t="s">
        <v>753</v>
      </c>
      <c r="B22" s="20"/>
      <c r="C22" s="20"/>
      <c r="D22" s="20"/>
      <c r="E22" s="20"/>
      <c r="F22" s="20"/>
      <c r="G22" s="20"/>
      <c r="H22" s="20"/>
      <c r="I22" s="2"/>
      <c r="J22" s="2"/>
    </row>
    <row r="23" spans="1:10" ht="30">
      <c r="A23" s="7" t="s">
        <v>754</v>
      </c>
      <c r="B23" s="20"/>
      <c r="C23" s="20"/>
      <c r="D23" s="20"/>
      <c r="E23" s="20"/>
      <c r="F23" s="20"/>
      <c r="G23" s="20"/>
      <c r="H23" s="20"/>
      <c r="I23" s="2"/>
      <c r="J23" s="2"/>
    </row>
    <row r="24" spans="1:10" ht="45">
      <c r="A24" s="7" t="s">
        <v>755</v>
      </c>
      <c r="B24" s="20"/>
      <c r="C24" s="20"/>
      <c r="D24" s="20"/>
      <c r="E24" s="20"/>
      <c r="F24" s="20"/>
      <c r="G24" s="20"/>
      <c r="H24" s="20"/>
      <c r="I24" s="2"/>
      <c r="J24" s="2"/>
    </row>
    <row r="25" spans="1:10" ht="45">
      <c r="A25" s="7" t="s">
        <v>756</v>
      </c>
      <c r="B25" s="20"/>
      <c r="C25" s="20"/>
      <c r="D25" s="20"/>
      <c r="E25" s="20"/>
      <c r="F25" s="20"/>
      <c r="G25" s="20"/>
      <c r="H25" s="20"/>
      <c r="I25" s="2"/>
      <c r="J25" s="2"/>
    </row>
    <row r="26" spans="1:10" ht="30">
      <c r="A26" s="7" t="s">
        <v>757</v>
      </c>
      <c r="B26" s="20"/>
      <c r="C26" s="20"/>
      <c r="D26" s="20"/>
      <c r="E26" s="20"/>
      <c r="F26" s="20"/>
      <c r="G26" s="20"/>
      <c r="H26" s="20"/>
      <c r="I26" s="2"/>
      <c r="J26" s="2"/>
    </row>
    <row r="27" spans="1:10" ht="45">
      <c r="A27" s="7" t="s">
        <v>758</v>
      </c>
      <c r="B27" s="20"/>
      <c r="C27" s="20"/>
      <c r="D27" s="20"/>
      <c r="E27" s="20"/>
      <c r="F27" s="20"/>
      <c r="G27" s="20"/>
      <c r="H27" s="20"/>
      <c r="I27" s="2"/>
      <c r="J27" s="2"/>
    </row>
    <row r="28" spans="1:10" ht="30">
      <c r="A28" s="7" t="s">
        <v>759</v>
      </c>
      <c r="B28" s="20"/>
      <c r="C28" s="20"/>
      <c r="D28" s="20"/>
      <c r="E28" s="20"/>
      <c r="F28" s="20"/>
      <c r="G28" s="20"/>
      <c r="H28" s="20"/>
      <c r="I28" s="2"/>
      <c r="J28" s="2"/>
    </row>
    <row r="29" spans="1:10" ht="45">
      <c r="A29" s="7" t="s">
        <v>760</v>
      </c>
      <c r="B29" s="20"/>
      <c r="C29" s="20"/>
      <c r="D29" s="20"/>
      <c r="E29" s="20"/>
      <c r="F29" s="20"/>
      <c r="G29" s="20"/>
      <c r="H29" s="20"/>
      <c r="I29" s="2"/>
      <c r="J29" s="2"/>
    </row>
    <row r="30" spans="1:10" ht="47.25">
      <c r="A30" s="24" t="s">
        <v>594</v>
      </c>
      <c r="B30" s="20"/>
      <c r="C30" s="20"/>
      <c r="D30" s="20"/>
      <c r="E30" s="20"/>
      <c r="F30" s="20"/>
      <c r="G30" s="20"/>
      <c r="H30" s="20"/>
      <c r="I30" s="2"/>
      <c r="J30" s="2"/>
    </row>
    <row r="31" spans="1:10" ht="1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5">
      <c r="A68" s="2"/>
      <c r="B68" s="2"/>
      <c r="C68" s="2"/>
      <c r="D68" s="2"/>
      <c r="E68" s="2"/>
      <c r="F68" s="2"/>
      <c r="G68" s="2"/>
      <c r="H68" s="2"/>
      <c r="I68" s="2"/>
      <c r="J68" s="2"/>
    </row>
  </sheetData>
  <phoneticPr fontId="7" type="noConversion"/>
  <pageMargins left="0.75" right="0.75" top="0.21" bottom="0.24" header="0.09" footer="0.06"/>
  <pageSetup paperSize="9" scale="5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D73"/>
  <sheetViews>
    <sheetView workbookViewId="0">
      <selection activeCell="A2" sqref="A2"/>
    </sheetView>
  </sheetViews>
  <sheetFormatPr defaultRowHeight="12.75"/>
  <cols>
    <col min="1" max="1" width="46.28515625" customWidth="1"/>
    <col min="2" max="2" width="18.140625" style="95" customWidth="1"/>
    <col min="3" max="4" width="21.140625" style="95" customWidth="1"/>
  </cols>
  <sheetData>
    <row r="1" spans="1:4">
      <c r="A1" s="405" t="s">
        <v>29</v>
      </c>
    </row>
    <row r="2" spans="1:4" ht="15">
      <c r="A2" s="406" t="s">
        <v>235</v>
      </c>
      <c r="B2" s="100"/>
      <c r="C2" s="100"/>
      <c r="D2" s="100"/>
    </row>
    <row r="3" spans="1:4" ht="15">
      <c r="A3" s="2"/>
      <c r="B3" s="100"/>
      <c r="C3" s="100"/>
      <c r="D3" s="100"/>
    </row>
    <row r="4" spans="1:4" ht="45">
      <c r="A4" s="16" t="s">
        <v>629</v>
      </c>
      <c r="B4" s="97" t="s">
        <v>48</v>
      </c>
      <c r="C4" s="97" t="s">
        <v>49</v>
      </c>
      <c r="D4" s="97" t="s">
        <v>50</v>
      </c>
    </row>
    <row r="5" spans="1:4" ht="15">
      <c r="A5" s="47" t="s">
        <v>761</v>
      </c>
      <c r="B5" s="90">
        <v>50000</v>
      </c>
      <c r="C5" s="90">
        <v>53500</v>
      </c>
      <c r="D5" s="90">
        <v>62941</v>
      </c>
    </row>
    <row r="6" spans="1:4" ht="15">
      <c r="A6" s="47" t="s">
        <v>762</v>
      </c>
      <c r="B6" s="90">
        <v>16000</v>
      </c>
      <c r="C6" s="90">
        <v>24000</v>
      </c>
      <c r="D6" s="90">
        <v>31612</v>
      </c>
    </row>
    <row r="7" spans="1:4" ht="15">
      <c r="A7" s="47" t="s">
        <v>763</v>
      </c>
      <c r="B7" s="90"/>
      <c r="C7" s="90"/>
      <c r="D7" s="90"/>
    </row>
    <row r="8" spans="1:4" ht="15">
      <c r="A8" s="47" t="s">
        <v>764</v>
      </c>
      <c r="B8" s="90">
        <v>12500</v>
      </c>
      <c r="C8" s="90">
        <v>14000</v>
      </c>
      <c r="D8" s="90">
        <v>17504</v>
      </c>
    </row>
    <row r="9" spans="1:4" ht="15">
      <c r="A9" s="47" t="s">
        <v>765</v>
      </c>
      <c r="B9" s="90">
        <v>100</v>
      </c>
      <c r="C9" s="90">
        <v>100</v>
      </c>
      <c r="D9" s="90">
        <v>518</v>
      </c>
    </row>
    <row r="10" spans="1:4" ht="15">
      <c r="A10" s="47" t="s">
        <v>766</v>
      </c>
      <c r="B10" s="90"/>
      <c r="C10" s="90"/>
      <c r="D10" s="90"/>
    </row>
    <row r="11" spans="1:4" ht="30">
      <c r="A11" s="47" t="s">
        <v>767</v>
      </c>
      <c r="B11" s="90">
        <v>27300</v>
      </c>
      <c r="C11" s="90">
        <v>27300</v>
      </c>
      <c r="D11" s="90">
        <v>34314</v>
      </c>
    </row>
    <row r="12" spans="1:4" ht="30">
      <c r="A12" s="47" t="s">
        <v>768</v>
      </c>
      <c r="B12" s="90"/>
      <c r="C12" s="90"/>
      <c r="D12" s="90"/>
    </row>
    <row r="13" spans="1:4" ht="15">
      <c r="A13" s="47" t="s">
        <v>853</v>
      </c>
      <c r="B13" s="90">
        <v>800</v>
      </c>
      <c r="C13" s="90">
        <v>1500</v>
      </c>
      <c r="D13" s="90">
        <v>2279</v>
      </c>
    </row>
    <row r="14" spans="1:4" ht="15">
      <c r="A14" s="47"/>
      <c r="B14" s="90"/>
      <c r="C14" s="90"/>
      <c r="D14" s="90"/>
    </row>
    <row r="15" spans="1:4" ht="15">
      <c r="A15" s="47"/>
      <c r="B15" s="90"/>
      <c r="C15" s="90"/>
      <c r="D15" s="90"/>
    </row>
    <row r="16" spans="1:4" ht="15">
      <c r="A16" s="47"/>
      <c r="B16" s="90"/>
      <c r="C16" s="90"/>
      <c r="D16" s="90"/>
    </row>
    <row r="17" spans="1:4" s="101" customFormat="1" ht="15.75">
      <c r="A17" s="24" t="s">
        <v>769</v>
      </c>
      <c r="B17" s="91">
        <f>SUM(B5:B16)</f>
        <v>106700</v>
      </c>
      <c r="C17" s="91">
        <f>SUM(C5:C16)</f>
        <v>120400</v>
      </c>
      <c r="D17" s="91">
        <f>SUM(D5:D16)</f>
        <v>149168</v>
      </c>
    </row>
    <row r="18" spans="1:4" ht="15">
      <c r="A18" s="2"/>
      <c r="B18" s="100"/>
      <c r="C18" s="100"/>
      <c r="D18" s="100"/>
    </row>
    <row r="19" spans="1:4" ht="45">
      <c r="A19" s="16" t="s">
        <v>629</v>
      </c>
      <c r="B19" s="97" t="s">
        <v>48</v>
      </c>
      <c r="C19" s="97" t="s">
        <v>49</v>
      </c>
      <c r="D19" s="97" t="s">
        <v>50</v>
      </c>
    </row>
    <row r="20" spans="1:4" ht="15.75">
      <c r="A20" s="48" t="s">
        <v>591</v>
      </c>
      <c r="B20" s="90">
        <v>150</v>
      </c>
      <c r="C20" s="90">
        <v>150</v>
      </c>
      <c r="D20" s="90">
        <v>189</v>
      </c>
    </row>
    <row r="21" spans="1:4" ht="15.75">
      <c r="A21" s="48" t="s">
        <v>851</v>
      </c>
      <c r="B21" s="90">
        <v>2500</v>
      </c>
      <c r="C21" s="90">
        <v>6000</v>
      </c>
      <c r="D21" s="90">
        <v>8417</v>
      </c>
    </row>
    <row r="22" spans="1:4" ht="15.75">
      <c r="A22" s="48" t="s">
        <v>852</v>
      </c>
      <c r="B22" s="90">
        <v>150</v>
      </c>
      <c r="C22" s="90">
        <v>150</v>
      </c>
      <c r="D22" s="90">
        <v>65</v>
      </c>
    </row>
    <row r="23" spans="1:4" ht="15">
      <c r="A23" s="49" t="s">
        <v>770</v>
      </c>
      <c r="B23" s="90">
        <f>17000*0.4</f>
        <v>6800</v>
      </c>
      <c r="C23" s="90">
        <v>8100</v>
      </c>
      <c r="D23" s="90">
        <v>10951</v>
      </c>
    </row>
    <row r="24" spans="1:4" ht="30">
      <c r="A24" s="49" t="s">
        <v>771</v>
      </c>
      <c r="B24" s="90">
        <v>50</v>
      </c>
      <c r="C24" s="90">
        <v>50</v>
      </c>
      <c r="D24" s="90">
        <v>0</v>
      </c>
    </row>
    <row r="25" spans="1:4" ht="15">
      <c r="A25" s="49"/>
      <c r="B25" s="90"/>
      <c r="C25" s="90"/>
      <c r="D25" s="90"/>
    </row>
    <row r="26" spans="1:4" ht="15">
      <c r="A26" s="49"/>
      <c r="B26" s="90"/>
      <c r="C26" s="90"/>
      <c r="D26" s="90"/>
    </row>
    <row r="27" spans="1:4" ht="15">
      <c r="A27" s="49"/>
      <c r="B27" s="90"/>
      <c r="C27" s="90"/>
      <c r="D27" s="90"/>
    </row>
    <row r="28" spans="1:4" ht="15.75">
      <c r="A28" s="50" t="s">
        <v>772</v>
      </c>
      <c r="B28" s="90">
        <f>SUM(B20:B27)</f>
        <v>9650</v>
      </c>
      <c r="C28" s="90">
        <f>SUM(C20:C27)</f>
        <v>14450</v>
      </c>
      <c r="D28" s="90">
        <f>SUM(D20:D27)</f>
        <v>19622</v>
      </c>
    </row>
    <row r="29" spans="1:4" ht="15.75">
      <c r="A29" s="102"/>
      <c r="B29" s="103"/>
      <c r="C29" s="103"/>
      <c r="D29" s="103"/>
    </row>
    <row r="30" spans="1:4" ht="15.75">
      <c r="A30" s="102"/>
      <c r="B30" s="103"/>
      <c r="C30" s="103"/>
      <c r="D30" s="103"/>
    </row>
    <row r="31" spans="1:4" s="101" customFormat="1" ht="25.5" customHeight="1">
      <c r="A31" s="12" t="s">
        <v>854</v>
      </c>
      <c r="B31" s="91">
        <f>B28+B17</f>
        <v>116350</v>
      </c>
      <c r="C31" s="91">
        <f>C28+C17</f>
        <v>134850</v>
      </c>
      <c r="D31" s="91">
        <f>D28+D17</f>
        <v>168790</v>
      </c>
    </row>
    <row r="32" spans="1:4" ht="15">
      <c r="A32" s="2"/>
      <c r="B32" s="100"/>
      <c r="C32" s="100"/>
      <c r="D32" s="100"/>
    </row>
    <row r="33" spans="1:4" ht="15">
      <c r="A33" s="2"/>
      <c r="B33" s="100"/>
      <c r="C33" s="100"/>
      <c r="D33" s="100"/>
    </row>
    <row r="34" spans="1:4" ht="15">
      <c r="A34" s="2"/>
      <c r="B34" s="100"/>
      <c r="C34" s="100"/>
      <c r="D34" s="100"/>
    </row>
    <row r="35" spans="1:4" ht="15">
      <c r="A35" s="2"/>
      <c r="B35" s="100"/>
      <c r="C35" s="100"/>
      <c r="D35" s="100"/>
    </row>
    <row r="36" spans="1:4" ht="15">
      <c r="A36" s="2"/>
      <c r="B36" s="100"/>
      <c r="C36" s="100"/>
      <c r="D36" s="100"/>
    </row>
    <row r="37" spans="1:4" ht="15">
      <c r="A37" s="2"/>
      <c r="B37" s="100"/>
      <c r="C37" s="100"/>
      <c r="D37" s="100"/>
    </row>
    <row r="38" spans="1:4" ht="15">
      <c r="A38" s="2"/>
      <c r="B38" s="100"/>
      <c r="C38" s="100"/>
      <c r="D38" s="100"/>
    </row>
    <row r="39" spans="1:4" ht="15">
      <c r="A39" s="2"/>
      <c r="B39" s="100"/>
      <c r="C39" s="100"/>
      <c r="D39" s="100"/>
    </row>
    <row r="40" spans="1:4" ht="15">
      <c r="A40" s="2"/>
      <c r="B40" s="100"/>
      <c r="C40" s="100"/>
      <c r="D40" s="100"/>
    </row>
    <row r="41" spans="1:4" ht="15">
      <c r="A41" s="2"/>
      <c r="B41" s="100"/>
      <c r="C41" s="100"/>
      <c r="D41" s="100"/>
    </row>
    <row r="42" spans="1:4" ht="15">
      <c r="A42" s="2"/>
      <c r="B42" s="100"/>
      <c r="C42" s="100"/>
      <c r="D42" s="100"/>
    </row>
    <row r="43" spans="1:4" ht="15">
      <c r="A43" s="2"/>
      <c r="B43" s="100"/>
      <c r="C43" s="100"/>
      <c r="D43" s="100"/>
    </row>
    <row r="44" spans="1:4" ht="15">
      <c r="A44" s="2"/>
      <c r="B44" s="100"/>
      <c r="C44" s="100"/>
      <c r="D44" s="100"/>
    </row>
    <row r="45" spans="1:4" ht="15">
      <c r="A45" s="2"/>
      <c r="B45" s="100"/>
      <c r="C45" s="100"/>
      <c r="D45" s="100"/>
    </row>
    <row r="46" spans="1:4" ht="15">
      <c r="A46" s="2"/>
      <c r="B46" s="100"/>
      <c r="C46" s="100"/>
      <c r="D46" s="100"/>
    </row>
    <row r="47" spans="1:4" ht="15">
      <c r="A47" s="2"/>
      <c r="B47" s="100"/>
      <c r="C47" s="100"/>
      <c r="D47" s="100"/>
    </row>
    <row r="48" spans="1:4" ht="15">
      <c r="A48" s="2"/>
      <c r="B48" s="100"/>
      <c r="C48" s="100"/>
      <c r="D48" s="100"/>
    </row>
    <row r="49" spans="1:4" ht="15">
      <c r="A49" s="2"/>
      <c r="B49" s="100"/>
      <c r="C49" s="100"/>
      <c r="D49" s="100"/>
    </row>
    <row r="50" spans="1:4" ht="15">
      <c r="A50" s="2"/>
      <c r="B50" s="100"/>
      <c r="C50" s="100"/>
      <c r="D50" s="100"/>
    </row>
    <row r="51" spans="1:4" ht="15">
      <c r="A51" s="2"/>
      <c r="B51" s="100"/>
      <c r="C51" s="100"/>
      <c r="D51" s="100"/>
    </row>
    <row r="52" spans="1:4" ht="15">
      <c r="A52" s="2"/>
      <c r="B52" s="100"/>
      <c r="C52" s="100"/>
      <c r="D52" s="100"/>
    </row>
    <row r="53" spans="1:4" ht="15">
      <c r="A53" s="2"/>
      <c r="B53" s="100"/>
      <c r="C53" s="100"/>
      <c r="D53" s="100"/>
    </row>
    <row r="54" spans="1:4" ht="15">
      <c r="A54" s="2"/>
      <c r="B54" s="100"/>
      <c r="C54" s="100"/>
      <c r="D54" s="100"/>
    </row>
    <row r="55" spans="1:4" ht="15">
      <c r="A55" s="2"/>
      <c r="B55" s="100"/>
      <c r="C55" s="100"/>
      <c r="D55" s="100"/>
    </row>
    <row r="56" spans="1:4" ht="15">
      <c r="A56" s="2"/>
      <c r="B56" s="100"/>
      <c r="C56" s="100"/>
      <c r="D56" s="100"/>
    </row>
    <row r="57" spans="1:4" ht="15">
      <c r="A57" s="2"/>
      <c r="B57" s="100"/>
      <c r="C57" s="100"/>
      <c r="D57" s="100"/>
    </row>
    <row r="58" spans="1:4" ht="15">
      <c r="A58" s="2"/>
      <c r="B58" s="100"/>
      <c r="C58" s="100"/>
      <c r="D58" s="100"/>
    </row>
    <row r="59" spans="1:4" ht="15">
      <c r="A59" s="2"/>
      <c r="B59" s="100"/>
      <c r="C59" s="100"/>
      <c r="D59" s="100"/>
    </row>
    <row r="60" spans="1:4" ht="15">
      <c r="A60" s="2"/>
      <c r="B60" s="100"/>
      <c r="C60" s="100"/>
      <c r="D60" s="100"/>
    </row>
    <row r="61" spans="1:4" ht="15">
      <c r="A61" s="2"/>
      <c r="B61" s="100"/>
      <c r="C61" s="100"/>
      <c r="D61" s="100"/>
    </row>
    <row r="62" spans="1:4" ht="15">
      <c r="A62" s="2"/>
      <c r="B62" s="100"/>
      <c r="C62" s="100"/>
      <c r="D62" s="100"/>
    </row>
    <row r="63" spans="1:4" ht="15">
      <c r="A63" s="2"/>
      <c r="B63" s="100"/>
      <c r="C63" s="100"/>
      <c r="D63" s="100"/>
    </row>
    <row r="64" spans="1:4" ht="15">
      <c r="A64" s="2"/>
      <c r="B64" s="100"/>
      <c r="C64" s="100"/>
      <c r="D64" s="100"/>
    </row>
    <row r="65" spans="1:4" ht="15">
      <c r="A65" s="2"/>
      <c r="B65" s="100"/>
      <c r="C65" s="100"/>
      <c r="D65" s="100"/>
    </row>
    <row r="66" spans="1:4" ht="15">
      <c r="A66" s="2"/>
      <c r="B66" s="100"/>
      <c r="C66" s="100"/>
      <c r="D66" s="100"/>
    </row>
    <row r="67" spans="1:4" ht="15">
      <c r="A67" s="2"/>
      <c r="B67" s="100"/>
      <c r="C67" s="100"/>
      <c r="D67" s="100"/>
    </row>
    <row r="68" spans="1:4" ht="15">
      <c r="A68" s="2"/>
      <c r="B68" s="100"/>
      <c r="C68" s="100"/>
      <c r="D68" s="100"/>
    </row>
    <row r="69" spans="1:4" ht="15">
      <c r="A69" s="2"/>
      <c r="B69" s="100"/>
      <c r="C69" s="100"/>
      <c r="D69" s="100"/>
    </row>
    <row r="70" spans="1:4" ht="15">
      <c r="A70" s="2"/>
      <c r="B70" s="100"/>
      <c r="C70" s="100"/>
      <c r="D70" s="100"/>
    </row>
    <row r="71" spans="1:4" ht="15">
      <c r="A71" s="2"/>
      <c r="B71" s="100"/>
      <c r="C71" s="100"/>
      <c r="D71" s="100"/>
    </row>
    <row r="72" spans="1:4" ht="15">
      <c r="A72" s="2"/>
      <c r="B72" s="100"/>
      <c r="C72" s="100"/>
      <c r="D72" s="100"/>
    </row>
    <row r="73" spans="1:4" ht="15">
      <c r="A73" s="2"/>
      <c r="B73" s="100"/>
      <c r="C73" s="100"/>
      <c r="D73" s="100"/>
    </row>
  </sheetData>
  <phoneticPr fontId="7" type="noConversion"/>
  <pageMargins left="0.75" right="0.75" top="0.39" bottom="1" header="0.14000000000000001" footer="0.5"/>
  <pageSetup paperSize="9" scale="8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V127"/>
  <sheetViews>
    <sheetView workbookViewId="0">
      <pane xSplit="1" ySplit="4" topLeftCell="T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RowHeight="12.75"/>
  <cols>
    <col min="1" max="1" width="66.5703125" customWidth="1"/>
    <col min="2" max="4" width="16.5703125" customWidth="1"/>
    <col min="5" max="7" width="13" customWidth="1"/>
    <col min="8" max="10" width="18.140625" customWidth="1"/>
    <col min="11" max="13" width="16.28515625" customWidth="1"/>
    <col min="14" max="16" width="17.42578125" customWidth="1"/>
    <col min="17" max="19" width="22.28515625" customWidth="1"/>
    <col min="20" max="22" width="22.140625" customWidth="1"/>
  </cols>
  <sheetData>
    <row r="1" spans="1:22">
      <c r="A1" s="404" t="s">
        <v>30</v>
      </c>
    </row>
    <row r="2" spans="1:22">
      <c r="A2" s="404" t="s">
        <v>472</v>
      </c>
    </row>
    <row r="3" spans="1:22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05">
      <c r="A4" s="16" t="s">
        <v>629</v>
      </c>
      <c r="B4" s="97" t="s">
        <v>38</v>
      </c>
      <c r="C4" s="97" t="s">
        <v>39</v>
      </c>
      <c r="D4" s="97" t="s">
        <v>40</v>
      </c>
      <c r="E4" s="97" t="s">
        <v>41</v>
      </c>
      <c r="F4" s="97" t="s">
        <v>42</v>
      </c>
      <c r="G4" s="97" t="s">
        <v>43</v>
      </c>
      <c r="H4" s="97" t="s">
        <v>45</v>
      </c>
      <c r="I4" s="97" t="s">
        <v>46</v>
      </c>
      <c r="J4" s="97" t="s">
        <v>47</v>
      </c>
      <c r="K4" s="97" t="s">
        <v>48</v>
      </c>
      <c r="L4" s="97" t="s">
        <v>49</v>
      </c>
      <c r="M4" s="97" t="s">
        <v>50</v>
      </c>
      <c r="N4" s="98" t="s">
        <v>51</v>
      </c>
      <c r="O4" s="98" t="s">
        <v>52</v>
      </c>
      <c r="P4" s="98" t="s">
        <v>53</v>
      </c>
      <c r="Q4" s="97" t="s">
        <v>54</v>
      </c>
      <c r="R4" s="97" t="s">
        <v>55</v>
      </c>
      <c r="S4" s="97" t="s">
        <v>56</v>
      </c>
      <c r="T4" s="99" t="s">
        <v>57</v>
      </c>
      <c r="U4" s="99" t="s">
        <v>58</v>
      </c>
      <c r="V4" s="99" t="s">
        <v>59</v>
      </c>
    </row>
    <row r="5" spans="1:22" ht="16.5">
      <c r="A5" s="13" t="s">
        <v>2</v>
      </c>
      <c r="B5" s="90"/>
      <c r="C5" s="90"/>
      <c r="D5" s="90"/>
      <c r="E5" s="20"/>
      <c r="F5" s="20"/>
      <c r="G5" s="20"/>
      <c r="H5" s="20"/>
      <c r="I5" s="20"/>
      <c r="J5" s="20"/>
      <c r="K5" s="90">
        <v>73391</v>
      </c>
      <c r="L5" s="90">
        <v>73391</v>
      </c>
      <c r="M5" s="90">
        <v>48163</v>
      </c>
      <c r="N5" s="104">
        <f>SUM(B5:K5)</f>
        <v>73391</v>
      </c>
      <c r="O5" s="104">
        <f t="shared" ref="O5:P10" si="0">C5+F5+I5+L5</f>
        <v>73391</v>
      </c>
      <c r="P5" s="104">
        <f t="shared" si="0"/>
        <v>48163</v>
      </c>
      <c r="Q5" s="20"/>
      <c r="R5" s="20"/>
      <c r="S5" s="20"/>
      <c r="T5" s="104">
        <f t="shared" ref="T5:V9" si="1">N5-Q5</f>
        <v>73391</v>
      </c>
      <c r="U5" s="104">
        <f t="shared" si="1"/>
        <v>73391</v>
      </c>
      <c r="V5" s="104">
        <f t="shared" si="1"/>
        <v>48163</v>
      </c>
    </row>
    <row r="6" spans="1:22" ht="30">
      <c r="A6" s="171" t="s">
        <v>3</v>
      </c>
      <c r="B6" s="90"/>
      <c r="C6" s="90"/>
      <c r="D6" s="90"/>
      <c r="E6" s="20"/>
      <c r="F6" s="20"/>
      <c r="G6" s="20"/>
      <c r="H6" s="20"/>
      <c r="I6" s="20"/>
      <c r="J6" s="20"/>
      <c r="K6" s="90">
        <v>148860</v>
      </c>
      <c r="L6" s="90">
        <v>148860</v>
      </c>
      <c r="M6" s="90">
        <v>0</v>
      </c>
      <c r="N6" s="104">
        <f>SUM(B6:K6)</f>
        <v>148860</v>
      </c>
      <c r="O6" s="104">
        <f t="shared" si="0"/>
        <v>148860</v>
      </c>
      <c r="P6" s="104">
        <f t="shared" si="0"/>
        <v>0</v>
      </c>
      <c r="Q6" s="20"/>
      <c r="R6" s="20"/>
      <c r="S6" s="20"/>
      <c r="T6" s="104">
        <f t="shared" si="1"/>
        <v>148860</v>
      </c>
      <c r="U6" s="104">
        <f t="shared" si="1"/>
        <v>148860</v>
      </c>
      <c r="V6" s="104">
        <f t="shared" si="1"/>
        <v>0</v>
      </c>
    </row>
    <row r="7" spans="1:22" ht="32.25">
      <c r="A7" s="163" t="s">
        <v>623</v>
      </c>
      <c r="B7" s="90"/>
      <c r="C7" s="90"/>
      <c r="D7" s="90"/>
      <c r="E7" s="20"/>
      <c r="F7" s="20"/>
      <c r="G7" s="20"/>
      <c r="H7" s="20"/>
      <c r="I7" s="20"/>
      <c r="J7" s="20"/>
      <c r="K7" s="90">
        <v>36490</v>
      </c>
      <c r="L7" s="90">
        <v>36490</v>
      </c>
      <c r="M7" s="90"/>
      <c r="N7" s="104">
        <f>SUM(B7:K7)</f>
        <v>36490</v>
      </c>
      <c r="O7" s="104">
        <f t="shared" si="0"/>
        <v>36490</v>
      </c>
      <c r="P7" s="104">
        <f t="shared" si="0"/>
        <v>0</v>
      </c>
      <c r="Q7" s="20"/>
      <c r="R7" s="20"/>
      <c r="S7" s="20"/>
      <c r="T7" s="104">
        <f t="shared" si="1"/>
        <v>36490</v>
      </c>
      <c r="U7" s="104">
        <f t="shared" si="1"/>
        <v>36490</v>
      </c>
      <c r="V7" s="104">
        <f t="shared" si="1"/>
        <v>0</v>
      </c>
    </row>
    <row r="8" spans="1:22" ht="16.5">
      <c r="A8" s="14" t="s">
        <v>622</v>
      </c>
      <c r="B8" s="90"/>
      <c r="C8" s="90"/>
      <c r="D8" s="90"/>
      <c r="E8" s="20"/>
      <c r="F8" s="20"/>
      <c r="G8" s="20"/>
      <c r="H8" s="20"/>
      <c r="I8" s="20"/>
      <c r="J8" s="20"/>
      <c r="K8" s="90">
        <v>50000</v>
      </c>
      <c r="L8" s="90">
        <v>50000</v>
      </c>
      <c r="M8" s="90"/>
      <c r="N8" s="104">
        <f>SUM(B8:K8)</f>
        <v>50000</v>
      </c>
      <c r="O8" s="104">
        <f t="shared" si="0"/>
        <v>50000</v>
      </c>
      <c r="P8" s="104">
        <f t="shared" si="0"/>
        <v>0</v>
      </c>
      <c r="Q8" s="20"/>
      <c r="R8" s="20"/>
      <c r="S8" s="20"/>
      <c r="T8" s="104">
        <f t="shared" si="1"/>
        <v>50000</v>
      </c>
      <c r="U8" s="104">
        <f t="shared" si="1"/>
        <v>50000</v>
      </c>
      <c r="V8" s="104">
        <f t="shared" si="1"/>
        <v>0</v>
      </c>
    </row>
    <row r="9" spans="1:22" ht="16.5">
      <c r="A9" s="14" t="s">
        <v>593</v>
      </c>
      <c r="B9" s="130">
        <f ca="1">'2. bevételek össz'!C25</f>
        <v>1524</v>
      </c>
      <c r="C9" s="130">
        <v>924</v>
      </c>
      <c r="D9" s="130">
        <v>0</v>
      </c>
      <c r="E9" s="130">
        <f ca="1">'2. bevételek össz'!G25</f>
        <v>4826</v>
      </c>
      <c r="F9" s="130">
        <v>4826</v>
      </c>
      <c r="G9" s="130">
        <v>962</v>
      </c>
      <c r="H9" s="130">
        <f ca="1">'2. bevételek össz'!K25</f>
        <v>635</v>
      </c>
      <c r="I9" s="130">
        <v>635</v>
      </c>
      <c r="J9" s="130">
        <v>120</v>
      </c>
      <c r="K9" s="20"/>
      <c r="L9" s="20"/>
      <c r="M9" s="20"/>
      <c r="N9" s="104">
        <f>SUM(B9:K9)</f>
        <v>14452</v>
      </c>
      <c r="O9" s="104">
        <f t="shared" si="0"/>
        <v>6385</v>
      </c>
      <c r="P9" s="104">
        <f t="shared" si="0"/>
        <v>1082</v>
      </c>
      <c r="Q9" s="104">
        <f t="shared" ref="Q9:S10" si="2">B9+E9+H9</f>
        <v>6985</v>
      </c>
      <c r="R9" s="104">
        <f t="shared" si="2"/>
        <v>6385</v>
      </c>
      <c r="S9" s="104">
        <f t="shared" si="2"/>
        <v>1082</v>
      </c>
      <c r="T9" s="104">
        <f t="shared" si="1"/>
        <v>7467</v>
      </c>
      <c r="U9" s="104">
        <f t="shared" si="1"/>
        <v>0</v>
      </c>
      <c r="V9" s="104">
        <f t="shared" si="1"/>
        <v>0</v>
      </c>
    </row>
    <row r="10" spans="1:22" ht="16.5">
      <c r="A10" s="52" t="s">
        <v>775</v>
      </c>
      <c r="B10" s="104">
        <f>SUM(B5:B9)</f>
        <v>1524</v>
      </c>
      <c r="C10" s="104">
        <v>924</v>
      </c>
      <c r="D10" s="104">
        <v>0</v>
      </c>
      <c r="E10" s="104">
        <f>SUM(E5:E9)</f>
        <v>4826</v>
      </c>
      <c r="F10" s="104">
        <v>4826</v>
      </c>
      <c r="G10" s="104">
        <v>962</v>
      </c>
      <c r="H10" s="104">
        <f>SUM(H5:H9)</f>
        <v>635</v>
      </c>
      <c r="I10" s="104">
        <v>635</v>
      </c>
      <c r="J10" s="104">
        <v>120</v>
      </c>
      <c r="K10" s="104">
        <f>SUM(K5:K9)</f>
        <v>308741</v>
      </c>
      <c r="L10" s="104">
        <f>SUM(L5:L9)</f>
        <v>308741</v>
      </c>
      <c r="M10" s="104">
        <f>SUM(M5:M9)</f>
        <v>48163</v>
      </c>
      <c r="N10" s="104">
        <f>SUM(N5:N9)</f>
        <v>323193</v>
      </c>
      <c r="O10" s="104">
        <f t="shared" si="0"/>
        <v>315126</v>
      </c>
      <c r="P10" s="104">
        <f t="shared" si="0"/>
        <v>49245</v>
      </c>
      <c r="Q10" s="104">
        <f t="shared" si="2"/>
        <v>6985</v>
      </c>
      <c r="R10" s="104">
        <f t="shared" si="2"/>
        <v>6385</v>
      </c>
      <c r="S10" s="104">
        <f t="shared" si="2"/>
        <v>1082</v>
      </c>
      <c r="T10" s="104">
        <f>SUM(T5:T9)</f>
        <v>316208</v>
      </c>
      <c r="U10" s="104">
        <f>SUM(U5:U9)</f>
        <v>308741</v>
      </c>
      <c r="V10" s="104">
        <f>SUM(V5:V9)</f>
        <v>48163</v>
      </c>
    </row>
    <row r="11" spans="1:22" ht="16.5">
      <c r="A11" s="5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6.5">
      <c r="A12" s="5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05">
      <c r="A13" s="16" t="s">
        <v>629</v>
      </c>
      <c r="B13" s="97" t="s">
        <v>38</v>
      </c>
      <c r="C13" s="97" t="s">
        <v>39</v>
      </c>
      <c r="D13" s="97" t="s">
        <v>40</v>
      </c>
      <c r="E13" s="97" t="s">
        <v>41</v>
      </c>
      <c r="F13" s="97" t="s">
        <v>42</v>
      </c>
      <c r="G13" s="97" t="s">
        <v>43</v>
      </c>
      <c r="H13" s="97" t="s">
        <v>45</v>
      </c>
      <c r="I13" s="97" t="s">
        <v>46</v>
      </c>
      <c r="J13" s="97" t="s">
        <v>47</v>
      </c>
      <c r="K13" s="97" t="s">
        <v>48</v>
      </c>
      <c r="L13" s="97" t="s">
        <v>49</v>
      </c>
      <c r="M13" s="97" t="s">
        <v>50</v>
      </c>
      <c r="N13" s="98" t="s">
        <v>51</v>
      </c>
      <c r="O13" s="98" t="s">
        <v>52</v>
      </c>
      <c r="P13" s="98" t="s">
        <v>53</v>
      </c>
      <c r="Q13" s="97" t="s">
        <v>54</v>
      </c>
      <c r="R13" s="97" t="s">
        <v>55</v>
      </c>
      <c r="S13" s="97" t="s">
        <v>56</v>
      </c>
      <c r="T13" s="99" t="s">
        <v>57</v>
      </c>
      <c r="U13" s="99" t="s">
        <v>58</v>
      </c>
      <c r="V13" s="99" t="s">
        <v>59</v>
      </c>
    </row>
    <row r="14" spans="1:22" ht="16.5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 ht="16.5">
      <c r="A15" s="13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2" ht="16.5">
      <c r="A16" s="13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2" ht="16.5">
      <c r="A17" s="13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 ht="16.5">
      <c r="A18" s="13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2" ht="16.5">
      <c r="A19" s="13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2" ht="16.5">
      <c r="A20" s="21" t="s">
        <v>774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22" ht="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</sheetData>
  <phoneticPr fontId="7" type="noConversion"/>
  <pageMargins left="0.33" right="0.21" top="0.77" bottom="0.79" header="0.5" footer="0.5"/>
  <pageSetup paperSize="9" scale="3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F113"/>
  <sheetViews>
    <sheetView workbookViewId="0">
      <selection activeCell="A2" sqref="A2"/>
    </sheetView>
  </sheetViews>
  <sheetFormatPr defaultRowHeight="12.75"/>
  <cols>
    <col min="1" max="1" width="37.85546875" bestFit="1" customWidth="1"/>
    <col min="2" max="2" width="16.5703125" customWidth="1"/>
    <col min="3" max="3" width="17.7109375" customWidth="1"/>
    <col min="4" max="4" width="19.140625" customWidth="1"/>
    <col min="5" max="5" width="17.140625" customWidth="1"/>
    <col min="6" max="6" width="21.7109375" customWidth="1"/>
  </cols>
  <sheetData>
    <row r="1" spans="1:6">
      <c r="A1" s="363" t="s">
        <v>213</v>
      </c>
    </row>
    <row r="2" spans="1:6">
      <c r="A2" s="363" t="s">
        <v>237</v>
      </c>
    </row>
    <row r="3" spans="1:6" ht="15">
      <c r="A3" s="362"/>
      <c r="B3" s="2"/>
      <c r="C3" s="2"/>
      <c r="D3" s="2"/>
      <c r="E3" s="2"/>
      <c r="F3" s="2"/>
    </row>
    <row r="4" spans="1:6" ht="75">
      <c r="A4" s="16" t="s">
        <v>629</v>
      </c>
      <c r="B4" s="97" t="s">
        <v>38</v>
      </c>
      <c r="C4" s="97" t="s">
        <v>41</v>
      </c>
      <c r="D4" s="97" t="s">
        <v>149</v>
      </c>
      <c r="E4" s="97" t="s">
        <v>48</v>
      </c>
      <c r="F4" s="98" t="s">
        <v>136</v>
      </c>
    </row>
    <row r="5" spans="1:6" ht="15.75">
      <c r="A5" s="53" t="s">
        <v>776</v>
      </c>
      <c r="B5" s="20"/>
      <c r="C5" s="20">
        <v>1</v>
      </c>
      <c r="D5" s="20"/>
      <c r="E5" s="20">
        <v>6</v>
      </c>
      <c r="F5" s="39">
        <f>B5+C5+D5+E5</f>
        <v>7</v>
      </c>
    </row>
    <row r="6" spans="1:6" ht="15.75">
      <c r="A6" s="53" t="s">
        <v>777</v>
      </c>
      <c r="B6" s="20">
        <v>15</v>
      </c>
      <c r="C6" s="20">
        <v>4</v>
      </c>
      <c r="D6" s="20"/>
      <c r="E6" s="20">
        <v>8</v>
      </c>
      <c r="F6" s="39">
        <f t="shared" ref="F6:F14" si="0">B6+C6+D6+E6</f>
        <v>27</v>
      </c>
    </row>
    <row r="7" spans="1:6" ht="15.75">
      <c r="A7" s="53" t="s">
        <v>778</v>
      </c>
      <c r="B7" s="20"/>
      <c r="C7" s="20"/>
      <c r="D7" s="20"/>
      <c r="E7" s="20"/>
      <c r="F7" s="39">
        <f t="shared" si="0"/>
        <v>0</v>
      </c>
    </row>
    <row r="8" spans="1:6" ht="15.75">
      <c r="A8" s="53" t="s">
        <v>779</v>
      </c>
      <c r="B8" s="20"/>
      <c r="C8" s="20"/>
      <c r="D8" s="20">
        <v>8</v>
      </c>
      <c r="E8" s="20">
        <v>1</v>
      </c>
      <c r="F8" s="39">
        <f t="shared" si="0"/>
        <v>9</v>
      </c>
    </row>
    <row r="9" spans="1:6" ht="15.75">
      <c r="A9" s="53" t="s">
        <v>780</v>
      </c>
      <c r="B9" s="20">
        <v>1</v>
      </c>
      <c r="C9" s="20"/>
      <c r="D9" s="20"/>
      <c r="E9" s="20">
        <v>12</v>
      </c>
      <c r="F9" s="39">
        <f t="shared" si="0"/>
        <v>13</v>
      </c>
    </row>
    <row r="10" spans="1:6" ht="15.75">
      <c r="A10" s="53" t="s">
        <v>781</v>
      </c>
      <c r="B10" s="20"/>
      <c r="C10" s="20"/>
      <c r="D10" s="20">
        <v>1</v>
      </c>
      <c r="E10" s="20"/>
      <c r="F10" s="39">
        <f t="shared" si="0"/>
        <v>1</v>
      </c>
    </row>
    <row r="11" spans="1:6" ht="15.75">
      <c r="A11" s="53" t="s">
        <v>782</v>
      </c>
      <c r="B11" s="20"/>
      <c r="C11" s="20"/>
      <c r="D11" s="20"/>
      <c r="E11" s="20">
        <v>9</v>
      </c>
      <c r="F11" s="39">
        <f t="shared" si="0"/>
        <v>9</v>
      </c>
    </row>
    <row r="12" spans="1:6" ht="16.5">
      <c r="A12" s="15" t="s">
        <v>694</v>
      </c>
      <c r="B12" s="20">
        <f>SUM(B5:B11)</f>
        <v>16</v>
      </c>
      <c r="C12" s="20">
        <f>SUM(C5:C11)</f>
        <v>5</v>
      </c>
      <c r="D12" s="20">
        <f>SUM(D5:D11)</f>
        <v>9</v>
      </c>
      <c r="E12" s="20">
        <f>SUM(E5:E11)</f>
        <v>36</v>
      </c>
      <c r="F12" s="39">
        <f t="shared" si="0"/>
        <v>66</v>
      </c>
    </row>
    <row r="13" spans="1:6" ht="15">
      <c r="A13" s="20" t="s">
        <v>147</v>
      </c>
      <c r="B13" s="20">
        <v>14</v>
      </c>
      <c r="C13" s="20">
        <v>5</v>
      </c>
      <c r="D13" s="20">
        <v>9</v>
      </c>
      <c r="E13" s="20">
        <v>45</v>
      </c>
      <c r="F13" s="39">
        <f t="shared" si="0"/>
        <v>73</v>
      </c>
    </row>
    <row r="14" spans="1:6" ht="15">
      <c r="A14" s="20" t="s">
        <v>148</v>
      </c>
      <c r="B14" s="20">
        <v>18</v>
      </c>
      <c r="C14" s="20">
        <v>5</v>
      </c>
      <c r="D14" s="20">
        <v>9</v>
      </c>
      <c r="E14" s="20">
        <v>45</v>
      </c>
      <c r="F14" s="39">
        <f t="shared" si="0"/>
        <v>77</v>
      </c>
    </row>
    <row r="15" spans="1:6" ht="15">
      <c r="A15" s="2"/>
      <c r="B15" s="2"/>
      <c r="C15" s="2"/>
      <c r="D15" s="2"/>
      <c r="E15" s="2"/>
      <c r="F15" s="2"/>
    </row>
    <row r="16" spans="1:6" ht="15">
      <c r="A16" s="2"/>
      <c r="B16" s="2"/>
      <c r="C16" s="2"/>
      <c r="D16" s="2"/>
      <c r="E16" s="2"/>
      <c r="F16" s="2"/>
    </row>
    <row r="17" spans="1:6" ht="15">
      <c r="A17" s="2"/>
      <c r="B17" s="2"/>
      <c r="C17" s="2"/>
      <c r="D17" s="2"/>
      <c r="E17" s="2"/>
      <c r="F17" s="2"/>
    </row>
    <row r="18" spans="1:6" ht="15">
      <c r="A18" s="2"/>
      <c r="B18" s="2"/>
      <c r="C18" s="2"/>
      <c r="D18" s="2"/>
      <c r="E18" s="2"/>
      <c r="F18" s="2"/>
    </row>
    <row r="19" spans="1:6" ht="15">
      <c r="A19" s="2"/>
      <c r="B19" s="2"/>
      <c r="C19" s="2"/>
      <c r="D19" s="2"/>
      <c r="E19" s="2"/>
      <c r="F19" s="2"/>
    </row>
    <row r="20" spans="1:6" ht="15">
      <c r="A20" s="2"/>
      <c r="B20" s="2"/>
      <c r="C20" s="2"/>
      <c r="D20" s="2"/>
      <c r="E20" s="2"/>
      <c r="F20" s="2"/>
    </row>
    <row r="21" spans="1:6" ht="15">
      <c r="A21" s="2"/>
      <c r="B21" s="2"/>
      <c r="C21" s="2"/>
      <c r="D21" s="2"/>
      <c r="E21" s="2"/>
      <c r="F21" s="2"/>
    </row>
    <row r="22" spans="1:6" ht="15">
      <c r="A22" s="2"/>
      <c r="B22" s="2"/>
      <c r="C22" s="2"/>
      <c r="D22" s="2"/>
      <c r="E22" s="2"/>
      <c r="F22" s="2"/>
    </row>
    <row r="23" spans="1:6" ht="15">
      <c r="A23" s="2"/>
      <c r="B23" s="2"/>
      <c r="C23" s="2"/>
      <c r="D23" s="2"/>
      <c r="E23" s="2"/>
      <c r="F23" s="2"/>
    </row>
    <row r="24" spans="1:6" ht="15">
      <c r="A24" s="2"/>
      <c r="B24" s="2"/>
      <c r="C24" s="2"/>
      <c r="D24" s="2"/>
      <c r="E24" s="2"/>
      <c r="F24" s="2"/>
    </row>
    <row r="25" spans="1:6" ht="15">
      <c r="A25" s="2"/>
      <c r="B25" s="2"/>
      <c r="C25" s="2"/>
      <c r="D25" s="2"/>
      <c r="E25" s="2"/>
      <c r="F25" s="2"/>
    </row>
    <row r="26" spans="1:6" ht="15">
      <c r="A26" s="2"/>
      <c r="B26" s="2"/>
      <c r="C26" s="2"/>
      <c r="D26" s="2"/>
      <c r="E26" s="2"/>
      <c r="F26" s="2"/>
    </row>
    <row r="27" spans="1:6" ht="15">
      <c r="A27" s="2"/>
      <c r="B27" s="2"/>
      <c r="C27" s="2"/>
      <c r="D27" s="2"/>
      <c r="E27" s="2"/>
      <c r="F27" s="2"/>
    </row>
    <row r="28" spans="1:6" ht="15">
      <c r="A28" s="2"/>
      <c r="B28" s="2"/>
      <c r="C28" s="2"/>
      <c r="D28" s="2"/>
      <c r="E28" s="2"/>
      <c r="F28" s="2"/>
    </row>
    <row r="29" spans="1:6" ht="15">
      <c r="A29" s="2"/>
      <c r="B29" s="2"/>
      <c r="C29" s="2"/>
      <c r="D29" s="2"/>
      <c r="E29" s="2"/>
      <c r="F29" s="2"/>
    </row>
    <row r="30" spans="1:6" ht="15">
      <c r="A30" s="2"/>
      <c r="B30" s="2"/>
      <c r="C30" s="2"/>
      <c r="D30" s="2"/>
      <c r="E30" s="2"/>
      <c r="F30" s="2"/>
    </row>
    <row r="31" spans="1:6" ht="15">
      <c r="A31" s="2"/>
      <c r="B31" s="2"/>
      <c r="C31" s="2"/>
      <c r="D31" s="2"/>
      <c r="E31" s="2"/>
      <c r="F31" s="2"/>
    </row>
    <row r="32" spans="1:6" ht="15">
      <c r="A32" s="2"/>
      <c r="B32" s="2"/>
      <c r="C32" s="2"/>
      <c r="D32" s="2"/>
      <c r="E32" s="2"/>
      <c r="F32" s="2"/>
    </row>
    <row r="33" spans="1:6" ht="15">
      <c r="A33" s="2"/>
      <c r="B33" s="2"/>
      <c r="C33" s="2"/>
      <c r="D33" s="2"/>
      <c r="E33" s="2"/>
      <c r="F33" s="2"/>
    </row>
    <row r="34" spans="1:6" ht="15">
      <c r="A34" s="2"/>
      <c r="B34" s="2"/>
      <c r="C34" s="2"/>
      <c r="D34" s="2"/>
      <c r="E34" s="2"/>
      <c r="F34" s="2"/>
    </row>
    <row r="35" spans="1:6" ht="15">
      <c r="A35" s="2"/>
      <c r="B35" s="2"/>
      <c r="C35" s="2"/>
      <c r="D35" s="2"/>
      <c r="E35" s="2"/>
      <c r="F35" s="2"/>
    </row>
    <row r="36" spans="1:6" ht="15">
      <c r="A36" s="2"/>
      <c r="B36" s="2"/>
      <c r="C36" s="2"/>
      <c r="D36" s="2"/>
      <c r="E36" s="2"/>
      <c r="F36" s="2"/>
    </row>
    <row r="37" spans="1:6" ht="15">
      <c r="A37" s="2"/>
      <c r="B37" s="2"/>
      <c r="C37" s="2"/>
      <c r="D37" s="2"/>
      <c r="E37" s="2"/>
      <c r="F37" s="2"/>
    </row>
    <row r="38" spans="1:6" ht="15">
      <c r="A38" s="2"/>
      <c r="B38" s="2"/>
      <c r="C38" s="2"/>
      <c r="D38" s="2"/>
      <c r="E38" s="2"/>
      <c r="F38" s="2"/>
    </row>
    <row r="39" spans="1:6" ht="15">
      <c r="A39" s="2"/>
      <c r="B39" s="2"/>
      <c r="C39" s="2"/>
      <c r="D39" s="2"/>
      <c r="E39" s="2"/>
      <c r="F39" s="2"/>
    </row>
    <row r="40" spans="1:6" ht="15">
      <c r="A40" s="2"/>
      <c r="B40" s="2"/>
      <c r="C40" s="2"/>
      <c r="D40" s="2"/>
      <c r="E40" s="2"/>
      <c r="F40" s="2"/>
    </row>
    <row r="41" spans="1:6" ht="15">
      <c r="A41" s="2"/>
      <c r="B41" s="2"/>
      <c r="C41" s="2"/>
      <c r="D41" s="2"/>
      <c r="E41" s="2"/>
      <c r="F41" s="2"/>
    </row>
    <row r="42" spans="1:6" ht="15">
      <c r="A42" s="2"/>
      <c r="B42" s="2"/>
      <c r="C42" s="2"/>
      <c r="D42" s="2"/>
      <c r="E42" s="2"/>
      <c r="F42" s="2"/>
    </row>
    <row r="43" spans="1:6" ht="15">
      <c r="A43" s="2"/>
      <c r="B43" s="2"/>
      <c r="C43" s="2"/>
      <c r="D43" s="2"/>
      <c r="E43" s="2"/>
      <c r="F43" s="2"/>
    </row>
    <row r="44" spans="1:6" ht="15">
      <c r="A44" s="2"/>
      <c r="B44" s="2"/>
      <c r="C44" s="2"/>
      <c r="D44" s="2"/>
      <c r="E44" s="2"/>
      <c r="F44" s="2"/>
    </row>
    <row r="45" spans="1:6" ht="15">
      <c r="A45" s="2"/>
      <c r="B45" s="2"/>
      <c r="C45" s="2"/>
      <c r="D45" s="2"/>
      <c r="E45" s="2"/>
      <c r="F45" s="2"/>
    </row>
    <row r="46" spans="1:6" ht="15">
      <c r="A46" s="2"/>
      <c r="B46" s="2"/>
      <c r="C46" s="2"/>
      <c r="D46" s="2"/>
      <c r="E46" s="2"/>
      <c r="F46" s="2"/>
    </row>
    <row r="47" spans="1:6" ht="15">
      <c r="A47" s="2"/>
      <c r="B47" s="2"/>
      <c r="C47" s="2"/>
      <c r="D47" s="2"/>
      <c r="E47" s="2"/>
      <c r="F47" s="2"/>
    </row>
    <row r="48" spans="1:6" ht="15">
      <c r="A48" s="2"/>
      <c r="B48" s="2"/>
      <c r="C48" s="2"/>
      <c r="D48" s="2"/>
      <c r="E48" s="2"/>
      <c r="F48" s="2"/>
    </row>
    <row r="49" spans="1:6" ht="15">
      <c r="A49" s="2"/>
      <c r="B49" s="2"/>
      <c r="C49" s="2"/>
      <c r="D49" s="2"/>
      <c r="E49" s="2"/>
      <c r="F49" s="2"/>
    </row>
    <row r="50" spans="1:6" ht="15">
      <c r="A50" s="2"/>
      <c r="B50" s="2"/>
      <c r="C50" s="2"/>
      <c r="D50" s="2"/>
      <c r="E50" s="2"/>
      <c r="F50" s="2"/>
    </row>
    <row r="51" spans="1:6" ht="15">
      <c r="A51" s="2"/>
      <c r="B51" s="2"/>
      <c r="C51" s="2"/>
      <c r="D51" s="2"/>
      <c r="E51" s="2"/>
      <c r="F51" s="2"/>
    </row>
    <row r="52" spans="1:6" ht="15">
      <c r="A52" s="2"/>
      <c r="B52" s="2"/>
      <c r="C52" s="2"/>
      <c r="D52" s="2"/>
      <c r="E52" s="2"/>
      <c r="F52" s="2"/>
    </row>
    <row r="53" spans="1:6" ht="15">
      <c r="A53" s="2"/>
      <c r="B53" s="2"/>
      <c r="C53" s="2"/>
      <c r="D53" s="2"/>
      <c r="E53" s="2"/>
      <c r="F53" s="2"/>
    </row>
    <row r="54" spans="1:6" ht="15">
      <c r="A54" s="2"/>
      <c r="B54" s="2"/>
      <c r="C54" s="2"/>
      <c r="D54" s="2"/>
      <c r="E54" s="2"/>
      <c r="F54" s="2"/>
    </row>
    <row r="55" spans="1:6" ht="15">
      <c r="A55" s="2"/>
      <c r="B55" s="2"/>
      <c r="C55" s="2"/>
      <c r="D55" s="2"/>
      <c r="E55" s="2"/>
      <c r="F55" s="2"/>
    </row>
    <row r="56" spans="1:6" ht="15">
      <c r="A56" s="2"/>
      <c r="B56" s="2"/>
      <c r="C56" s="2"/>
      <c r="D56" s="2"/>
      <c r="E56" s="2"/>
      <c r="F56" s="2"/>
    </row>
    <row r="57" spans="1:6" ht="15">
      <c r="A57" s="2"/>
      <c r="B57" s="2"/>
      <c r="C57" s="2"/>
      <c r="D57" s="2"/>
      <c r="E57" s="2"/>
      <c r="F57" s="2"/>
    </row>
    <row r="58" spans="1:6" ht="15">
      <c r="A58" s="2"/>
      <c r="B58" s="2"/>
      <c r="C58" s="2"/>
      <c r="D58" s="2"/>
      <c r="E58" s="2"/>
      <c r="F58" s="2"/>
    </row>
    <row r="59" spans="1:6" ht="15">
      <c r="A59" s="2"/>
      <c r="B59" s="2"/>
      <c r="C59" s="2"/>
      <c r="D59" s="2"/>
      <c r="E59" s="2"/>
      <c r="F59" s="2"/>
    </row>
    <row r="60" spans="1:6" ht="15">
      <c r="A60" s="2"/>
      <c r="B60" s="2"/>
      <c r="C60" s="2"/>
      <c r="D60" s="2"/>
      <c r="E60" s="2"/>
      <c r="F60" s="2"/>
    </row>
    <row r="61" spans="1:6" ht="15">
      <c r="A61" s="2"/>
      <c r="B61" s="2"/>
      <c r="C61" s="2"/>
      <c r="D61" s="2"/>
      <c r="E61" s="2"/>
      <c r="F61" s="2"/>
    </row>
    <row r="62" spans="1:6" ht="15">
      <c r="A62" s="2"/>
      <c r="B62" s="2"/>
      <c r="C62" s="2"/>
      <c r="D62" s="2"/>
      <c r="E62" s="2"/>
      <c r="F62" s="2"/>
    </row>
    <row r="63" spans="1:6" ht="15">
      <c r="A63" s="2"/>
      <c r="B63" s="2"/>
      <c r="C63" s="2"/>
      <c r="D63" s="2"/>
      <c r="E63" s="2"/>
      <c r="F63" s="2"/>
    </row>
    <row r="64" spans="1:6" ht="15">
      <c r="A64" s="2"/>
      <c r="B64" s="2"/>
      <c r="C64" s="2"/>
      <c r="D64" s="2"/>
      <c r="E64" s="2"/>
      <c r="F64" s="2"/>
    </row>
    <row r="65" spans="1:6" ht="15">
      <c r="A65" s="2"/>
      <c r="B65" s="2"/>
      <c r="C65" s="2"/>
      <c r="D65" s="2"/>
      <c r="E65" s="2"/>
      <c r="F65" s="2"/>
    </row>
    <row r="66" spans="1:6" ht="15">
      <c r="A66" s="2"/>
      <c r="B66" s="2"/>
      <c r="C66" s="2"/>
      <c r="D66" s="2"/>
      <c r="E66" s="2"/>
      <c r="F66" s="2"/>
    </row>
    <row r="67" spans="1:6" ht="15">
      <c r="A67" s="2"/>
      <c r="B67" s="2"/>
      <c r="C67" s="2"/>
      <c r="D67" s="2"/>
      <c r="E67" s="2"/>
      <c r="F67" s="2"/>
    </row>
    <row r="68" spans="1:6" ht="15">
      <c r="A68" s="2"/>
      <c r="B68" s="2"/>
      <c r="C68" s="2"/>
      <c r="D68" s="2"/>
      <c r="E68" s="2"/>
      <c r="F68" s="2"/>
    </row>
    <row r="69" spans="1:6" ht="15">
      <c r="A69" s="2"/>
      <c r="B69" s="2"/>
      <c r="C69" s="2"/>
      <c r="D69" s="2"/>
      <c r="E69" s="2"/>
      <c r="F69" s="2"/>
    </row>
    <row r="70" spans="1:6" ht="15">
      <c r="A70" s="2"/>
      <c r="B70" s="2"/>
      <c r="C70" s="2"/>
      <c r="D70" s="2"/>
      <c r="E70" s="2"/>
      <c r="F70" s="2"/>
    </row>
    <row r="71" spans="1:6" ht="15">
      <c r="A71" s="2"/>
      <c r="B71" s="2"/>
      <c r="C71" s="2"/>
      <c r="D71" s="2"/>
      <c r="E71" s="2"/>
      <c r="F71" s="2"/>
    </row>
    <row r="72" spans="1:6" ht="15">
      <c r="A72" s="2"/>
      <c r="B72" s="2"/>
      <c r="C72" s="2"/>
      <c r="D72" s="2"/>
      <c r="E72" s="2"/>
      <c r="F72" s="2"/>
    </row>
    <row r="73" spans="1:6" ht="15">
      <c r="A73" s="2"/>
      <c r="B73" s="2"/>
      <c r="C73" s="2"/>
      <c r="D73" s="2"/>
      <c r="E73" s="2"/>
      <c r="F73" s="2"/>
    </row>
    <row r="74" spans="1:6" ht="15">
      <c r="A74" s="2"/>
      <c r="B74" s="2"/>
      <c r="C74" s="2"/>
      <c r="D74" s="2"/>
      <c r="E74" s="2"/>
      <c r="F74" s="2"/>
    </row>
    <row r="75" spans="1:6" ht="15">
      <c r="A75" s="2"/>
      <c r="B75" s="2"/>
      <c r="C75" s="2"/>
      <c r="D75" s="2"/>
      <c r="E75" s="2"/>
      <c r="F75" s="2"/>
    </row>
    <row r="76" spans="1:6" ht="15">
      <c r="A76" s="2"/>
      <c r="B76" s="2"/>
      <c r="C76" s="2"/>
      <c r="D76" s="2"/>
      <c r="E76" s="2"/>
      <c r="F76" s="2"/>
    </row>
    <row r="77" spans="1:6" ht="15">
      <c r="A77" s="2"/>
      <c r="B77" s="2"/>
      <c r="C77" s="2"/>
      <c r="D77" s="2"/>
      <c r="E77" s="2"/>
      <c r="F77" s="2"/>
    </row>
    <row r="78" spans="1:6" ht="15">
      <c r="A78" s="2"/>
      <c r="B78" s="2"/>
      <c r="C78" s="2"/>
      <c r="D78" s="2"/>
      <c r="E78" s="2"/>
      <c r="F78" s="2"/>
    </row>
    <row r="79" spans="1:6" ht="15">
      <c r="A79" s="2"/>
      <c r="B79" s="2"/>
      <c r="C79" s="2"/>
      <c r="D79" s="2"/>
      <c r="E79" s="2"/>
      <c r="F79" s="2"/>
    </row>
    <row r="80" spans="1:6" ht="15">
      <c r="A80" s="2"/>
      <c r="B80" s="2"/>
      <c r="C80" s="2"/>
      <c r="D80" s="2"/>
      <c r="E80" s="2"/>
      <c r="F80" s="2"/>
    </row>
    <row r="81" spans="1:6" ht="15">
      <c r="A81" s="2"/>
      <c r="B81" s="2"/>
      <c r="C81" s="2"/>
      <c r="D81" s="2"/>
      <c r="E81" s="2"/>
      <c r="F81" s="2"/>
    </row>
    <row r="82" spans="1:6" ht="15">
      <c r="A82" s="2"/>
      <c r="B82" s="2"/>
      <c r="C82" s="2"/>
      <c r="D82" s="2"/>
      <c r="E82" s="2"/>
      <c r="F82" s="2"/>
    </row>
    <row r="83" spans="1:6" ht="15">
      <c r="A83" s="2"/>
      <c r="B83" s="2"/>
      <c r="C83" s="2"/>
      <c r="D83" s="2"/>
      <c r="E83" s="2"/>
      <c r="F83" s="2"/>
    </row>
    <row r="84" spans="1:6" ht="15">
      <c r="A84" s="2"/>
      <c r="B84" s="2"/>
      <c r="C84" s="2"/>
      <c r="D84" s="2"/>
      <c r="E84" s="2"/>
      <c r="F84" s="2"/>
    </row>
    <row r="85" spans="1:6" ht="15">
      <c r="A85" s="2"/>
      <c r="B85" s="2"/>
      <c r="C85" s="2"/>
      <c r="D85" s="2"/>
      <c r="E85" s="2"/>
      <c r="F85" s="2"/>
    </row>
    <row r="86" spans="1:6" ht="15">
      <c r="A86" s="2"/>
      <c r="B86" s="2"/>
      <c r="C86" s="2"/>
      <c r="D86" s="2"/>
      <c r="E86" s="2"/>
      <c r="F86" s="2"/>
    </row>
    <row r="87" spans="1:6" ht="15">
      <c r="A87" s="2"/>
      <c r="B87" s="2"/>
      <c r="C87" s="2"/>
      <c r="D87" s="2"/>
      <c r="E87" s="2"/>
      <c r="F87" s="2"/>
    </row>
    <row r="88" spans="1:6" ht="15">
      <c r="A88" s="2"/>
      <c r="B88" s="2"/>
      <c r="C88" s="2"/>
      <c r="D88" s="2"/>
      <c r="E88" s="2"/>
      <c r="F88" s="2"/>
    </row>
    <row r="89" spans="1:6" ht="15">
      <c r="A89" s="2"/>
      <c r="B89" s="2"/>
      <c r="C89" s="2"/>
      <c r="D89" s="2"/>
      <c r="E89" s="2"/>
      <c r="F89" s="2"/>
    </row>
    <row r="90" spans="1:6" ht="15">
      <c r="A90" s="2"/>
      <c r="B90" s="2"/>
      <c r="C90" s="2"/>
      <c r="D90" s="2"/>
      <c r="E90" s="2"/>
      <c r="F90" s="2"/>
    </row>
    <row r="91" spans="1:6" ht="15">
      <c r="A91" s="2"/>
      <c r="B91" s="2"/>
      <c r="C91" s="2"/>
      <c r="D91" s="2"/>
      <c r="E91" s="2"/>
      <c r="F91" s="2"/>
    </row>
    <row r="92" spans="1:6" ht="15">
      <c r="A92" s="2"/>
      <c r="B92" s="2"/>
      <c r="C92" s="2"/>
      <c r="D92" s="2"/>
      <c r="E92" s="2"/>
      <c r="F92" s="2"/>
    </row>
    <row r="93" spans="1:6" ht="15">
      <c r="A93" s="2"/>
      <c r="B93" s="2"/>
      <c r="C93" s="2"/>
      <c r="D93" s="2"/>
      <c r="E93" s="2"/>
      <c r="F93" s="2"/>
    </row>
    <row r="94" spans="1:6" ht="15">
      <c r="A94" s="2"/>
      <c r="B94" s="2"/>
      <c r="C94" s="2"/>
      <c r="D94" s="2"/>
      <c r="E94" s="2"/>
      <c r="F94" s="2"/>
    </row>
    <row r="95" spans="1:6" ht="15">
      <c r="A95" s="2"/>
      <c r="B95" s="2"/>
      <c r="C95" s="2"/>
      <c r="D95" s="2"/>
      <c r="E95" s="2"/>
      <c r="F95" s="2"/>
    </row>
    <row r="96" spans="1:6" ht="15">
      <c r="A96" s="2"/>
      <c r="B96" s="2"/>
      <c r="C96" s="2"/>
      <c r="D96" s="2"/>
      <c r="E96" s="2"/>
      <c r="F96" s="2"/>
    </row>
    <row r="97" spans="1:6" ht="15">
      <c r="A97" s="2"/>
      <c r="B97" s="2"/>
      <c r="C97" s="2"/>
      <c r="D97" s="2"/>
      <c r="E97" s="2"/>
      <c r="F97" s="2"/>
    </row>
    <row r="98" spans="1:6" ht="15">
      <c r="A98" s="2"/>
      <c r="B98" s="2"/>
      <c r="C98" s="2"/>
      <c r="D98" s="2"/>
      <c r="E98" s="2"/>
      <c r="F98" s="2"/>
    </row>
    <row r="99" spans="1:6" ht="15">
      <c r="A99" s="2"/>
      <c r="B99" s="2"/>
      <c r="C99" s="2"/>
      <c r="D99" s="2"/>
      <c r="E99" s="2"/>
      <c r="F99" s="2"/>
    </row>
    <row r="100" spans="1:6" ht="15">
      <c r="A100" s="2"/>
      <c r="B100" s="2"/>
      <c r="C100" s="2"/>
      <c r="D100" s="2"/>
      <c r="E100" s="2"/>
      <c r="F100" s="2"/>
    </row>
    <row r="101" spans="1:6" ht="15">
      <c r="A101" s="2"/>
      <c r="B101" s="2"/>
      <c r="C101" s="2"/>
      <c r="D101" s="2"/>
      <c r="E101" s="2"/>
      <c r="F101" s="2"/>
    </row>
    <row r="102" spans="1:6" ht="15">
      <c r="A102" s="2"/>
      <c r="B102" s="2"/>
      <c r="C102" s="2"/>
      <c r="D102" s="2"/>
      <c r="E102" s="2"/>
      <c r="F102" s="2"/>
    </row>
    <row r="103" spans="1:6" ht="15">
      <c r="A103" s="2"/>
      <c r="B103" s="2"/>
      <c r="C103" s="2"/>
      <c r="D103" s="2"/>
      <c r="E103" s="2"/>
      <c r="F103" s="2"/>
    </row>
    <row r="104" spans="1:6" ht="15">
      <c r="A104" s="2"/>
      <c r="B104" s="2"/>
      <c r="C104" s="2"/>
      <c r="D104" s="2"/>
      <c r="E104" s="2"/>
      <c r="F104" s="2"/>
    </row>
    <row r="105" spans="1:6" ht="15">
      <c r="A105" s="2"/>
      <c r="B105" s="2"/>
      <c r="C105" s="2"/>
      <c r="D105" s="2"/>
      <c r="E105" s="2"/>
      <c r="F105" s="2"/>
    </row>
    <row r="106" spans="1:6" ht="15">
      <c r="A106" s="2"/>
      <c r="B106" s="2"/>
      <c r="C106" s="2"/>
      <c r="D106" s="2"/>
      <c r="E106" s="2"/>
      <c r="F106" s="2"/>
    </row>
    <row r="107" spans="1:6" ht="15">
      <c r="A107" s="2"/>
      <c r="B107" s="2"/>
      <c r="C107" s="2"/>
      <c r="D107" s="2"/>
      <c r="E107" s="2"/>
      <c r="F107" s="2"/>
    </row>
    <row r="108" spans="1:6" ht="15">
      <c r="A108" s="2"/>
      <c r="B108" s="2"/>
      <c r="C108" s="2"/>
      <c r="D108" s="2"/>
      <c r="E108" s="2"/>
      <c r="F108" s="2"/>
    </row>
    <row r="109" spans="1:6" ht="15">
      <c r="A109" s="2"/>
      <c r="B109" s="2"/>
      <c r="C109" s="2"/>
      <c r="D109" s="2"/>
      <c r="E109" s="2"/>
      <c r="F109" s="2"/>
    </row>
    <row r="110" spans="1:6" ht="15">
      <c r="A110" s="2"/>
      <c r="B110" s="2"/>
      <c r="C110" s="2"/>
      <c r="D110" s="2"/>
      <c r="E110" s="2"/>
      <c r="F110" s="2"/>
    </row>
    <row r="111" spans="1:6" ht="15">
      <c r="A111" s="2"/>
      <c r="B111" s="2"/>
      <c r="C111" s="2"/>
      <c r="D111" s="2"/>
      <c r="E111" s="2"/>
      <c r="F111" s="2"/>
    </row>
    <row r="112" spans="1:6" ht="15">
      <c r="A112" s="2"/>
      <c r="B112" s="2"/>
      <c r="C112" s="2"/>
      <c r="D112" s="2"/>
      <c r="E112" s="2"/>
      <c r="F112" s="2"/>
    </row>
    <row r="113" spans="1:6" ht="15">
      <c r="A113" s="2"/>
      <c r="B113" s="2"/>
      <c r="C113" s="2"/>
      <c r="D113" s="2"/>
      <c r="E113" s="2"/>
      <c r="F113" s="2"/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AC32"/>
  <sheetViews>
    <sheetView tabSelected="1" zoomScale="90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2.75"/>
  <cols>
    <col min="1" max="1" width="92.28515625" customWidth="1"/>
    <col min="2" max="2" width="13.140625" customWidth="1"/>
    <col min="3" max="3" width="13.140625" style="95" customWidth="1"/>
    <col min="4" max="6" width="13.28515625" style="95" customWidth="1"/>
    <col min="7" max="7" width="13.42578125" style="95" customWidth="1"/>
    <col min="8" max="8" width="13" style="95" customWidth="1"/>
    <col min="9" max="9" width="12.140625" style="95" customWidth="1"/>
    <col min="10" max="10" width="14" style="95" customWidth="1"/>
    <col min="11" max="14" width="17.42578125" style="95" customWidth="1"/>
    <col min="15" max="18" width="17.7109375" style="95" customWidth="1"/>
    <col min="19" max="22" width="22.5703125" style="95" customWidth="1"/>
    <col min="23" max="26" width="19.5703125" style="95" customWidth="1"/>
    <col min="27" max="29" width="20.85546875" style="95" customWidth="1"/>
  </cols>
  <sheetData>
    <row r="1" spans="1:29">
      <c r="A1" s="208" t="s">
        <v>839</v>
      </c>
      <c r="B1" s="208"/>
    </row>
    <row r="2" spans="1:29">
      <c r="A2" s="208" t="s">
        <v>217</v>
      </c>
      <c r="B2" s="208"/>
    </row>
    <row r="4" spans="1:29" ht="105">
      <c r="A4" s="259" t="s">
        <v>629</v>
      </c>
      <c r="B4" s="260" t="s">
        <v>528</v>
      </c>
      <c r="C4" s="260" t="s">
        <v>38</v>
      </c>
      <c r="D4" s="260" t="s">
        <v>39</v>
      </c>
      <c r="E4" s="260" t="s">
        <v>40</v>
      </c>
      <c r="F4" s="260" t="s">
        <v>529</v>
      </c>
      <c r="G4" s="260" t="s">
        <v>41</v>
      </c>
      <c r="H4" s="260" t="s">
        <v>42</v>
      </c>
      <c r="I4" s="260" t="s">
        <v>43</v>
      </c>
      <c r="J4" s="260" t="s">
        <v>530</v>
      </c>
      <c r="K4" s="260" t="s">
        <v>45</v>
      </c>
      <c r="L4" s="260" t="s">
        <v>46</v>
      </c>
      <c r="M4" s="260" t="s">
        <v>47</v>
      </c>
      <c r="N4" s="260" t="s">
        <v>531</v>
      </c>
      <c r="O4" s="260" t="s">
        <v>48</v>
      </c>
      <c r="P4" s="260" t="s">
        <v>49</v>
      </c>
      <c r="Q4" s="260" t="s">
        <v>50</v>
      </c>
      <c r="R4" s="99" t="s">
        <v>532</v>
      </c>
      <c r="S4" s="99" t="s">
        <v>51</v>
      </c>
      <c r="T4" s="99" t="s">
        <v>52</v>
      </c>
      <c r="U4" s="99" t="s">
        <v>53</v>
      </c>
      <c r="V4" s="260" t="s">
        <v>538</v>
      </c>
      <c r="W4" s="260" t="s">
        <v>54</v>
      </c>
      <c r="X4" s="260" t="s">
        <v>55</v>
      </c>
      <c r="Y4" s="260" t="s">
        <v>56</v>
      </c>
      <c r="Z4" s="99" t="s">
        <v>533</v>
      </c>
      <c r="AA4" s="99" t="s">
        <v>57</v>
      </c>
      <c r="AB4" s="99" t="s">
        <v>58</v>
      </c>
      <c r="AC4" s="99" t="s">
        <v>59</v>
      </c>
    </row>
    <row r="5" spans="1:29" ht="16.5">
      <c r="A5" s="21" t="s">
        <v>613</v>
      </c>
      <c r="B5" s="90">
        <v>30071</v>
      </c>
      <c r="C5" s="90">
        <f ca="1">'3. szakfeladatok'!AS5</f>
        <v>31560</v>
      </c>
      <c r="D5" s="90">
        <f ca="1">'3. szakfeladatok'!AT5</f>
        <v>34729.542000000001</v>
      </c>
      <c r="E5" s="90">
        <f ca="1">'3. szakfeladatok'!AU5</f>
        <v>33508.608</v>
      </c>
      <c r="F5" s="90">
        <v>4466</v>
      </c>
      <c r="G5" s="90">
        <f ca="1">'3. szakfeladatok'!AS7</f>
        <v>6064</v>
      </c>
      <c r="H5" s="90">
        <f ca="1">'3. szakfeladatok'!AT7</f>
        <v>5992.4139999999998</v>
      </c>
      <c r="I5" s="90">
        <f ca="1">'3. szakfeladatok'!AU7</f>
        <v>5940.59</v>
      </c>
      <c r="J5" s="90">
        <v>39724</v>
      </c>
      <c r="K5" s="90">
        <f ca="1">'3. szakfeladatok'!AS6</f>
        <v>29552</v>
      </c>
      <c r="L5" s="90">
        <f ca="1">'3. szakfeladatok'!AT6</f>
        <v>35673.856</v>
      </c>
      <c r="M5" s="90">
        <f ca="1">'3. szakfeladatok'!AU6</f>
        <v>35367.720999999998</v>
      </c>
      <c r="N5" s="90">
        <v>32267</v>
      </c>
      <c r="O5" s="90">
        <f ca="1">SUM('3. szakfeladatok'!AS8:AS34)</f>
        <v>45153</v>
      </c>
      <c r="P5" s="90">
        <f ca="1">SUM('3. szakfeladatok'!AT8:AT34)</f>
        <v>42431</v>
      </c>
      <c r="Q5" s="90">
        <f ca="1">SUM('3. szakfeladatok'!AU8:AU34)</f>
        <v>39346.557000000001</v>
      </c>
      <c r="R5" s="90">
        <f>B5+F5+J5+N5</f>
        <v>106528</v>
      </c>
      <c r="S5" s="90">
        <f>O5+K5+G5+C5</f>
        <v>112329</v>
      </c>
      <c r="T5" s="90">
        <f>P5+L5+H5+D5</f>
        <v>118826.81200000001</v>
      </c>
      <c r="U5" s="90">
        <f>Q5+M5+I5+E5</f>
        <v>114163.476</v>
      </c>
      <c r="V5" s="90">
        <v>0</v>
      </c>
      <c r="W5" s="90">
        <v>0</v>
      </c>
      <c r="X5" s="90">
        <v>0</v>
      </c>
      <c r="Y5" s="90">
        <v>0</v>
      </c>
      <c r="Z5" s="90">
        <f>R5-V5</f>
        <v>106528</v>
      </c>
      <c r="AA5" s="90">
        <f>S5-W5</f>
        <v>112329</v>
      </c>
      <c r="AB5" s="90">
        <f>T5-X5</f>
        <v>118826.81200000001</v>
      </c>
      <c r="AC5" s="90">
        <f>U5-Y5</f>
        <v>114163.476</v>
      </c>
    </row>
    <row r="6" spans="1:29" ht="16.5">
      <c r="A6" s="21" t="s">
        <v>609</v>
      </c>
      <c r="B6" s="90">
        <v>7845</v>
      </c>
      <c r="C6" s="90">
        <f ca="1">'3. szakfeladatok'!AY5</f>
        <v>7772</v>
      </c>
      <c r="D6" s="90">
        <f ca="1">'3. szakfeladatok'!AZ5</f>
        <v>9015</v>
      </c>
      <c r="E6" s="90">
        <f ca="1">'3. szakfeladatok'!BA5</f>
        <v>9014.4320000000007</v>
      </c>
      <c r="F6" s="90">
        <v>1155</v>
      </c>
      <c r="G6" s="90">
        <f ca="1">'3. szakfeladatok'!AY7</f>
        <v>1446</v>
      </c>
      <c r="H6" s="90">
        <f ca="1">'3. szakfeladatok'!AZ7</f>
        <v>1555</v>
      </c>
      <c r="I6" s="90">
        <f ca="1">'3. szakfeladatok'!BA7</f>
        <v>1554.7570000000001</v>
      </c>
      <c r="J6" s="90">
        <v>10148</v>
      </c>
      <c r="K6" s="90">
        <f ca="1">'3. szakfeladatok'!AY6</f>
        <v>7461</v>
      </c>
      <c r="L6" s="90">
        <f ca="1">'3. szakfeladatok'!AZ6</f>
        <v>9234</v>
      </c>
      <c r="M6" s="90">
        <f ca="1">'3. szakfeladatok'!BA6</f>
        <v>9233.35</v>
      </c>
      <c r="N6" s="90">
        <v>8795</v>
      </c>
      <c r="O6" s="90">
        <f ca="1">SUM('3. szakfeladatok'!AY8:AY34)</f>
        <v>11010</v>
      </c>
      <c r="P6" s="90">
        <f ca="1">SUM('3. szakfeladatok'!AZ8:AZ34)</f>
        <v>10114</v>
      </c>
      <c r="Q6" s="90">
        <f ca="1">SUM('3. szakfeladatok'!BA8:BA34)</f>
        <v>8746</v>
      </c>
      <c r="R6" s="90">
        <f t="shared" ref="R6:R32" si="0">B6+F6+J6+N6</f>
        <v>27943</v>
      </c>
      <c r="S6" s="90">
        <f>O6+K6+G6+C6</f>
        <v>27689</v>
      </c>
      <c r="T6" s="90">
        <f>P6+L6+H6+D6</f>
        <v>29918</v>
      </c>
      <c r="U6" s="90">
        <f t="shared" ref="U6:U18" si="1">Q6+M6+I6+E6</f>
        <v>28548.539000000001</v>
      </c>
      <c r="V6" s="90">
        <v>0</v>
      </c>
      <c r="W6" s="90">
        <v>0</v>
      </c>
      <c r="X6" s="90">
        <v>0</v>
      </c>
      <c r="Y6" s="90">
        <v>0</v>
      </c>
      <c r="Z6" s="90">
        <f t="shared" ref="Z6:Z32" si="2">R6-V6</f>
        <v>27943</v>
      </c>
      <c r="AA6" s="90">
        <f t="shared" ref="AA6:AA32" si="3">S6-W6</f>
        <v>27689</v>
      </c>
      <c r="AB6" s="90">
        <f t="shared" ref="AB6:AB17" si="4">T6-X6</f>
        <v>29918</v>
      </c>
      <c r="AC6" s="90">
        <f t="shared" ref="AC6:AC17" si="5">U6-Y6</f>
        <v>28548.539000000001</v>
      </c>
    </row>
    <row r="7" spans="1:29" ht="16.5">
      <c r="A7" s="21" t="s">
        <v>610</v>
      </c>
      <c r="B7" s="90">
        <v>8490</v>
      </c>
      <c r="C7" s="90">
        <f ca="1">'3. szakfeladatok'!BB5</f>
        <v>8261</v>
      </c>
      <c r="D7" s="90">
        <f ca="1">'3. szakfeladatok'!BC5</f>
        <v>8861</v>
      </c>
      <c r="E7" s="90">
        <f ca="1">'3. szakfeladatok'!BD5</f>
        <v>7888.2939999999999</v>
      </c>
      <c r="F7" s="90">
        <v>13829</v>
      </c>
      <c r="G7" s="90">
        <f ca="1">'3. szakfeladatok'!BB7</f>
        <v>17434</v>
      </c>
      <c r="H7" s="90">
        <f ca="1">'3. szakfeladatok'!BC7</f>
        <v>18244</v>
      </c>
      <c r="I7" s="90">
        <f ca="1">'3. szakfeladatok'!BD7</f>
        <v>16112.258</v>
      </c>
      <c r="J7" s="90">
        <v>13620</v>
      </c>
      <c r="K7" s="90">
        <f ca="1">'3. szakfeladatok'!BB6</f>
        <v>18712</v>
      </c>
      <c r="L7" s="90">
        <f ca="1">'3. szakfeladatok'!BC6</f>
        <v>18712</v>
      </c>
      <c r="M7" s="90">
        <f ca="1">'3. szakfeladatok'!BD6</f>
        <v>11480.857</v>
      </c>
      <c r="N7" s="90">
        <v>99761</v>
      </c>
      <c r="O7" s="90">
        <f ca="1">SUM('3. szakfeladatok'!BB8:BB34)</f>
        <v>131140</v>
      </c>
      <c r="P7" s="90">
        <f ca="1">SUM('3. szakfeladatok'!BC8:BC34)-1</f>
        <v>209453.53100000002</v>
      </c>
      <c r="Q7" s="90">
        <f ca="1">SUM('3. szakfeladatok'!BD8:BD34)</f>
        <v>195901.36199999999</v>
      </c>
      <c r="R7" s="90">
        <f t="shared" si="0"/>
        <v>135700</v>
      </c>
      <c r="S7" s="90">
        <f t="shared" ref="S7:S32" si="6">O7+K7+G7+C7</f>
        <v>175547</v>
      </c>
      <c r="T7" s="90">
        <f>P7+L7+H7+D7+1</f>
        <v>255271.53100000002</v>
      </c>
      <c r="U7" s="90">
        <f t="shared" si="1"/>
        <v>231382.77099999998</v>
      </c>
      <c r="V7" s="90">
        <v>0</v>
      </c>
      <c r="W7" s="90">
        <v>0</v>
      </c>
      <c r="X7" s="90">
        <v>0</v>
      </c>
      <c r="Y7" s="90">
        <v>0</v>
      </c>
      <c r="Z7" s="90">
        <f t="shared" si="2"/>
        <v>135700</v>
      </c>
      <c r="AA7" s="90">
        <f t="shared" si="3"/>
        <v>175547</v>
      </c>
      <c r="AB7" s="90">
        <f t="shared" si="4"/>
        <v>255271.53100000002</v>
      </c>
      <c r="AC7" s="90">
        <f t="shared" si="5"/>
        <v>231382.77099999998</v>
      </c>
    </row>
    <row r="8" spans="1:29" ht="16.5">
      <c r="A8" s="21" t="s">
        <v>611</v>
      </c>
      <c r="B8" s="90">
        <v>0</v>
      </c>
      <c r="C8" s="90">
        <f ca="1">'3. szakfeladatok'!BE5/1000</f>
        <v>0</v>
      </c>
      <c r="D8" s="90">
        <f ca="1">'3. szakfeladatok'!BF5/1000</f>
        <v>0</v>
      </c>
      <c r="E8" s="90">
        <f ca="1">'3. szakfeladatok'!BG5/1000</f>
        <v>0</v>
      </c>
      <c r="F8" s="90"/>
      <c r="G8" s="90">
        <f ca="1">'3. szakfeladatok'!BE7/1000</f>
        <v>0</v>
      </c>
      <c r="H8" s="90">
        <f ca="1">'3. szakfeladatok'!BF7/1000</f>
        <v>0</v>
      </c>
      <c r="I8" s="90">
        <f ca="1">'3. szakfeladatok'!BG7/1000</f>
        <v>0</v>
      </c>
      <c r="J8" s="90"/>
      <c r="K8" s="90">
        <v>0</v>
      </c>
      <c r="L8" s="90">
        <v>0</v>
      </c>
      <c r="M8" s="90">
        <v>0</v>
      </c>
      <c r="N8" s="90">
        <v>30204</v>
      </c>
      <c r="O8" s="90">
        <f ca="1">SUM('3. szakfeladatok'!BE8:BE34)</f>
        <v>26100</v>
      </c>
      <c r="P8" s="90">
        <f ca="1">SUM('3. szakfeladatok'!BF8:BF34)</f>
        <v>28422</v>
      </c>
      <c r="Q8" s="90">
        <f ca="1">SUM('3. szakfeladatok'!BG8:BG34)</f>
        <v>23200.36</v>
      </c>
      <c r="R8" s="90">
        <f t="shared" si="0"/>
        <v>30204</v>
      </c>
      <c r="S8" s="90">
        <f t="shared" si="6"/>
        <v>26100</v>
      </c>
      <c r="T8" s="90">
        <f t="shared" ref="T8:T16" si="7">P8+L8+H8+D8</f>
        <v>28422</v>
      </c>
      <c r="U8" s="90">
        <f t="shared" si="1"/>
        <v>23200.36</v>
      </c>
      <c r="V8" s="90">
        <v>0</v>
      </c>
      <c r="W8" s="90">
        <v>0</v>
      </c>
      <c r="X8" s="90">
        <v>0</v>
      </c>
      <c r="Y8" s="90">
        <v>0</v>
      </c>
      <c r="Z8" s="90">
        <f t="shared" si="2"/>
        <v>30204</v>
      </c>
      <c r="AA8" s="90">
        <f t="shared" si="3"/>
        <v>26100</v>
      </c>
      <c r="AB8" s="90">
        <f t="shared" si="4"/>
        <v>28422</v>
      </c>
      <c r="AC8" s="90">
        <f t="shared" si="5"/>
        <v>23200.36</v>
      </c>
    </row>
    <row r="9" spans="1:29" ht="16.5">
      <c r="A9" s="21" t="s">
        <v>612</v>
      </c>
      <c r="B9" s="91">
        <f ca="1">'3. szakfeladatok'!BJ5/1000</f>
        <v>0</v>
      </c>
      <c r="C9" s="91">
        <f ca="1">'3. szakfeladatok'!BK5/1000</f>
        <v>0</v>
      </c>
      <c r="D9" s="91">
        <f ca="1">'3. szakfeladatok'!BL5/1000</f>
        <v>0</v>
      </c>
      <c r="E9" s="91">
        <f ca="1">'3. szakfeladatok'!BM5/1000</f>
        <v>0</v>
      </c>
      <c r="F9" s="91"/>
      <c r="G9" s="90">
        <v>0</v>
      </c>
      <c r="H9" s="90">
        <v>0</v>
      </c>
      <c r="I9" s="90">
        <v>0</v>
      </c>
      <c r="J9" s="90"/>
      <c r="K9" s="90">
        <v>0</v>
      </c>
      <c r="L9" s="90">
        <v>0</v>
      </c>
      <c r="M9" s="90">
        <v>0</v>
      </c>
      <c r="N9" s="90">
        <f ca="1">277491-256258</f>
        <v>21233</v>
      </c>
      <c r="O9" s="90">
        <f ca="1">SUM('3. szakfeladatok'!BH8:BH34)</f>
        <v>31571</v>
      </c>
      <c r="P9" s="90">
        <f ca="1">SUM('3. szakfeladatok'!BI8:BI34)</f>
        <v>27826</v>
      </c>
      <c r="Q9" s="90">
        <f ca="1">SUM('3. szakfeladatok'!BJ8:BJ34)</f>
        <v>13339.293000000001</v>
      </c>
      <c r="R9" s="90">
        <f t="shared" si="0"/>
        <v>21233</v>
      </c>
      <c r="S9" s="90">
        <f t="shared" si="6"/>
        <v>31571</v>
      </c>
      <c r="T9" s="90">
        <f t="shared" si="7"/>
        <v>27826</v>
      </c>
      <c r="U9" s="90">
        <f t="shared" si="1"/>
        <v>13339.293000000001</v>
      </c>
      <c r="V9" s="90">
        <v>0</v>
      </c>
      <c r="W9" s="90">
        <v>0</v>
      </c>
      <c r="X9" s="90">
        <v>0</v>
      </c>
      <c r="Y9" s="90">
        <v>0</v>
      </c>
      <c r="Z9" s="90">
        <f t="shared" si="2"/>
        <v>21233</v>
      </c>
      <c r="AA9" s="90">
        <f t="shared" si="3"/>
        <v>31571</v>
      </c>
      <c r="AB9" s="90">
        <f t="shared" si="4"/>
        <v>27826</v>
      </c>
      <c r="AC9" s="90">
        <f t="shared" si="5"/>
        <v>13339.293000000001</v>
      </c>
    </row>
    <row r="10" spans="1:29" ht="32.25">
      <c r="A10" s="9" t="s">
        <v>632</v>
      </c>
      <c r="B10" s="90">
        <v>0</v>
      </c>
      <c r="C10" s="90">
        <v>0</v>
      </c>
      <c r="D10" s="90">
        <v>0</v>
      </c>
      <c r="E10" s="90">
        <v>0</v>
      </c>
      <c r="F10" s="90"/>
      <c r="G10" s="90">
        <v>0</v>
      </c>
      <c r="H10" s="90">
        <v>0</v>
      </c>
      <c r="I10" s="90">
        <v>0</v>
      </c>
      <c r="J10" s="90"/>
      <c r="K10" s="90">
        <v>0</v>
      </c>
      <c r="L10" s="90">
        <v>0</v>
      </c>
      <c r="M10" s="90">
        <v>0</v>
      </c>
      <c r="N10" s="90"/>
      <c r="O10" s="90"/>
      <c r="P10" s="90"/>
      <c r="Q10" s="90"/>
      <c r="R10" s="90">
        <f t="shared" si="0"/>
        <v>0</v>
      </c>
      <c r="S10" s="90">
        <f t="shared" si="6"/>
        <v>0</v>
      </c>
      <c r="T10" s="90">
        <f t="shared" si="7"/>
        <v>0</v>
      </c>
      <c r="U10" s="90">
        <f t="shared" si="1"/>
        <v>0</v>
      </c>
      <c r="V10" s="90">
        <v>0</v>
      </c>
      <c r="W10" s="90">
        <v>0</v>
      </c>
      <c r="X10" s="90">
        <v>0</v>
      </c>
      <c r="Y10" s="90">
        <v>0</v>
      </c>
      <c r="Z10" s="90">
        <f t="shared" si="2"/>
        <v>0</v>
      </c>
      <c r="AA10" s="90">
        <f t="shared" si="3"/>
        <v>0</v>
      </c>
      <c r="AB10" s="90">
        <f t="shared" si="4"/>
        <v>0</v>
      </c>
      <c r="AC10" s="90">
        <f t="shared" si="5"/>
        <v>0</v>
      </c>
    </row>
    <row r="11" spans="1:29" ht="16.5">
      <c r="A11" s="9" t="s">
        <v>633</v>
      </c>
      <c r="B11" s="90">
        <v>0</v>
      </c>
      <c r="C11" s="90">
        <v>0</v>
      </c>
      <c r="D11" s="90">
        <v>0</v>
      </c>
      <c r="E11" s="90">
        <v>0</v>
      </c>
      <c r="F11" s="90"/>
      <c r="G11" s="90">
        <v>0</v>
      </c>
      <c r="H11" s="90">
        <v>0</v>
      </c>
      <c r="I11" s="90">
        <v>0</v>
      </c>
      <c r="J11" s="90"/>
      <c r="K11" s="90">
        <v>0</v>
      </c>
      <c r="L11" s="90">
        <v>0</v>
      </c>
      <c r="M11" s="90">
        <v>0</v>
      </c>
      <c r="N11" s="90"/>
      <c r="O11" s="90"/>
      <c r="P11" s="90"/>
      <c r="Q11" s="90"/>
      <c r="R11" s="90">
        <f t="shared" si="0"/>
        <v>0</v>
      </c>
      <c r="S11" s="90">
        <f t="shared" si="6"/>
        <v>0</v>
      </c>
      <c r="T11" s="90">
        <f t="shared" si="7"/>
        <v>0</v>
      </c>
      <c r="U11" s="90">
        <f t="shared" si="1"/>
        <v>0</v>
      </c>
      <c r="V11" s="90">
        <v>0</v>
      </c>
      <c r="W11" s="90">
        <v>0</v>
      </c>
      <c r="X11" s="90">
        <v>0</v>
      </c>
      <c r="Y11" s="90">
        <v>0</v>
      </c>
      <c r="Z11" s="90">
        <f t="shared" si="2"/>
        <v>0</v>
      </c>
      <c r="AA11" s="90">
        <f t="shared" si="3"/>
        <v>0</v>
      </c>
      <c r="AB11" s="90">
        <f t="shared" si="4"/>
        <v>0</v>
      </c>
      <c r="AC11" s="90">
        <f t="shared" si="5"/>
        <v>0</v>
      </c>
    </row>
    <row r="12" spans="1:29" ht="16.5">
      <c r="A12" s="9" t="s">
        <v>634</v>
      </c>
      <c r="B12" s="90">
        <v>0</v>
      </c>
      <c r="C12" s="90">
        <v>0</v>
      </c>
      <c r="D12" s="90">
        <v>0</v>
      </c>
      <c r="E12" s="90">
        <v>0</v>
      </c>
      <c r="F12" s="90"/>
      <c r="G12" s="90">
        <v>0</v>
      </c>
      <c r="H12" s="90">
        <v>0</v>
      </c>
      <c r="I12" s="90">
        <v>0</v>
      </c>
      <c r="J12" s="90"/>
      <c r="K12" s="90">
        <v>0</v>
      </c>
      <c r="L12" s="90">
        <v>0</v>
      </c>
      <c r="M12" s="90">
        <v>0</v>
      </c>
      <c r="N12" s="90"/>
      <c r="O12" s="90"/>
      <c r="P12" s="90"/>
      <c r="Q12" s="90"/>
      <c r="R12" s="90">
        <f t="shared" si="0"/>
        <v>0</v>
      </c>
      <c r="S12" s="90">
        <f t="shared" si="6"/>
        <v>0</v>
      </c>
      <c r="T12" s="90">
        <f t="shared" si="7"/>
        <v>0</v>
      </c>
      <c r="U12" s="90">
        <f t="shared" si="1"/>
        <v>0</v>
      </c>
      <c r="V12" s="90">
        <v>0</v>
      </c>
      <c r="W12" s="90">
        <v>0</v>
      </c>
      <c r="X12" s="90">
        <v>0</v>
      </c>
      <c r="Y12" s="90">
        <v>0</v>
      </c>
      <c r="Z12" s="90">
        <f t="shared" si="2"/>
        <v>0</v>
      </c>
      <c r="AA12" s="90">
        <f t="shared" si="3"/>
        <v>0</v>
      </c>
      <c r="AB12" s="90">
        <f t="shared" si="4"/>
        <v>0</v>
      </c>
      <c r="AC12" s="90">
        <f t="shared" si="5"/>
        <v>0</v>
      </c>
    </row>
    <row r="13" spans="1:29" ht="32.25">
      <c r="A13" s="9" t="s">
        <v>635</v>
      </c>
      <c r="B13" s="90">
        <v>0</v>
      </c>
      <c r="C13" s="90">
        <v>0</v>
      </c>
      <c r="D13" s="90">
        <v>0</v>
      </c>
      <c r="E13" s="90">
        <v>0</v>
      </c>
      <c r="F13" s="90"/>
      <c r="G13" s="90">
        <v>0</v>
      </c>
      <c r="H13" s="90">
        <v>0</v>
      </c>
      <c r="I13" s="90">
        <v>0</v>
      </c>
      <c r="J13" s="90"/>
      <c r="K13" s="90">
        <v>0</v>
      </c>
      <c r="L13" s="90">
        <v>0</v>
      </c>
      <c r="M13" s="90">
        <v>0</v>
      </c>
      <c r="N13" s="90"/>
      <c r="O13" s="90"/>
      <c r="P13" s="90"/>
      <c r="Q13" s="90"/>
      <c r="R13" s="90">
        <f t="shared" si="0"/>
        <v>0</v>
      </c>
      <c r="S13" s="90">
        <f t="shared" si="6"/>
        <v>0</v>
      </c>
      <c r="T13" s="90">
        <f t="shared" si="7"/>
        <v>0</v>
      </c>
      <c r="U13" s="90">
        <f t="shared" si="1"/>
        <v>0</v>
      </c>
      <c r="V13" s="90">
        <v>0</v>
      </c>
      <c r="W13" s="90">
        <v>0</v>
      </c>
      <c r="X13" s="90">
        <v>0</v>
      </c>
      <c r="Y13" s="90">
        <v>0</v>
      </c>
      <c r="Z13" s="90">
        <f t="shared" si="2"/>
        <v>0</v>
      </c>
      <c r="AA13" s="90">
        <f t="shared" si="3"/>
        <v>0</v>
      </c>
      <c r="AB13" s="90">
        <f t="shared" si="4"/>
        <v>0</v>
      </c>
      <c r="AC13" s="90">
        <f t="shared" si="5"/>
        <v>0</v>
      </c>
    </row>
    <row r="14" spans="1:29" ht="32.25">
      <c r="A14" s="17" t="s">
        <v>608</v>
      </c>
      <c r="B14" s="90">
        <v>0</v>
      </c>
      <c r="C14" s="90">
        <v>0</v>
      </c>
      <c r="D14" s="90">
        <v>0</v>
      </c>
      <c r="E14" s="90">
        <v>0</v>
      </c>
      <c r="F14" s="90"/>
      <c r="G14" s="90">
        <v>0</v>
      </c>
      <c r="H14" s="90">
        <v>0</v>
      </c>
      <c r="I14" s="90">
        <v>0</v>
      </c>
      <c r="J14" s="90"/>
      <c r="K14" s="90">
        <v>0</v>
      </c>
      <c r="L14" s="90">
        <v>0</v>
      </c>
      <c r="M14" s="90">
        <v>0</v>
      </c>
      <c r="N14" s="90">
        <v>256258</v>
      </c>
      <c r="O14" s="90">
        <f ca="1">'2. bevételek össz'!C12+'2. bevételek össz'!G12+'2. bevételek össz'!K12</f>
        <v>126886</v>
      </c>
      <c r="P14" s="90">
        <v>140041</v>
      </c>
      <c r="Q14" s="90">
        <f>131685-1682</f>
        <v>130003</v>
      </c>
      <c r="R14" s="90">
        <f t="shared" si="0"/>
        <v>256258</v>
      </c>
      <c r="S14" s="90">
        <f t="shared" si="6"/>
        <v>126886</v>
      </c>
      <c r="T14" s="90">
        <f t="shared" si="7"/>
        <v>140041</v>
      </c>
      <c r="U14" s="90">
        <f t="shared" si="1"/>
        <v>130003</v>
      </c>
      <c r="V14" s="90">
        <v>256258</v>
      </c>
      <c r="W14" s="90">
        <f>S14</f>
        <v>126886</v>
      </c>
      <c r="X14" s="90">
        <f>T14</f>
        <v>140041</v>
      </c>
      <c r="Y14" s="90">
        <f>U14</f>
        <v>130003</v>
      </c>
      <c r="Z14" s="90">
        <f t="shared" si="2"/>
        <v>0</v>
      </c>
      <c r="AA14" s="90">
        <f t="shared" si="3"/>
        <v>0</v>
      </c>
      <c r="AB14" s="90">
        <f t="shared" si="4"/>
        <v>0</v>
      </c>
      <c r="AC14" s="90">
        <f t="shared" si="5"/>
        <v>0</v>
      </c>
    </row>
    <row r="15" spans="1:29" ht="16.5">
      <c r="A15" s="4" t="s">
        <v>598</v>
      </c>
      <c r="B15" s="90"/>
      <c r="C15" s="90">
        <v>133</v>
      </c>
      <c r="D15" s="90">
        <v>133</v>
      </c>
      <c r="E15" s="90">
        <v>0</v>
      </c>
      <c r="F15" s="90"/>
      <c r="G15" s="90">
        <v>130</v>
      </c>
      <c r="H15" s="90">
        <v>130</v>
      </c>
      <c r="I15" s="90">
        <v>0</v>
      </c>
      <c r="J15" s="90"/>
      <c r="K15" s="90">
        <v>140</v>
      </c>
      <c r="L15" s="90">
        <v>140</v>
      </c>
      <c r="M15" s="90"/>
      <c r="N15" s="90"/>
      <c r="O15" s="90">
        <v>37686</v>
      </c>
      <c r="P15" s="90">
        <v>68297</v>
      </c>
      <c r="Q15" s="90">
        <v>0</v>
      </c>
      <c r="R15" s="90">
        <f t="shared" si="0"/>
        <v>0</v>
      </c>
      <c r="S15" s="90">
        <f t="shared" si="6"/>
        <v>38089</v>
      </c>
      <c r="T15" s="90">
        <f t="shared" si="7"/>
        <v>68700</v>
      </c>
      <c r="U15" s="90">
        <f t="shared" si="1"/>
        <v>0</v>
      </c>
      <c r="V15" s="90">
        <v>0</v>
      </c>
      <c r="W15" s="90">
        <v>0</v>
      </c>
      <c r="X15" s="90">
        <v>0</v>
      </c>
      <c r="Y15" s="90">
        <v>0</v>
      </c>
      <c r="Z15" s="90">
        <f t="shared" si="2"/>
        <v>0</v>
      </c>
      <c r="AA15" s="90">
        <f t="shared" si="3"/>
        <v>38089</v>
      </c>
      <c r="AB15" s="90">
        <f t="shared" si="4"/>
        <v>68700</v>
      </c>
      <c r="AC15" s="90">
        <f t="shared" si="5"/>
        <v>0</v>
      </c>
    </row>
    <row r="16" spans="1:29" ht="16.5">
      <c r="A16" s="4" t="s">
        <v>599</v>
      </c>
      <c r="B16" s="90">
        <v>0</v>
      </c>
      <c r="C16" s="90">
        <v>0</v>
      </c>
      <c r="D16" s="90"/>
      <c r="E16" s="90"/>
      <c r="F16" s="90"/>
      <c r="G16" s="90">
        <v>0</v>
      </c>
      <c r="H16" s="90">
        <v>0</v>
      </c>
      <c r="I16" s="90">
        <v>0</v>
      </c>
      <c r="J16" s="90"/>
      <c r="K16" s="90"/>
      <c r="L16" s="90"/>
      <c r="M16" s="90"/>
      <c r="N16" s="90"/>
      <c r="O16" s="90"/>
      <c r="P16" s="90"/>
      <c r="Q16" s="90"/>
      <c r="R16" s="90">
        <f t="shared" si="0"/>
        <v>0</v>
      </c>
      <c r="S16" s="90">
        <f t="shared" si="6"/>
        <v>0</v>
      </c>
      <c r="T16" s="90">
        <f t="shared" si="7"/>
        <v>0</v>
      </c>
      <c r="U16" s="90">
        <f t="shared" si="1"/>
        <v>0</v>
      </c>
      <c r="V16" s="90">
        <v>0</v>
      </c>
      <c r="W16" s="90">
        <f>S16</f>
        <v>0</v>
      </c>
      <c r="X16" s="90">
        <f>T16</f>
        <v>0</v>
      </c>
      <c r="Y16" s="90">
        <f>U16</f>
        <v>0</v>
      </c>
      <c r="Z16" s="90">
        <f t="shared" si="2"/>
        <v>0</v>
      </c>
      <c r="AA16" s="90">
        <f t="shared" si="3"/>
        <v>0</v>
      </c>
      <c r="AB16" s="90">
        <f t="shared" si="4"/>
        <v>0</v>
      </c>
      <c r="AC16" s="90">
        <f t="shared" si="5"/>
        <v>0</v>
      </c>
    </row>
    <row r="17" spans="1:29" ht="24.75" customHeight="1">
      <c r="A17" s="43" t="s">
        <v>588</v>
      </c>
      <c r="B17" s="92">
        <f t="shared" ref="B17:K17" si="8">SUM(B5,B6,B7,B8,B9,B14,B15,B16)</f>
        <v>46406</v>
      </c>
      <c r="C17" s="92">
        <f t="shared" si="8"/>
        <v>47726</v>
      </c>
      <c r="D17" s="92">
        <f t="shared" si="8"/>
        <v>52738.542000000001</v>
      </c>
      <c r="E17" s="92">
        <f t="shared" si="8"/>
        <v>50411.334000000003</v>
      </c>
      <c r="F17" s="92">
        <f t="shared" si="8"/>
        <v>19450</v>
      </c>
      <c r="G17" s="92">
        <f t="shared" si="8"/>
        <v>25074</v>
      </c>
      <c r="H17" s="92">
        <f t="shared" si="8"/>
        <v>25921.414000000001</v>
      </c>
      <c r="I17" s="92">
        <f t="shared" si="8"/>
        <v>23607.605</v>
      </c>
      <c r="J17" s="92">
        <f t="shared" si="8"/>
        <v>63492</v>
      </c>
      <c r="K17" s="92">
        <f t="shared" si="8"/>
        <v>55865</v>
      </c>
      <c r="L17" s="92">
        <f t="shared" ref="L17:Q17" si="9">SUM(L5,L6,L7,L8,L9,L14,L15,L16)</f>
        <v>63759.856</v>
      </c>
      <c r="M17" s="92">
        <f t="shared" si="9"/>
        <v>56081.928</v>
      </c>
      <c r="N17" s="92">
        <f t="shared" si="9"/>
        <v>448518</v>
      </c>
      <c r="O17" s="92">
        <f t="shared" si="9"/>
        <v>409546</v>
      </c>
      <c r="P17" s="92">
        <f t="shared" si="9"/>
        <v>526584.53099999996</v>
      </c>
      <c r="Q17" s="92">
        <f t="shared" si="9"/>
        <v>410536.57199999999</v>
      </c>
      <c r="R17" s="93">
        <f t="shared" si="0"/>
        <v>577866</v>
      </c>
      <c r="S17" s="93">
        <f t="shared" si="6"/>
        <v>538211</v>
      </c>
      <c r="T17" s="93">
        <f>SUM(T5:T16)</f>
        <v>669005.34299999999</v>
      </c>
      <c r="U17" s="93">
        <f t="shared" si="1"/>
        <v>540637.43900000001</v>
      </c>
      <c r="V17" s="93">
        <v>256258</v>
      </c>
      <c r="W17" s="92">
        <f>SUM(W5,W6,W7,W8,W9,W14,W15,W16)</f>
        <v>126886</v>
      </c>
      <c r="X17" s="92">
        <f>SUM(X5,X6,X7,X8,X9,X14,X15,X16)</f>
        <v>140041</v>
      </c>
      <c r="Y17" s="92">
        <f>SUM(Y5,Y6,Y7,Y8,Y9,Y14,Y15,Y16)</f>
        <v>130003</v>
      </c>
      <c r="Z17" s="93">
        <f t="shared" si="2"/>
        <v>321608</v>
      </c>
      <c r="AA17" s="93">
        <f t="shared" si="3"/>
        <v>411325</v>
      </c>
      <c r="AB17" s="93">
        <f t="shared" si="4"/>
        <v>528964.34299999999</v>
      </c>
      <c r="AC17" s="93">
        <f t="shared" si="5"/>
        <v>410634.43900000001</v>
      </c>
    </row>
    <row r="18" spans="1:29" ht="20.25" customHeight="1">
      <c r="A18" s="21" t="s">
        <v>602</v>
      </c>
      <c r="B18" s="90">
        <v>0</v>
      </c>
      <c r="C18" s="90">
        <f ca="1">'3. szakfeladatok'!AP5</f>
        <v>1524</v>
      </c>
      <c r="D18" s="90">
        <f ca="1">'3. szakfeladatok'!AQ5</f>
        <v>924</v>
      </c>
      <c r="E18" s="90">
        <f ca="1">'3. szakfeladatok'!AR5</f>
        <v>600.1</v>
      </c>
      <c r="F18" s="90">
        <v>456</v>
      </c>
      <c r="G18" s="90">
        <f ca="1">'3. szakfeladatok'!AP7</f>
        <v>4826</v>
      </c>
      <c r="H18" s="90">
        <f ca="1">'3. szakfeladatok'!AQ7</f>
        <v>4826</v>
      </c>
      <c r="I18" s="90">
        <f ca="1">'3. szakfeladatok'!AR7</f>
        <v>961.73</v>
      </c>
      <c r="J18" s="90">
        <v>846</v>
      </c>
      <c r="K18" s="90">
        <f ca="1">'3. szakfeladatok'!AP6</f>
        <v>635</v>
      </c>
      <c r="L18" s="90">
        <f ca="1">'3. szakfeladatok'!AQ6</f>
        <v>635</v>
      </c>
      <c r="M18" s="90">
        <f ca="1">'3. szakfeladatok'!AR6</f>
        <v>120</v>
      </c>
      <c r="N18" s="90">
        <v>4346</v>
      </c>
      <c r="O18" s="90">
        <f ca="1">SUM('3. szakfeladatok'!AP8:AP34)</f>
        <v>258741</v>
      </c>
      <c r="P18" s="90">
        <f ca="1">SUM('3. szakfeladatok'!AQ8:AQ34)</f>
        <v>272541</v>
      </c>
      <c r="Q18" s="90">
        <f ca="1">SUM('3. szakfeladatok'!AR8:AR34)</f>
        <v>59878.760999999999</v>
      </c>
      <c r="R18" s="90">
        <f t="shared" si="0"/>
        <v>5648</v>
      </c>
      <c r="S18" s="90">
        <f t="shared" si="6"/>
        <v>265726</v>
      </c>
      <c r="T18" s="90">
        <f t="shared" ref="T18:T26" si="10">P18+L18+H18+D18</f>
        <v>278926</v>
      </c>
      <c r="U18" s="90">
        <f t="shared" si="1"/>
        <v>61560.591</v>
      </c>
      <c r="V18" s="90">
        <v>0</v>
      </c>
      <c r="W18" s="90">
        <v>0</v>
      </c>
      <c r="X18" s="90">
        <v>0</v>
      </c>
      <c r="Y18" s="90">
        <v>0</v>
      </c>
      <c r="Z18" s="90">
        <f t="shared" si="2"/>
        <v>5648</v>
      </c>
      <c r="AA18" s="90">
        <f t="shared" si="3"/>
        <v>265726</v>
      </c>
      <c r="AB18" s="90">
        <f>T18-X18</f>
        <v>278926</v>
      </c>
      <c r="AC18" s="90">
        <f>U18-Y18</f>
        <v>61560.591</v>
      </c>
    </row>
    <row r="19" spans="1:29" ht="16.5">
      <c r="A19" s="21" t="s">
        <v>601</v>
      </c>
      <c r="B19" s="90">
        <v>0</v>
      </c>
      <c r="C19" s="90">
        <v>0</v>
      </c>
      <c r="D19" s="90">
        <v>0</v>
      </c>
      <c r="E19" s="90">
        <v>0</v>
      </c>
      <c r="F19" s="90"/>
      <c r="G19" s="90">
        <v>0</v>
      </c>
      <c r="H19" s="90">
        <v>0</v>
      </c>
      <c r="I19" s="90">
        <v>0</v>
      </c>
      <c r="J19" s="90"/>
      <c r="K19" s="90">
        <v>0</v>
      </c>
      <c r="L19" s="90">
        <v>0</v>
      </c>
      <c r="M19" s="90">
        <v>0</v>
      </c>
      <c r="N19" s="90">
        <v>3856</v>
      </c>
      <c r="O19" s="90">
        <v>0</v>
      </c>
      <c r="P19" s="90">
        <v>0</v>
      </c>
      <c r="Q19" s="90">
        <v>0</v>
      </c>
      <c r="R19" s="90">
        <f t="shared" si="0"/>
        <v>3856</v>
      </c>
      <c r="S19" s="90">
        <f t="shared" si="6"/>
        <v>0</v>
      </c>
      <c r="T19" s="90">
        <f t="shared" si="10"/>
        <v>0</v>
      </c>
      <c r="U19" s="90">
        <f t="shared" ref="U19:U30" si="11">Q19+M19+I19+E19</f>
        <v>0</v>
      </c>
      <c r="V19" s="90">
        <v>0</v>
      </c>
      <c r="W19" s="90">
        <v>0</v>
      </c>
      <c r="X19" s="90">
        <v>0</v>
      </c>
      <c r="Y19" s="90">
        <v>0</v>
      </c>
      <c r="Z19" s="90">
        <f t="shared" si="2"/>
        <v>3856</v>
      </c>
      <c r="AA19" s="90">
        <f t="shared" si="3"/>
        <v>0</v>
      </c>
      <c r="AB19" s="90">
        <f t="shared" ref="AB19:AB32" si="12">T19-X19</f>
        <v>0</v>
      </c>
      <c r="AC19" s="90">
        <f t="shared" ref="AC19:AC32" si="13">U19-Y19</f>
        <v>0</v>
      </c>
    </row>
    <row r="20" spans="1:29" ht="16.5">
      <c r="A20" s="21" t="s">
        <v>603</v>
      </c>
      <c r="B20" s="91">
        <f>SUM(B21:B24)</f>
        <v>0</v>
      </c>
      <c r="C20" s="91">
        <f>SUM(C21:C24)</f>
        <v>0</v>
      </c>
      <c r="D20" s="91">
        <f>SUM(D21:D24)</f>
        <v>0</v>
      </c>
      <c r="E20" s="91">
        <f>SUM(E21:E24)</f>
        <v>0</v>
      </c>
      <c r="F20" s="91"/>
      <c r="G20" s="90">
        <v>0</v>
      </c>
      <c r="H20" s="90">
        <v>0</v>
      </c>
      <c r="I20" s="90">
        <v>0</v>
      </c>
      <c r="J20" s="90"/>
      <c r="K20" s="90">
        <v>0</v>
      </c>
      <c r="L20" s="90">
        <v>0</v>
      </c>
      <c r="M20" s="90">
        <v>0</v>
      </c>
      <c r="N20" s="90">
        <v>74748</v>
      </c>
      <c r="O20" s="90">
        <v>0</v>
      </c>
      <c r="P20" s="90">
        <v>0</v>
      </c>
      <c r="Q20" s="90">
        <v>0</v>
      </c>
      <c r="R20" s="90">
        <f t="shared" si="0"/>
        <v>74748</v>
      </c>
      <c r="S20" s="90">
        <f t="shared" si="6"/>
        <v>0</v>
      </c>
      <c r="T20" s="90">
        <f t="shared" si="10"/>
        <v>0</v>
      </c>
      <c r="U20" s="90">
        <f t="shared" si="11"/>
        <v>0</v>
      </c>
      <c r="V20" s="90">
        <v>0</v>
      </c>
      <c r="W20" s="90">
        <v>0</v>
      </c>
      <c r="X20" s="90">
        <v>0</v>
      </c>
      <c r="Y20" s="90">
        <v>0</v>
      </c>
      <c r="Z20" s="90">
        <f t="shared" si="2"/>
        <v>74748</v>
      </c>
      <c r="AA20" s="90">
        <f t="shared" si="3"/>
        <v>0</v>
      </c>
      <c r="AB20" s="90">
        <f t="shared" si="12"/>
        <v>0</v>
      </c>
      <c r="AC20" s="90">
        <f t="shared" si="13"/>
        <v>0</v>
      </c>
    </row>
    <row r="21" spans="1:29" ht="48">
      <c r="A21" s="9" t="s">
        <v>636</v>
      </c>
      <c r="B21" s="90">
        <v>0</v>
      </c>
      <c r="C21" s="90">
        <v>0</v>
      </c>
      <c r="D21" s="90">
        <v>0</v>
      </c>
      <c r="E21" s="90">
        <v>0</v>
      </c>
      <c r="F21" s="90"/>
      <c r="G21" s="90">
        <v>0</v>
      </c>
      <c r="H21" s="90">
        <v>0</v>
      </c>
      <c r="I21" s="90">
        <v>0</v>
      </c>
      <c r="J21" s="90"/>
      <c r="K21" s="90">
        <v>0</v>
      </c>
      <c r="L21" s="90">
        <v>0</v>
      </c>
      <c r="M21" s="90">
        <v>0</v>
      </c>
      <c r="N21" s="90"/>
      <c r="O21" s="90">
        <v>180011</v>
      </c>
      <c r="P21" s="90">
        <v>180011</v>
      </c>
      <c r="Q21" s="90">
        <v>10565</v>
      </c>
      <c r="R21" s="90">
        <f t="shared" si="0"/>
        <v>0</v>
      </c>
      <c r="S21" s="90">
        <f t="shared" si="6"/>
        <v>180011</v>
      </c>
      <c r="T21" s="90">
        <f t="shared" si="10"/>
        <v>180011</v>
      </c>
      <c r="U21" s="90">
        <f t="shared" si="11"/>
        <v>10565</v>
      </c>
      <c r="V21" s="90">
        <v>0</v>
      </c>
      <c r="W21" s="90">
        <v>0</v>
      </c>
      <c r="X21" s="90">
        <v>0</v>
      </c>
      <c r="Y21" s="90">
        <v>0</v>
      </c>
      <c r="Z21" s="90">
        <f t="shared" si="2"/>
        <v>0</v>
      </c>
      <c r="AA21" s="90">
        <f t="shared" si="3"/>
        <v>180011</v>
      </c>
      <c r="AB21" s="90">
        <f t="shared" si="12"/>
        <v>180011</v>
      </c>
      <c r="AC21" s="90">
        <f t="shared" si="13"/>
        <v>10565</v>
      </c>
    </row>
    <row r="22" spans="1:29" ht="16.5">
      <c r="A22" s="9" t="s">
        <v>637</v>
      </c>
      <c r="B22" s="90">
        <v>0</v>
      </c>
      <c r="C22" s="90">
        <v>0</v>
      </c>
      <c r="D22" s="90">
        <v>0</v>
      </c>
      <c r="E22" s="90">
        <v>0</v>
      </c>
      <c r="F22" s="90"/>
      <c r="G22" s="90">
        <v>0</v>
      </c>
      <c r="H22" s="90">
        <v>0</v>
      </c>
      <c r="I22" s="90">
        <v>0</v>
      </c>
      <c r="J22" s="90"/>
      <c r="K22" s="90">
        <v>0</v>
      </c>
      <c r="L22" s="90">
        <v>0</v>
      </c>
      <c r="M22" s="90">
        <v>0</v>
      </c>
      <c r="N22" s="90">
        <v>74748</v>
      </c>
      <c r="O22" s="90">
        <v>0</v>
      </c>
      <c r="P22" s="90">
        <v>0</v>
      </c>
      <c r="Q22" s="90">
        <v>0</v>
      </c>
      <c r="R22" s="90">
        <f t="shared" si="0"/>
        <v>74748</v>
      </c>
      <c r="S22" s="90">
        <f t="shared" si="6"/>
        <v>0</v>
      </c>
      <c r="T22" s="90">
        <f t="shared" si="10"/>
        <v>0</v>
      </c>
      <c r="U22" s="90">
        <f t="shared" si="11"/>
        <v>0</v>
      </c>
      <c r="V22" s="90">
        <v>0</v>
      </c>
      <c r="W22" s="90">
        <v>0</v>
      </c>
      <c r="X22" s="90">
        <v>0</v>
      </c>
      <c r="Y22" s="90">
        <v>0</v>
      </c>
      <c r="Z22" s="90">
        <f t="shared" si="2"/>
        <v>74748</v>
      </c>
      <c r="AA22" s="90">
        <f t="shared" si="3"/>
        <v>0</v>
      </c>
      <c r="AB22" s="90">
        <f t="shared" si="12"/>
        <v>0</v>
      </c>
      <c r="AC22" s="90">
        <f t="shared" si="13"/>
        <v>0</v>
      </c>
    </row>
    <row r="23" spans="1:29" ht="32.25">
      <c r="A23" s="9" t="s">
        <v>638</v>
      </c>
      <c r="B23" s="90">
        <v>0</v>
      </c>
      <c r="C23" s="90">
        <v>0</v>
      </c>
      <c r="D23" s="90">
        <v>0</v>
      </c>
      <c r="E23" s="90">
        <v>0</v>
      </c>
      <c r="F23" s="90"/>
      <c r="G23" s="90">
        <v>0</v>
      </c>
      <c r="H23" s="90">
        <v>0</v>
      </c>
      <c r="I23" s="90">
        <v>0</v>
      </c>
      <c r="J23" s="90"/>
      <c r="K23" s="90">
        <v>0</v>
      </c>
      <c r="L23" s="90">
        <v>0</v>
      </c>
      <c r="M23" s="90">
        <v>0</v>
      </c>
      <c r="N23" s="90"/>
      <c r="O23" s="90">
        <v>0</v>
      </c>
      <c r="P23" s="90">
        <v>0</v>
      </c>
      <c r="Q23" s="90">
        <v>0</v>
      </c>
      <c r="R23" s="90">
        <f t="shared" si="0"/>
        <v>0</v>
      </c>
      <c r="S23" s="90">
        <f t="shared" si="6"/>
        <v>0</v>
      </c>
      <c r="T23" s="90">
        <f t="shared" si="10"/>
        <v>0</v>
      </c>
      <c r="U23" s="90">
        <f t="shared" si="11"/>
        <v>0</v>
      </c>
      <c r="V23" s="90">
        <v>0</v>
      </c>
      <c r="W23" s="90">
        <v>0</v>
      </c>
      <c r="X23" s="90">
        <v>0</v>
      </c>
      <c r="Y23" s="90">
        <v>0</v>
      </c>
      <c r="Z23" s="90">
        <f t="shared" si="2"/>
        <v>0</v>
      </c>
      <c r="AA23" s="90">
        <f t="shared" si="3"/>
        <v>0</v>
      </c>
      <c r="AB23" s="90">
        <f t="shared" si="12"/>
        <v>0</v>
      </c>
      <c r="AC23" s="90">
        <f t="shared" si="13"/>
        <v>0</v>
      </c>
    </row>
    <row r="24" spans="1:29" ht="16.5">
      <c r="A24" s="9" t="s">
        <v>639</v>
      </c>
      <c r="B24" s="90">
        <v>0</v>
      </c>
      <c r="C24" s="90">
        <v>0</v>
      </c>
      <c r="D24" s="90">
        <v>0</v>
      </c>
      <c r="E24" s="90">
        <v>0</v>
      </c>
      <c r="F24" s="90"/>
      <c r="G24" s="90">
        <v>0</v>
      </c>
      <c r="H24" s="90">
        <v>0</v>
      </c>
      <c r="I24" s="90">
        <v>0</v>
      </c>
      <c r="J24" s="90"/>
      <c r="K24" s="90">
        <v>0</v>
      </c>
      <c r="L24" s="90">
        <v>0</v>
      </c>
      <c r="M24" s="90">
        <v>0</v>
      </c>
      <c r="N24" s="90"/>
      <c r="O24" s="90">
        <v>0</v>
      </c>
      <c r="P24" s="90">
        <v>0</v>
      </c>
      <c r="Q24" s="90">
        <v>0</v>
      </c>
      <c r="R24" s="90">
        <f t="shared" si="0"/>
        <v>0</v>
      </c>
      <c r="S24" s="90">
        <f t="shared" si="6"/>
        <v>0</v>
      </c>
      <c r="T24" s="90">
        <f t="shared" si="10"/>
        <v>0</v>
      </c>
      <c r="U24" s="90">
        <f t="shared" si="11"/>
        <v>0</v>
      </c>
      <c r="V24" s="90">
        <v>0</v>
      </c>
      <c r="W24" s="90">
        <v>0</v>
      </c>
      <c r="X24" s="90">
        <v>0</v>
      </c>
      <c r="Y24" s="90">
        <v>0</v>
      </c>
      <c r="Z24" s="90">
        <f t="shared" si="2"/>
        <v>0</v>
      </c>
      <c r="AA24" s="90">
        <f t="shared" si="3"/>
        <v>0</v>
      </c>
      <c r="AB24" s="90">
        <f t="shared" si="12"/>
        <v>0</v>
      </c>
      <c r="AC24" s="90">
        <f t="shared" si="13"/>
        <v>0</v>
      </c>
    </row>
    <row r="25" spans="1:29" ht="16.5">
      <c r="A25" s="4" t="s">
        <v>615</v>
      </c>
      <c r="B25" s="90">
        <v>0</v>
      </c>
      <c r="C25" s="90">
        <v>0</v>
      </c>
      <c r="D25" s="90">
        <v>0</v>
      </c>
      <c r="E25" s="90">
        <v>0</v>
      </c>
      <c r="F25" s="90"/>
      <c r="G25" s="90">
        <v>0</v>
      </c>
      <c r="H25" s="90">
        <v>0</v>
      </c>
      <c r="I25" s="90">
        <v>0</v>
      </c>
      <c r="J25" s="90"/>
      <c r="K25" s="90">
        <v>0</v>
      </c>
      <c r="L25" s="90">
        <v>0</v>
      </c>
      <c r="M25" s="90">
        <v>0</v>
      </c>
      <c r="N25" s="90"/>
      <c r="O25" s="90">
        <v>0</v>
      </c>
      <c r="P25" s="90">
        <v>0</v>
      </c>
      <c r="Q25" s="90">
        <v>0</v>
      </c>
      <c r="R25" s="90">
        <f t="shared" si="0"/>
        <v>0</v>
      </c>
      <c r="S25" s="90">
        <f t="shared" si="6"/>
        <v>0</v>
      </c>
      <c r="T25" s="90">
        <f t="shared" si="10"/>
        <v>0</v>
      </c>
      <c r="U25" s="90">
        <f t="shared" si="11"/>
        <v>0</v>
      </c>
      <c r="V25" s="90">
        <v>0</v>
      </c>
      <c r="W25" s="90">
        <v>0</v>
      </c>
      <c r="X25" s="90">
        <v>0</v>
      </c>
      <c r="Y25" s="90">
        <v>0</v>
      </c>
      <c r="Z25" s="90">
        <f t="shared" si="2"/>
        <v>0</v>
      </c>
      <c r="AA25" s="90">
        <f t="shared" si="3"/>
        <v>0</v>
      </c>
      <c r="AB25" s="90">
        <f t="shared" si="12"/>
        <v>0</v>
      </c>
      <c r="AC25" s="90">
        <f t="shared" si="13"/>
        <v>0</v>
      </c>
    </row>
    <row r="26" spans="1:29" ht="16.5">
      <c r="A26" s="4" t="s">
        <v>614</v>
      </c>
      <c r="B26" s="90">
        <v>0</v>
      </c>
      <c r="C26" s="90">
        <v>0</v>
      </c>
      <c r="D26" s="90">
        <v>0</v>
      </c>
      <c r="E26" s="90">
        <v>0</v>
      </c>
      <c r="F26" s="90"/>
      <c r="G26" s="90">
        <v>0</v>
      </c>
      <c r="H26" s="90">
        <v>0</v>
      </c>
      <c r="I26" s="90">
        <v>0</v>
      </c>
      <c r="J26" s="90"/>
      <c r="K26" s="90">
        <v>0</v>
      </c>
      <c r="L26" s="90">
        <v>0</v>
      </c>
      <c r="M26" s="90">
        <v>0</v>
      </c>
      <c r="N26" s="90"/>
      <c r="O26" s="90">
        <v>0</v>
      </c>
      <c r="P26" s="90">
        <v>0</v>
      </c>
      <c r="Q26" s="90">
        <v>0</v>
      </c>
      <c r="R26" s="90">
        <f t="shared" si="0"/>
        <v>0</v>
      </c>
      <c r="S26" s="90">
        <f t="shared" si="6"/>
        <v>0</v>
      </c>
      <c r="T26" s="90">
        <f t="shared" si="10"/>
        <v>0</v>
      </c>
      <c r="U26" s="90">
        <f t="shared" si="11"/>
        <v>0</v>
      </c>
      <c r="V26" s="90">
        <v>0</v>
      </c>
      <c r="W26" s="90">
        <v>0</v>
      </c>
      <c r="X26" s="90">
        <v>0</v>
      </c>
      <c r="Y26" s="90">
        <v>0</v>
      </c>
      <c r="Z26" s="90">
        <f t="shared" si="2"/>
        <v>0</v>
      </c>
      <c r="AA26" s="90">
        <f t="shared" si="3"/>
        <v>0</v>
      </c>
      <c r="AB26" s="90">
        <f t="shared" si="12"/>
        <v>0</v>
      </c>
      <c r="AC26" s="90">
        <f t="shared" si="13"/>
        <v>0</v>
      </c>
    </row>
    <row r="27" spans="1:29" ht="32.25">
      <c r="A27" s="18" t="s">
        <v>607</v>
      </c>
      <c r="B27" s="90">
        <v>0</v>
      </c>
      <c r="C27" s="90">
        <v>0</v>
      </c>
      <c r="D27" s="90">
        <v>0</v>
      </c>
      <c r="E27" s="90">
        <v>0</v>
      </c>
      <c r="F27" s="90"/>
      <c r="G27" s="90">
        <v>0</v>
      </c>
      <c r="H27" s="90">
        <v>0</v>
      </c>
      <c r="I27" s="90">
        <v>0</v>
      </c>
      <c r="J27" s="90"/>
      <c r="K27" s="90">
        <v>0</v>
      </c>
      <c r="L27" s="90">
        <v>0</v>
      </c>
      <c r="M27" s="90">
        <v>0</v>
      </c>
      <c r="N27" s="90"/>
      <c r="O27" s="90">
        <f>K18+G18+C18</f>
        <v>6985</v>
      </c>
      <c r="P27" s="90">
        <v>6985</v>
      </c>
      <c r="Q27" s="90">
        <f>M18+I18+E18</f>
        <v>1681.83</v>
      </c>
      <c r="R27" s="90">
        <f t="shared" si="0"/>
        <v>0</v>
      </c>
      <c r="S27" s="90">
        <f t="shared" si="6"/>
        <v>6985</v>
      </c>
      <c r="T27" s="90">
        <v>6985</v>
      </c>
      <c r="U27" s="90">
        <f t="shared" si="11"/>
        <v>1681.83</v>
      </c>
      <c r="V27" s="90">
        <v>0</v>
      </c>
      <c r="W27" s="90">
        <f>S27</f>
        <v>6985</v>
      </c>
      <c r="X27" s="90">
        <v>6985</v>
      </c>
      <c r="Y27" s="90">
        <f>U27</f>
        <v>1681.83</v>
      </c>
      <c r="Z27" s="90">
        <f t="shared" si="2"/>
        <v>0</v>
      </c>
      <c r="AA27" s="90">
        <f t="shared" si="3"/>
        <v>0</v>
      </c>
      <c r="AB27" s="90">
        <f t="shared" si="12"/>
        <v>0</v>
      </c>
      <c r="AC27" s="90">
        <f t="shared" si="13"/>
        <v>0</v>
      </c>
    </row>
    <row r="28" spans="1:29" ht="16.5">
      <c r="A28" s="6" t="s">
        <v>604</v>
      </c>
      <c r="B28" s="90">
        <v>0</v>
      </c>
      <c r="C28" s="90">
        <v>0</v>
      </c>
      <c r="D28" s="90">
        <v>0</v>
      </c>
      <c r="E28" s="90">
        <v>0</v>
      </c>
      <c r="F28" s="90"/>
      <c r="G28" s="90">
        <v>0</v>
      </c>
      <c r="H28" s="90">
        <v>0</v>
      </c>
      <c r="I28" s="90">
        <v>0</v>
      </c>
      <c r="J28" s="90"/>
      <c r="K28" s="90">
        <v>0</v>
      </c>
      <c r="L28" s="90">
        <v>0</v>
      </c>
      <c r="M28" s="90">
        <v>0</v>
      </c>
      <c r="N28" s="90"/>
      <c r="O28" s="90">
        <v>0</v>
      </c>
      <c r="P28" s="90">
        <v>0</v>
      </c>
      <c r="Q28" s="90">
        <v>0</v>
      </c>
      <c r="R28" s="90">
        <f t="shared" si="0"/>
        <v>0</v>
      </c>
      <c r="S28" s="90">
        <f t="shared" si="6"/>
        <v>0</v>
      </c>
      <c r="T28" s="90">
        <f>P28+L28+H28+D28</f>
        <v>0</v>
      </c>
      <c r="U28" s="90">
        <f t="shared" si="11"/>
        <v>0</v>
      </c>
      <c r="V28" s="90">
        <v>0</v>
      </c>
      <c r="W28" s="90">
        <v>0</v>
      </c>
      <c r="X28" s="90">
        <v>0</v>
      </c>
      <c r="Y28" s="90">
        <v>0</v>
      </c>
      <c r="Z28" s="90">
        <f t="shared" si="2"/>
        <v>0</v>
      </c>
      <c r="AA28" s="90">
        <f t="shared" si="3"/>
        <v>0</v>
      </c>
      <c r="AB28" s="90">
        <f t="shared" si="12"/>
        <v>0</v>
      </c>
      <c r="AC28" s="90">
        <f t="shared" si="13"/>
        <v>0</v>
      </c>
    </row>
    <row r="29" spans="1:29" ht="16.5">
      <c r="A29" s="6" t="s">
        <v>606</v>
      </c>
      <c r="B29" s="90">
        <v>0</v>
      </c>
      <c r="C29" s="90">
        <v>0</v>
      </c>
      <c r="D29" s="90">
        <v>0</v>
      </c>
      <c r="E29" s="90">
        <v>0</v>
      </c>
      <c r="F29" s="90"/>
      <c r="G29" s="90">
        <v>0</v>
      </c>
      <c r="H29" s="90">
        <v>0</v>
      </c>
      <c r="I29" s="90">
        <v>0</v>
      </c>
      <c r="J29" s="90"/>
      <c r="K29" s="90">
        <v>0</v>
      </c>
      <c r="L29" s="90">
        <v>0</v>
      </c>
      <c r="M29" s="90">
        <v>0</v>
      </c>
      <c r="N29" s="90"/>
      <c r="O29" s="90">
        <v>0</v>
      </c>
      <c r="P29" s="90">
        <v>0</v>
      </c>
      <c r="Q29" s="90">
        <v>0</v>
      </c>
      <c r="R29" s="90">
        <f t="shared" si="0"/>
        <v>0</v>
      </c>
      <c r="S29" s="90">
        <f t="shared" si="6"/>
        <v>0</v>
      </c>
      <c r="T29" s="90">
        <f>P29+L29+H29+D29</f>
        <v>0</v>
      </c>
      <c r="U29" s="90">
        <f t="shared" si="11"/>
        <v>0</v>
      </c>
      <c r="V29" s="90">
        <v>0</v>
      </c>
      <c r="W29" s="90">
        <v>0</v>
      </c>
      <c r="X29" s="90">
        <v>0</v>
      </c>
      <c r="Y29" s="90">
        <v>0</v>
      </c>
      <c r="Z29" s="90">
        <f t="shared" si="2"/>
        <v>0</v>
      </c>
      <c r="AA29" s="90">
        <f t="shared" si="3"/>
        <v>0</v>
      </c>
      <c r="AB29" s="90">
        <f t="shared" si="12"/>
        <v>0</v>
      </c>
      <c r="AC29" s="90">
        <f t="shared" si="13"/>
        <v>0</v>
      </c>
    </row>
    <row r="30" spans="1:29" ht="16.5">
      <c r="A30" s="6" t="s">
        <v>605</v>
      </c>
      <c r="B30" s="90">
        <v>0</v>
      </c>
      <c r="C30" s="90">
        <v>0</v>
      </c>
      <c r="D30" s="90">
        <v>0</v>
      </c>
      <c r="E30" s="90">
        <v>0</v>
      </c>
      <c r="F30" s="90"/>
      <c r="G30" s="90">
        <v>0</v>
      </c>
      <c r="H30" s="90">
        <v>0</v>
      </c>
      <c r="I30" s="90">
        <v>0</v>
      </c>
      <c r="J30" s="90"/>
      <c r="K30" s="90">
        <v>0</v>
      </c>
      <c r="L30" s="90">
        <v>0</v>
      </c>
      <c r="M30" s="90">
        <v>0</v>
      </c>
      <c r="N30" s="90"/>
      <c r="O30" s="90">
        <v>50000</v>
      </c>
      <c r="P30" s="90">
        <v>50000</v>
      </c>
      <c r="Q30" s="90">
        <v>0</v>
      </c>
      <c r="R30" s="90">
        <f t="shared" si="0"/>
        <v>0</v>
      </c>
      <c r="S30" s="90">
        <f t="shared" si="6"/>
        <v>50000</v>
      </c>
      <c r="T30" s="90">
        <f>P30+L30+H30+D30</f>
        <v>50000</v>
      </c>
      <c r="U30" s="90">
        <f t="shared" si="11"/>
        <v>0</v>
      </c>
      <c r="V30" s="90">
        <v>0</v>
      </c>
      <c r="W30" s="90">
        <v>0</v>
      </c>
      <c r="X30" s="90">
        <v>0</v>
      </c>
      <c r="Y30" s="90">
        <v>0</v>
      </c>
      <c r="Z30" s="90">
        <f t="shared" si="2"/>
        <v>0</v>
      </c>
      <c r="AA30" s="90">
        <f t="shared" si="3"/>
        <v>50000</v>
      </c>
      <c r="AB30" s="90">
        <f t="shared" si="12"/>
        <v>50000</v>
      </c>
      <c r="AC30" s="90">
        <f t="shared" si="13"/>
        <v>0</v>
      </c>
    </row>
    <row r="31" spans="1:29" ht="24" customHeight="1">
      <c r="A31" s="43" t="s">
        <v>589</v>
      </c>
      <c r="B31" s="92">
        <f t="shared" ref="B31:M31" si="14">SUM(B18,B19,B20,B25,B26,B27,B28,B29,B30)</f>
        <v>0</v>
      </c>
      <c r="C31" s="92">
        <f t="shared" si="14"/>
        <v>1524</v>
      </c>
      <c r="D31" s="92">
        <f t="shared" si="14"/>
        <v>924</v>
      </c>
      <c r="E31" s="92">
        <f t="shared" si="14"/>
        <v>600.1</v>
      </c>
      <c r="F31" s="92">
        <f t="shared" si="14"/>
        <v>456</v>
      </c>
      <c r="G31" s="92">
        <f t="shared" si="14"/>
        <v>4826</v>
      </c>
      <c r="H31" s="92">
        <f t="shared" si="14"/>
        <v>4826</v>
      </c>
      <c r="I31" s="92">
        <f t="shared" si="14"/>
        <v>961.73</v>
      </c>
      <c r="J31" s="92">
        <f t="shared" si="14"/>
        <v>846</v>
      </c>
      <c r="K31" s="92">
        <f t="shared" si="14"/>
        <v>635</v>
      </c>
      <c r="L31" s="92">
        <f t="shared" si="14"/>
        <v>635</v>
      </c>
      <c r="M31" s="92">
        <f t="shared" si="14"/>
        <v>120</v>
      </c>
      <c r="N31" s="92">
        <f>SUM(N18,N19,N20,N25,N26,N28,N29,N30)</f>
        <v>82950</v>
      </c>
      <c r="O31" s="92">
        <f>SUM(O18,O19,O20,O25,O26,O28,O29,O30)</f>
        <v>308741</v>
      </c>
      <c r="P31" s="92">
        <f>SUM(P18,P19,P20,P25,P26,P28,P29,P30)</f>
        <v>322541</v>
      </c>
      <c r="Q31" s="92">
        <f>SUM(Q18,Q19,Q20,Q25,Q26,Q28,Q29,Q30)</f>
        <v>59878.760999999999</v>
      </c>
      <c r="R31" s="93">
        <f t="shared" si="0"/>
        <v>84252</v>
      </c>
      <c r="S31" s="93">
        <f t="shared" si="6"/>
        <v>315726</v>
      </c>
      <c r="T31" s="93">
        <f>P31+L31+H31+D31</f>
        <v>328926</v>
      </c>
      <c r="U31" s="93">
        <f>Q31+M31+I31+E31</f>
        <v>61560.591</v>
      </c>
      <c r="V31" s="93">
        <v>0</v>
      </c>
      <c r="W31" s="92">
        <f>SUM(W18,W19,W20,W25,W26,W27,W28,W29,W30)</f>
        <v>6985</v>
      </c>
      <c r="X31" s="92">
        <f>SUM(X18,X19,X20,X25,X26,X27,X28,X29,X30)</f>
        <v>6985</v>
      </c>
      <c r="Y31" s="92">
        <f>SUM(Y18,Y19,Y20,Y25,Y26,Y27,Y28,Y29,Y30)</f>
        <v>1681.83</v>
      </c>
      <c r="Z31" s="93">
        <f t="shared" si="2"/>
        <v>84252</v>
      </c>
      <c r="AA31" s="93">
        <f t="shared" si="3"/>
        <v>308741</v>
      </c>
      <c r="AB31" s="93">
        <f t="shared" si="12"/>
        <v>321941</v>
      </c>
      <c r="AC31" s="93">
        <f t="shared" si="13"/>
        <v>59878.760999999999</v>
      </c>
    </row>
    <row r="32" spans="1:29" ht="36" customHeight="1">
      <c r="A32" s="22" t="s">
        <v>600</v>
      </c>
      <c r="B32" s="96">
        <f t="shared" ref="B32:Q32" si="15">SUM(B17,B31)</f>
        <v>46406</v>
      </c>
      <c r="C32" s="96">
        <f t="shared" si="15"/>
        <v>49250</v>
      </c>
      <c r="D32" s="96">
        <f t="shared" si="15"/>
        <v>53662.542000000001</v>
      </c>
      <c r="E32" s="96">
        <f t="shared" si="15"/>
        <v>51011.434000000001</v>
      </c>
      <c r="F32" s="96">
        <f t="shared" si="15"/>
        <v>19906</v>
      </c>
      <c r="G32" s="96">
        <f t="shared" si="15"/>
        <v>29900</v>
      </c>
      <c r="H32" s="96">
        <f t="shared" si="15"/>
        <v>30747.414000000001</v>
      </c>
      <c r="I32" s="96">
        <f t="shared" si="15"/>
        <v>24569.334999999999</v>
      </c>
      <c r="J32" s="96">
        <f t="shared" si="15"/>
        <v>64338</v>
      </c>
      <c r="K32" s="96">
        <f t="shared" si="15"/>
        <v>56500</v>
      </c>
      <c r="L32" s="96">
        <f t="shared" si="15"/>
        <v>64394.856</v>
      </c>
      <c r="M32" s="96">
        <f t="shared" si="15"/>
        <v>56201.928</v>
      </c>
      <c r="N32" s="96">
        <f t="shared" si="15"/>
        <v>531468</v>
      </c>
      <c r="O32" s="96">
        <f t="shared" si="15"/>
        <v>718287</v>
      </c>
      <c r="P32" s="96">
        <f t="shared" si="15"/>
        <v>849125.53099999996</v>
      </c>
      <c r="Q32" s="96">
        <f t="shared" si="15"/>
        <v>470415.33299999998</v>
      </c>
      <c r="R32" s="90">
        <f t="shared" si="0"/>
        <v>662118</v>
      </c>
      <c r="S32" s="90">
        <f t="shared" si="6"/>
        <v>853937</v>
      </c>
      <c r="T32" s="90">
        <f>T31+T17</f>
        <v>997931.34299999999</v>
      </c>
      <c r="U32" s="90">
        <f>Q32+M32+I32+E32</f>
        <v>602198.02999999991</v>
      </c>
      <c r="V32" s="90">
        <v>256258</v>
      </c>
      <c r="W32" s="96">
        <f>SUM(W17,W31)</f>
        <v>133871</v>
      </c>
      <c r="X32" s="96">
        <f>SUM(X17,X31)</f>
        <v>147026</v>
      </c>
      <c r="Y32" s="96">
        <f>SUM(Y17,Y31)</f>
        <v>131684.82999999999</v>
      </c>
      <c r="Z32" s="90">
        <f t="shared" si="2"/>
        <v>405860</v>
      </c>
      <c r="AA32" s="90">
        <f t="shared" si="3"/>
        <v>720066</v>
      </c>
      <c r="AB32" s="90">
        <f t="shared" si="12"/>
        <v>850905.34299999999</v>
      </c>
      <c r="AC32" s="90">
        <f t="shared" si="13"/>
        <v>470513.19999999995</v>
      </c>
    </row>
  </sheetData>
  <phoneticPr fontId="7" type="noConversion"/>
  <printOptions horizontalCentered="1"/>
  <pageMargins left="0.15748031496062992" right="0.11811023622047245" top="0.98425196850393704" bottom="0.98425196850393704" header="0.51181102362204722" footer="0.51181102362204722"/>
  <pageSetup paperSize="8" scale="2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G33"/>
  <sheetViews>
    <sheetView topLeftCell="A19" workbookViewId="0">
      <selection activeCell="A2" sqref="A2"/>
    </sheetView>
  </sheetViews>
  <sheetFormatPr defaultRowHeight="15"/>
  <cols>
    <col min="1" max="1" width="83.28515625" style="275" customWidth="1"/>
    <col min="2" max="2" width="16.5703125" style="369" customWidth="1"/>
    <col min="3" max="3" width="17.140625" style="369" customWidth="1"/>
    <col min="4" max="4" width="17.28515625" style="369" customWidth="1"/>
    <col min="5" max="16384" width="9.140625" style="275"/>
  </cols>
  <sheetData>
    <row r="1" spans="1:7">
      <c r="A1" s="363" t="s">
        <v>31</v>
      </c>
      <c r="B1" s="364"/>
      <c r="C1" s="364"/>
      <c r="D1" s="364"/>
      <c r="E1" s="274"/>
      <c r="F1" s="274"/>
      <c r="G1" s="274"/>
    </row>
    <row r="2" spans="1:7">
      <c r="A2" s="363" t="s">
        <v>238</v>
      </c>
      <c r="B2" s="365"/>
      <c r="C2" s="365"/>
      <c r="D2" s="365"/>
      <c r="E2" s="276"/>
      <c r="F2" s="276"/>
      <c r="G2" s="276"/>
    </row>
    <row r="3" spans="1:7" ht="18">
      <c r="A3" s="277"/>
      <c r="B3" s="366"/>
      <c r="C3" s="366"/>
      <c r="D3" s="366"/>
      <c r="E3" s="276"/>
      <c r="F3" s="276"/>
      <c r="G3" s="276"/>
    </row>
    <row r="4" spans="1:7" ht="25.5" customHeight="1">
      <c r="A4" s="277"/>
      <c r="B4" s="366"/>
      <c r="C4" s="366"/>
      <c r="D4" s="366"/>
      <c r="E4" s="276"/>
      <c r="F4" s="276"/>
      <c r="G4" s="276"/>
    </row>
    <row r="5" spans="1:7" ht="59.25" customHeight="1">
      <c r="A5" s="279" t="s">
        <v>872</v>
      </c>
      <c r="B5" s="97" t="s">
        <v>48</v>
      </c>
      <c r="C5" s="97" t="s">
        <v>49</v>
      </c>
      <c r="D5" s="97" t="s">
        <v>50</v>
      </c>
    </row>
    <row r="6" spans="1:7">
      <c r="A6" s="280" t="s">
        <v>273</v>
      </c>
      <c r="B6" s="346">
        <v>65584</v>
      </c>
      <c r="C6" s="344">
        <f>39989+6575</f>
        <v>46564</v>
      </c>
      <c r="D6" s="344">
        <v>46564</v>
      </c>
    </row>
    <row r="7" spans="1:7" ht="30">
      <c r="A7" s="280" t="s">
        <v>274</v>
      </c>
      <c r="B7" s="344">
        <f>15104+4352+7552+2176</f>
        <v>29184</v>
      </c>
      <c r="C7" s="344">
        <f>38008-1728-3240</f>
        <v>33040</v>
      </c>
      <c r="D7" s="344">
        <v>33040</v>
      </c>
    </row>
    <row r="8" spans="1:7">
      <c r="A8" s="280" t="s">
        <v>275</v>
      </c>
      <c r="B8" s="344">
        <f>3240+1620</f>
        <v>4860</v>
      </c>
      <c r="C8" s="344">
        <f>3240+1728-18</f>
        <v>4950</v>
      </c>
      <c r="D8" s="344">
        <f>4950</f>
        <v>4950</v>
      </c>
    </row>
    <row r="9" spans="1:7">
      <c r="A9" s="280" t="s">
        <v>276</v>
      </c>
      <c r="B9" s="344">
        <v>15708</v>
      </c>
      <c r="C9" s="344">
        <v>14178</v>
      </c>
      <c r="D9" s="344">
        <v>14178</v>
      </c>
    </row>
    <row r="10" spans="1:7" ht="30">
      <c r="A10" s="280" t="s">
        <v>277</v>
      </c>
      <c r="B10" s="344"/>
      <c r="C10" s="344"/>
      <c r="D10" s="344"/>
    </row>
    <row r="11" spans="1:7">
      <c r="A11" s="280" t="s">
        <v>278</v>
      </c>
      <c r="B11" s="344"/>
      <c r="C11" s="344">
        <v>3227</v>
      </c>
      <c r="D11" s="344">
        <v>3227</v>
      </c>
    </row>
    <row r="12" spans="1:7">
      <c r="A12" s="280" t="s">
        <v>279</v>
      </c>
      <c r="B12" s="344">
        <v>2751</v>
      </c>
      <c r="C12" s="344">
        <v>2751</v>
      </c>
      <c r="D12" s="344">
        <v>2751</v>
      </c>
    </row>
    <row r="13" spans="1:7">
      <c r="A13" s="280" t="s">
        <v>280</v>
      </c>
      <c r="B13" s="344">
        <v>2491</v>
      </c>
      <c r="C13" s="344">
        <v>2491</v>
      </c>
      <c r="D13" s="344">
        <v>2491</v>
      </c>
    </row>
    <row r="14" spans="1:7" ht="45">
      <c r="A14" s="280" t="s">
        <v>281</v>
      </c>
      <c r="B14" s="344"/>
      <c r="C14" s="344"/>
      <c r="D14" s="344"/>
    </row>
    <row r="15" spans="1:7">
      <c r="A15" s="280" t="s">
        <v>282</v>
      </c>
      <c r="B15" s="344"/>
      <c r="C15" s="344">
        <v>2776</v>
      </c>
      <c r="D15" s="344">
        <v>2776</v>
      </c>
    </row>
    <row r="16" spans="1:7" ht="30">
      <c r="A16" s="280" t="s">
        <v>283</v>
      </c>
      <c r="B16" s="344"/>
      <c r="C16" s="344"/>
      <c r="D16" s="344"/>
    </row>
    <row r="17" spans="1:5">
      <c r="A17" s="280" t="s">
        <v>284</v>
      </c>
      <c r="B17" s="344"/>
      <c r="C17" s="344"/>
      <c r="D17" s="344"/>
    </row>
    <row r="18" spans="1:5">
      <c r="A18" s="280" t="s">
        <v>285</v>
      </c>
      <c r="B18" s="344"/>
      <c r="C18" s="344"/>
      <c r="D18" s="344"/>
    </row>
    <row r="19" spans="1:5">
      <c r="A19" s="280" t="s">
        <v>286</v>
      </c>
      <c r="B19" s="344"/>
      <c r="C19" s="344">
        <v>12471</v>
      </c>
      <c r="D19" s="344">
        <v>12471</v>
      </c>
    </row>
    <row r="20" spans="1:5">
      <c r="A20" s="280" t="s">
        <v>287</v>
      </c>
      <c r="B20" s="344"/>
      <c r="C20" s="344"/>
      <c r="D20" s="344"/>
    </row>
    <row r="21" spans="1:5" ht="45">
      <c r="A21" s="280" t="s">
        <v>288</v>
      </c>
      <c r="B21" s="344"/>
      <c r="C21" s="344"/>
      <c r="D21" s="344"/>
    </row>
    <row r="22" spans="1:5">
      <c r="A22" s="280" t="s">
        <v>289</v>
      </c>
      <c r="B22" s="344"/>
      <c r="C22" s="344">
        <f>9788</f>
        <v>9788</v>
      </c>
      <c r="D22" s="344">
        <v>9788</v>
      </c>
    </row>
    <row r="23" spans="1:5">
      <c r="A23" s="281" t="s">
        <v>290</v>
      </c>
      <c r="B23" s="345">
        <f>SUM(B6:B22)</f>
        <v>120578</v>
      </c>
      <c r="C23" s="345">
        <f>SUM(C6:C22)</f>
        <v>132236</v>
      </c>
      <c r="D23" s="345">
        <f>SUM(D6:D22)</f>
        <v>132236</v>
      </c>
    </row>
    <row r="24" spans="1:5">
      <c r="A24" s="281" t="s">
        <v>291</v>
      </c>
      <c r="B24" s="345"/>
      <c r="C24" s="345"/>
      <c r="D24" s="345"/>
    </row>
    <row r="25" spans="1:5">
      <c r="A25" s="280" t="s">
        <v>292</v>
      </c>
      <c r="B25" s="344"/>
      <c r="C25" s="344"/>
      <c r="D25" s="344"/>
    </row>
    <row r="26" spans="1:5">
      <c r="A26" s="280" t="s">
        <v>293</v>
      </c>
      <c r="B26" s="344"/>
      <c r="C26" s="344"/>
      <c r="D26" s="344"/>
    </row>
    <row r="27" spans="1:5">
      <c r="A27" s="280" t="s">
        <v>294</v>
      </c>
      <c r="B27" s="344"/>
      <c r="C27" s="344">
        <v>3595</v>
      </c>
      <c r="D27" s="344">
        <v>3595</v>
      </c>
    </row>
    <row r="28" spans="1:5">
      <c r="A28" s="282" t="s">
        <v>295</v>
      </c>
      <c r="B28" s="367"/>
      <c r="C28" s="367">
        <f>2608+13631+29407+2800</f>
        <v>48446</v>
      </c>
      <c r="D28" s="367">
        <v>48446</v>
      </c>
      <c r="E28" s="283"/>
    </row>
    <row r="29" spans="1:5">
      <c r="A29" s="282" t="s">
        <v>296</v>
      </c>
      <c r="B29" s="367"/>
      <c r="C29" s="367">
        <v>460</v>
      </c>
      <c r="D29" s="367">
        <v>460</v>
      </c>
      <c r="E29" s="283"/>
    </row>
    <row r="30" spans="1:5">
      <c r="A30" s="281" t="s">
        <v>297</v>
      </c>
      <c r="B30" s="345">
        <f>SUM(B24:B29)</f>
        <v>0</v>
      </c>
      <c r="C30" s="345">
        <f>SUM(C24:C29)</f>
        <v>52501</v>
      </c>
      <c r="D30" s="345">
        <f>SUM(D24:D29)</f>
        <v>52501</v>
      </c>
      <c r="E30" s="283"/>
    </row>
    <row r="31" spans="1:5">
      <c r="A31" s="283"/>
      <c r="B31" s="368"/>
      <c r="C31" s="368"/>
      <c r="D31" s="368"/>
      <c r="E31" s="283"/>
    </row>
    <row r="32" spans="1:5">
      <c r="A32" s="283"/>
      <c r="B32" s="368"/>
      <c r="C32" s="368"/>
      <c r="D32" s="368"/>
      <c r="E32" s="283"/>
    </row>
    <row r="33" spans="1:5">
      <c r="A33" s="283"/>
      <c r="B33" s="368"/>
      <c r="C33" s="368"/>
      <c r="D33" s="368"/>
      <c r="E33" s="283"/>
    </row>
  </sheetData>
  <phoneticPr fontId="32" type="noConversion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113"/>
  <sheetViews>
    <sheetView workbookViewId="0">
      <selection activeCell="B6" sqref="B6"/>
    </sheetView>
  </sheetViews>
  <sheetFormatPr defaultRowHeight="12.75"/>
  <cols>
    <col min="1" max="1" width="58.42578125" customWidth="1"/>
    <col min="2" max="5" width="22.28515625" style="95" customWidth="1"/>
    <col min="6" max="6" width="16.28515625" customWidth="1"/>
    <col min="7" max="7" width="17.42578125" customWidth="1"/>
    <col min="8" max="8" width="22.28515625" customWidth="1"/>
    <col min="9" max="9" width="22.140625" customWidth="1"/>
    <col min="10" max="10" width="21.7109375" customWidth="1"/>
  </cols>
  <sheetData>
    <row r="1" spans="1:12">
      <c r="A1" s="363" t="s">
        <v>32</v>
      </c>
    </row>
    <row r="2" spans="1:12" ht="15">
      <c r="A2" s="407" t="s">
        <v>474</v>
      </c>
      <c r="B2" s="100"/>
      <c r="C2" s="100"/>
      <c r="D2" s="100"/>
      <c r="E2" s="100"/>
      <c r="F2" s="2"/>
      <c r="G2" s="2"/>
    </row>
    <row r="3" spans="1:12" ht="15.75" thickBot="1">
      <c r="A3" s="2"/>
      <c r="B3" s="100"/>
      <c r="C3" s="100"/>
      <c r="D3" s="100"/>
      <c r="E3" s="100"/>
      <c r="F3" s="2"/>
      <c r="G3" s="2"/>
      <c r="H3" s="2"/>
      <c r="I3" s="2"/>
      <c r="J3" s="2"/>
      <c r="K3" s="2"/>
      <c r="L3" s="2"/>
    </row>
    <row r="4" spans="1:12" ht="27">
      <c r="A4" s="59" t="s">
        <v>790</v>
      </c>
      <c r="B4" s="196" t="s">
        <v>150</v>
      </c>
      <c r="C4" s="196" t="s">
        <v>200</v>
      </c>
      <c r="D4" s="373" t="s">
        <v>202</v>
      </c>
      <c r="E4" s="197" t="s">
        <v>791</v>
      </c>
      <c r="F4" s="2"/>
      <c r="G4" s="2"/>
      <c r="H4" s="2"/>
      <c r="I4" s="2"/>
      <c r="J4" s="2"/>
      <c r="K4" s="2"/>
      <c r="L4" s="2"/>
    </row>
    <row r="5" spans="1:12" ht="15.75">
      <c r="A5" s="60" t="s">
        <v>225</v>
      </c>
      <c r="B5" s="75">
        <v>150000</v>
      </c>
      <c r="C5" s="75">
        <v>181198</v>
      </c>
      <c r="D5" s="229">
        <v>181198</v>
      </c>
      <c r="E5" s="198"/>
      <c r="F5" s="2"/>
      <c r="G5" s="2"/>
      <c r="H5" s="2"/>
      <c r="I5" s="2"/>
      <c r="J5" s="2"/>
      <c r="K5" s="2"/>
      <c r="L5" s="2"/>
    </row>
    <row r="6" spans="1:12" ht="15.75">
      <c r="A6" s="60" t="s">
        <v>34</v>
      </c>
      <c r="B6" s="75">
        <v>250000</v>
      </c>
      <c r="C6" s="75"/>
      <c r="D6" s="229"/>
      <c r="E6" s="198"/>
      <c r="F6" s="2"/>
      <c r="G6" s="2"/>
      <c r="H6" s="2"/>
      <c r="I6" s="2"/>
      <c r="J6" s="2"/>
      <c r="K6" s="2"/>
      <c r="L6" s="2"/>
    </row>
    <row r="7" spans="1:12" ht="15.75">
      <c r="A7" s="61" t="s">
        <v>228</v>
      </c>
      <c r="B7" s="75">
        <v>180000</v>
      </c>
      <c r="C7" s="75">
        <v>16280</v>
      </c>
      <c r="D7" s="229">
        <v>16280</v>
      </c>
      <c r="E7" s="198"/>
      <c r="F7" s="2"/>
      <c r="G7" s="2"/>
      <c r="H7" s="2"/>
      <c r="I7" s="2"/>
      <c r="J7" s="2"/>
      <c r="K7" s="2"/>
      <c r="L7" s="2"/>
    </row>
    <row r="8" spans="1:12" ht="15.75">
      <c r="A8" s="60" t="s">
        <v>227</v>
      </c>
      <c r="B8" s="75">
        <v>600000</v>
      </c>
      <c r="C8" s="75">
        <v>770934</v>
      </c>
      <c r="D8" s="229">
        <v>770934</v>
      </c>
      <c r="E8" s="198"/>
      <c r="F8" s="2"/>
      <c r="G8" s="2"/>
      <c r="H8" s="2"/>
      <c r="I8" s="2"/>
      <c r="J8" s="2"/>
      <c r="K8" s="2"/>
      <c r="L8" s="2"/>
    </row>
    <row r="9" spans="1:12" ht="15.75">
      <c r="A9" s="60" t="s">
        <v>226</v>
      </c>
      <c r="B9" s="75"/>
      <c r="C9" s="75">
        <v>218390</v>
      </c>
      <c r="D9" s="229">
        <v>218390</v>
      </c>
      <c r="E9" s="198"/>
      <c r="F9" s="2"/>
      <c r="G9" s="2"/>
      <c r="H9" s="2"/>
      <c r="I9" s="2"/>
      <c r="J9" s="2"/>
      <c r="K9" s="2"/>
      <c r="L9" s="2"/>
    </row>
    <row r="10" spans="1:12" ht="15.75">
      <c r="A10" s="419" t="s">
        <v>230</v>
      </c>
      <c r="B10" s="75"/>
      <c r="C10" s="75">
        <v>314409</v>
      </c>
      <c r="D10" s="229">
        <v>314409</v>
      </c>
      <c r="E10" s="198"/>
      <c r="F10" s="2"/>
      <c r="G10" s="2"/>
      <c r="H10" s="2"/>
      <c r="I10" s="2"/>
      <c r="J10" s="2"/>
      <c r="K10" s="2"/>
      <c r="L10" s="2"/>
    </row>
    <row r="11" spans="1:12" ht="15.75">
      <c r="A11" s="419" t="s">
        <v>229</v>
      </c>
      <c r="B11" s="416"/>
      <c r="C11" s="416">
        <v>713880</v>
      </c>
      <c r="D11" s="417">
        <v>713880</v>
      </c>
      <c r="E11" s="418"/>
      <c r="F11" s="2"/>
      <c r="G11" s="2"/>
      <c r="H11" s="2"/>
      <c r="I11" s="2"/>
      <c r="J11" s="2"/>
      <c r="K11" s="2"/>
      <c r="L11" s="2"/>
    </row>
    <row r="12" spans="1:12" ht="17.25" thickBot="1">
      <c r="A12" s="62" t="s">
        <v>792</v>
      </c>
      <c r="B12" s="199">
        <f>SUM(B5:B10)</f>
        <v>1180000</v>
      </c>
      <c r="C12" s="199">
        <f>SUM(C5:C11)</f>
        <v>2215091</v>
      </c>
      <c r="D12" s="199">
        <f>SUM(D5:D11)</f>
        <v>2215091</v>
      </c>
      <c r="E12" s="200"/>
      <c r="F12" s="2"/>
      <c r="G12" s="2"/>
      <c r="H12" s="2"/>
      <c r="I12" s="2"/>
      <c r="J12" s="2"/>
      <c r="K12" s="2"/>
      <c r="L12" s="2"/>
    </row>
    <row r="13" spans="1:12" ht="16.5" thickBot="1">
      <c r="A13" s="454"/>
      <c r="B13" s="455"/>
      <c r="C13" s="455"/>
      <c r="D13" s="455"/>
      <c r="E13" s="456"/>
      <c r="F13" s="2"/>
      <c r="G13" s="2"/>
      <c r="H13" s="2"/>
      <c r="I13" s="2"/>
      <c r="J13" s="2"/>
      <c r="K13" s="2"/>
      <c r="L13" s="2"/>
    </row>
    <row r="14" spans="1:12" ht="27">
      <c r="A14" s="59" t="s">
        <v>793</v>
      </c>
      <c r="B14" s="196" t="s">
        <v>150</v>
      </c>
      <c r="C14" s="196" t="s">
        <v>151</v>
      </c>
      <c r="D14" s="373" t="s">
        <v>202</v>
      </c>
      <c r="E14" s="197" t="s">
        <v>791</v>
      </c>
      <c r="F14" s="2"/>
      <c r="G14" s="2"/>
      <c r="H14" s="2"/>
      <c r="I14" s="2"/>
      <c r="J14" s="2"/>
      <c r="K14" s="2"/>
      <c r="L14" s="2"/>
    </row>
    <row r="15" spans="1:12" ht="15">
      <c r="A15" s="63"/>
      <c r="B15" s="201"/>
      <c r="C15" s="201"/>
      <c r="D15" s="230"/>
      <c r="E15" s="202"/>
      <c r="F15" s="2"/>
      <c r="G15" s="2"/>
      <c r="H15" s="2"/>
      <c r="I15" s="2"/>
      <c r="J15" s="2"/>
      <c r="K15" s="2"/>
      <c r="L15" s="2"/>
    </row>
    <row r="16" spans="1:12" ht="15">
      <c r="A16" s="63"/>
      <c r="B16" s="201"/>
      <c r="C16" s="201"/>
      <c r="D16" s="230"/>
      <c r="E16" s="202"/>
      <c r="F16" s="2"/>
      <c r="G16" s="2"/>
      <c r="H16" s="2"/>
      <c r="I16" s="2"/>
      <c r="J16" s="2"/>
      <c r="K16" s="2"/>
      <c r="L16" s="2"/>
    </row>
    <row r="17" spans="1:12" ht="15.75">
      <c r="A17" s="64"/>
      <c r="B17" s="75"/>
      <c r="C17" s="75"/>
      <c r="D17" s="229"/>
      <c r="E17" s="198"/>
      <c r="F17" s="2"/>
      <c r="G17" s="2"/>
      <c r="H17" s="2"/>
      <c r="I17" s="2"/>
      <c r="J17" s="2"/>
      <c r="K17" s="2"/>
      <c r="L17" s="2"/>
    </row>
    <row r="18" spans="1:12" ht="15.75">
      <c r="A18" s="64"/>
      <c r="B18" s="75"/>
      <c r="C18" s="75"/>
      <c r="D18" s="229"/>
      <c r="E18" s="198"/>
      <c r="F18" s="2"/>
      <c r="G18" s="2"/>
      <c r="H18" s="2"/>
      <c r="I18" s="2"/>
      <c r="J18" s="2"/>
      <c r="K18" s="2"/>
      <c r="L18" s="2"/>
    </row>
    <row r="19" spans="1:12" ht="16.5" thickBot="1">
      <c r="A19" s="65" t="s">
        <v>794</v>
      </c>
      <c r="B19" s="203">
        <f>SUM(B15:B18)</f>
        <v>0</v>
      </c>
      <c r="C19" s="203"/>
      <c r="D19" s="231"/>
      <c r="E19" s="204"/>
      <c r="F19" s="2"/>
      <c r="G19" s="2"/>
      <c r="H19" s="2"/>
      <c r="I19" s="2"/>
      <c r="J19" s="2"/>
      <c r="K19" s="2"/>
      <c r="L19" s="2"/>
    </row>
    <row r="20" spans="1:12" ht="16.5" thickBot="1">
      <c r="A20" s="454"/>
      <c r="B20" s="455"/>
      <c r="C20" s="455"/>
      <c r="D20" s="455"/>
      <c r="E20" s="456"/>
      <c r="F20" s="2"/>
      <c r="G20" s="2"/>
      <c r="H20" s="2"/>
      <c r="I20" s="2"/>
      <c r="J20" s="2"/>
      <c r="K20" s="2"/>
      <c r="L20" s="2"/>
    </row>
    <row r="21" spans="1:12" ht="27">
      <c r="A21" s="59" t="s">
        <v>795</v>
      </c>
      <c r="B21" s="196" t="s">
        <v>150</v>
      </c>
      <c r="C21" s="196" t="s">
        <v>151</v>
      </c>
      <c r="D21" s="373" t="s">
        <v>202</v>
      </c>
      <c r="E21" s="197" t="s">
        <v>791</v>
      </c>
      <c r="F21" s="2"/>
      <c r="G21" s="2"/>
      <c r="H21" s="2"/>
      <c r="I21" s="2"/>
      <c r="J21" s="2"/>
      <c r="K21" s="2"/>
      <c r="L21" s="2"/>
    </row>
    <row r="22" spans="1:12" ht="15.75">
      <c r="A22" s="217" t="s">
        <v>201</v>
      </c>
      <c r="B22" s="75">
        <v>1120000</v>
      </c>
      <c r="C22" s="75">
        <f>3217257+4575980</f>
        <v>7793237</v>
      </c>
      <c r="D22" s="229">
        <v>4575980</v>
      </c>
      <c r="E22" s="198"/>
      <c r="F22" s="2"/>
      <c r="G22" s="2"/>
      <c r="H22" s="2"/>
      <c r="I22" s="2"/>
      <c r="J22" s="2"/>
      <c r="K22" s="2"/>
      <c r="L22" s="2"/>
    </row>
    <row r="23" spans="1:12" ht="15.75">
      <c r="A23" s="66"/>
      <c r="B23" s="75"/>
      <c r="C23" s="75"/>
      <c r="D23" s="229"/>
      <c r="E23" s="198"/>
      <c r="F23" s="2"/>
      <c r="G23" s="2"/>
      <c r="H23" s="2"/>
      <c r="I23" s="2"/>
      <c r="J23" s="2"/>
      <c r="K23" s="2"/>
      <c r="L23" s="2"/>
    </row>
    <row r="24" spans="1:12" ht="15.75">
      <c r="A24" s="64"/>
      <c r="B24" s="75"/>
      <c r="C24" s="75"/>
      <c r="D24" s="229"/>
      <c r="E24" s="198"/>
      <c r="F24" s="2"/>
      <c r="G24" s="2"/>
      <c r="H24" s="2"/>
      <c r="I24" s="2"/>
      <c r="J24" s="2"/>
      <c r="K24" s="2"/>
      <c r="L24" s="2"/>
    </row>
    <row r="25" spans="1:12" ht="15.75">
      <c r="A25" s="64"/>
      <c r="B25" s="75"/>
      <c r="C25" s="75"/>
      <c r="D25" s="229"/>
      <c r="E25" s="198"/>
      <c r="F25" s="2"/>
      <c r="G25" s="2"/>
      <c r="H25" s="2"/>
      <c r="I25" s="2"/>
      <c r="J25" s="2"/>
      <c r="K25" s="2"/>
      <c r="L25" s="2"/>
    </row>
    <row r="26" spans="1:12" ht="17.25" thickBot="1">
      <c r="A26" s="62" t="s">
        <v>796</v>
      </c>
      <c r="B26" s="199">
        <f>SUM(B22:B25)</f>
        <v>1120000</v>
      </c>
      <c r="C26" s="199">
        <f>SUM(C22:C25)</f>
        <v>7793237</v>
      </c>
      <c r="D26" s="199">
        <f>SUM(D22:D25)</f>
        <v>4575980</v>
      </c>
      <c r="E26" s="205"/>
      <c r="F26" s="2"/>
      <c r="G26" s="2"/>
      <c r="H26" s="2"/>
      <c r="I26" s="2"/>
      <c r="J26" s="2"/>
      <c r="K26" s="2"/>
      <c r="L26" s="2"/>
    </row>
    <row r="27" spans="1:12" ht="17.25" thickBot="1">
      <c r="A27" s="457"/>
      <c r="B27" s="458"/>
      <c r="C27" s="458"/>
      <c r="D27" s="458"/>
      <c r="E27" s="459"/>
      <c r="F27" s="2"/>
      <c r="G27" s="2"/>
      <c r="H27" s="2"/>
      <c r="I27" s="2"/>
      <c r="J27" s="2"/>
      <c r="K27" s="2"/>
      <c r="L27" s="2"/>
    </row>
    <row r="28" spans="1:12" ht="27">
      <c r="A28" s="67" t="s">
        <v>797</v>
      </c>
      <c r="B28" s="196" t="s">
        <v>150</v>
      </c>
      <c r="C28" s="196" t="s">
        <v>151</v>
      </c>
      <c r="D28" s="373" t="s">
        <v>202</v>
      </c>
      <c r="E28" s="197" t="s">
        <v>791</v>
      </c>
      <c r="F28" s="2"/>
      <c r="G28" s="2"/>
      <c r="H28" s="2"/>
      <c r="I28" s="2"/>
      <c r="J28" s="2"/>
      <c r="K28" s="2"/>
      <c r="L28" s="2"/>
    </row>
    <row r="29" spans="1:12" ht="16.5">
      <c r="A29" s="215" t="s">
        <v>35</v>
      </c>
      <c r="B29" s="216">
        <v>150000</v>
      </c>
      <c r="C29" s="216"/>
      <c r="D29" s="232"/>
      <c r="E29" s="207"/>
      <c r="F29" s="2"/>
      <c r="G29" s="2"/>
      <c r="H29" s="2"/>
      <c r="I29" s="2"/>
      <c r="J29" s="2"/>
      <c r="K29" s="2"/>
      <c r="L29" s="2"/>
    </row>
    <row r="30" spans="1:12" ht="16.5">
      <c r="A30" s="215" t="s">
        <v>36</v>
      </c>
      <c r="B30" s="216">
        <v>150000</v>
      </c>
      <c r="C30" s="216"/>
      <c r="D30" s="232"/>
      <c r="E30" s="207"/>
      <c r="F30" s="2"/>
      <c r="G30" s="2"/>
      <c r="H30" s="2"/>
      <c r="I30" s="2"/>
      <c r="J30" s="2"/>
      <c r="K30" s="2"/>
      <c r="L30" s="2"/>
    </row>
    <row r="31" spans="1:12" ht="16.5">
      <c r="A31" s="68"/>
      <c r="B31" s="206"/>
      <c r="C31" s="206"/>
      <c r="D31" s="233"/>
      <c r="E31" s="207"/>
      <c r="F31" s="2"/>
      <c r="G31" s="2"/>
      <c r="H31" s="2"/>
      <c r="I31" s="2"/>
      <c r="J31" s="2"/>
      <c r="K31" s="2"/>
      <c r="L31" s="2"/>
    </row>
    <row r="32" spans="1:12" ht="16.5">
      <c r="A32" s="68"/>
      <c r="B32" s="206"/>
      <c r="C32" s="206"/>
      <c r="D32" s="233"/>
      <c r="E32" s="207"/>
      <c r="F32" s="2"/>
      <c r="G32" s="2"/>
      <c r="H32" s="2"/>
      <c r="I32" s="2"/>
      <c r="J32" s="2"/>
      <c r="K32" s="2"/>
      <c r="L32" s="2"/>
    </row>
    <row r="33" spans="1:12" ht="17.25" thickBot="1">
      <c r="A33" s="62" t="s">
        <v>798</v>
      </c>
      <c r="B33" s="199">
        <f>SUM(B29:B32)</f>
        <v>300000</v>
      </c>
      <c r="C33" s="199">
        <f>SUM(C29:C32)</f>
        <v>0</v>
      </c>
      <c r="D33" s="199">
        <f>SUM(D29:D32)</f>
        <v>0</v>
      </c>
      <c r="E33" s="205"/>
      <c r="F33" s="2"/>
      <c r="G33" s="2"/>
      <c r="H33" s="2"/>
      <c r="I33" s="2"/>
      <c r="J33" s="2"/>
      <c r="K33" s="2"/>
      <c r="L33" s="2"/>
    </row>
    <row r="34" spans="1:12" ht="16.5" thickBot="1">
      <c r="A34" s="454"/>
      <c r="B34" s="455"/>
      <c r="C34" s="455"/>
      <c r="D34" s="455"/>
      <c r="E34" s="456"/>
      <c r="F34" s="2"/>
      <c r="G34" s="2"/>
      <c r="H34" s="2"/>
      <c r="I34" s="2"/>
      <c r="J34" s="2"/>
      <c r="K34" s="2"/>
      <c r="L34" s="2"/>
    </row>
    <row r="35" spans="1:12" ht="27">
      <c r="A35" s="59" t="s">
        <v>799</v>
      </c>
      <c r="B35" s="196" t="s">
        <v>150</v>
      </c>
      <c r="C35" s="196" t="s">
        <v>151</v>
      </c>
      <c r="D35" s="373" t="s">
        <v>202</v>
      </c>
      <c r="E35" s="197" t="s">
        <v>791</v>
      </c>
      <c r="F35" s="2"/>
      <c r="G35" s="2"/>
      <c r="H35" s="2"/>
      <c r="I35" s="2"/>
      <c r="J35" s="2"/>
      <c r="K35" s="2"/>
      <c r="L35" s="2"/>
    </row>
    <row r="36" spans="1:12" ht="15.75">
      <c r="A36" s="64" t="s">
        <v>800</v>
      </c>
      <c r="B36" s="75">
        <v>200000</v>
      </c>
      <c r="C36" s="75"/>
      <c r="D36" s="229"/>
      <c r="E36" s="198"/>
      <c r="F36" s="2"/>
      <c r="G36" s="2"/>
      <c r="H36" s="2"/>
      <c r="I36" s="2"/>
      <c r="J36" s="2"/>
      <c r="K36" s="2"/>
      <c r="L36" s="2"/>
    </row>
    <row r="37" spans="1:12" ht="15.75">
      <c r="A37" s="64" t="s">
        <v>801</v>
      </c>
      <c r="B37" s="75">
        <v>200000</v>
      </c>
      <c r="C37" s="75"/>
      <c r="D37" s="229"/>
      <c r="E37" s="198"/>
      <c r="F37" s="2"/>
      <c r="G37" s="2"/>
      <c r="H37" s="2"/>
      <c r="I37" s="2"/>
      <c r="J37" s="2"/>
      <c r="K37" s="2"/>
      <c r="L37" s="2"/>
    </row>
    <row r="38" spans="1:12" ht="15.75">
      <c r="A38" s="64"/>
      <c r="B38" s="75"/>
      <c r="C38" s="75"/>
      <c r="D38" s="229"/>
      <c r="E38" s="198"/>
      <c r="F38" s="2"/>
      <c r="G38" s="2"/>
      <c r="H38" s="2"/>
      <c r="I38" s="2"/>
      <c r="J38" s="2"/>
      <c r="K38" s="2"/>
      <c r="L38" s="2"/>
    </row>
    <row r="39" spans="1:12" ht="15.75">
      <c r="A39" s="64"/>
      <c r="B39" s="75"/>
      <c r="C39" s="75"/>
      <c r="D39" s="229"/>
      <c r="E39" s="198"/>
      <c r="F39" s="2"/>
      <c r="G39" s="2"/>
      <c r="H39" s="2"/>
      <c r="I39" s="2"/>
      <c r="J39" s="2"/>
      <c r="K39" s="2"/>
      <c r="L39" s="2"/>
    </row>
    <row r="40" spans="1:12" ht="16.5" thickBot="1">
      <c r="A40" s="65" t="s">
        <v>802</v>
      </c>
      <c r="B40" s="203">
        <f>SUM(B36:B39)</f>
        <v>400000</v>
      </c>
      <c r="C40" s="203">
        <f>SUM(C36:C39)</f>
        <v>0</v>
      </c>
      <c r="D40" s="203">
        <f>SUM(D36:D39)</f>
        <v>0</v>
      </c>
      <c r="E40" s="204"/>
      <c r="F40" s="2"/>
      <c r="G40" s="2"/>
      <c r="H40" s="2"/>
      <c r="I40" s="2"/>
      <c r="J40" s="2"/>
      <c r="K40" s="2"/>
      <c r="L40" s="2"/>
    </row>
    <row r="41" spans="1:12" ht="26.25" customHeight="1">
      <c r="A41" s="69" t="s">
        <v>789</v>
      </c>
      <c r="B41" s="209">
        <f>SUM(B12,B19,B26,B33,B40)</f>
        <v>3000000</v>
      </c>
      <c r="C41" s="209">
        <f>SUM(C12,C19,C26,C33,C40)</f>
        <v>10008328</v>
      </c>
      <c r="D41" s="209">
        <f>SUM(D12,D19,D26,D33,D40)</f>
        <v>6791071</v>
      </c>
      <c r="E41" s="209"/>
      <c r="F41" s="2"/>
      <c r="G41" s="2"/>
      <c r="H41" s="2"/>
      <c r="I41" s="2"/>
      <c r="J41" s="2"/>
      <c r="K41" s="2"/>
      <c r="L41" s="2"/>
    </row>
    <row r="42" spans="1:12" ht="15">
      <c r="A42" s="37"/>
      <c r="B42" s="103"/>
      <c r="C42" s="103"/>
      <c r="D42" s="103"/>
      <c r="E42" s="103"/>
      <c r="F42" s="2"/>
      <c r="G42" s="2"/>
      <c r="H42" s="2"/>
      <c r="I42" s="2"/>
      <c r="J42" s="2"/>
      <c r="K42" s="2"/>
      <c r="L42" s="2"/>
    </row>
    <row r="43" spans="1:12" ht="29.25" customHeight="1">
      <c r="A43" s="3" t="s">
        <v>203</v>
      </c>
      <c r="B43" s="103"/>
      <c r="C43" s="103"/>
      <c r="D43" s="103"/>
      <c r="E43" s="103"/>
      <c r="F43" s="2"/>
      <c r="G43" s="2"/>
      <c r="H43" s="2"/>
      <c r="I43" s="2"/>
      <c r="J43" s="2"/>
      <c r="K43" s="2"/>
      <c r="L43" s="2"/>
    </row>
    <row r="44" spans="1:12" ht="15">
      <c r="A44" s="2"/>
      <c r="B44" s="100"/>
      <c r="C44" s="100"/>
      <c r="D44" s="100"/>
      <c r="E44" s="100"/>
      <c r="F44" s="2"/>
      <c r="G44" s="2"/>
      <c r="H44" s="2"/>
      <c r="I44" s="2"/>
      <c r="J44" s="2"/>
      <c r="K44" s="2"/>
      <c r="L44" s="2"/>
    </row>
    <row r="45" spans="1:12" ht="15">
      <c r="A45" s="2"/>
      <c r="B45" s="100"/>
      <c r="C45" s="100"/>
      <c r="D45" s="100"/>
      <c r="E45" s="100"/>
      <c r="F45" s="2"/>
      <c r="G45" s="2"/>
      <c r="H45" s="2"/>
      <c r="I45" s="2"/>
      <c r="J45" s="2"/>
      <c r="K45" s="2"/>
      <c r="L45" s="2"/>
    </row>
    <row r="46" spans="1:12" ht="15">
      <c r="A46" s="2"/>
      <c r="B46" s="100"/>
      <c r="C46" s="100"/>
      <c r="D46" s="100"/>
      <c r="E46" s="100"/>
      <c r="F46" s="2"/>
      <c r="G46" s="2"/>
      <c r="H46" s="2"/>
      <c r="I46" s="2"/>
      <c r="J46" s="2"/>
      <c r="K46" s="2"/>
      <c r="L46" s="2"/>
    </row>
    <row r="47" spans="1:12" ht="15.75">
      <c r="A47" s="70"/>
      <c r="B47" s="100"/>
      <c r="C47" s="100"/>
      <c r="D47" s="100"/>
      <c r="E47" s="100"/>
      <c r="F47" s="2"/>
      <c r="G47" s="2"/>
      <c r="H47" s="2"/>
      <c r="I47" s="2"/>
      <c r="J47" s="2"/>
      <c r="K47" s="2"/>
      <c r="L47" s="2"/>
    </row>
    <row r="48" spans="1:12" ht="15.75">
      <c r="A48" s="70"/>
      <c r="B48" s="100"/>
      <c r="C48" s="100"/>
      <c r="D48" s="100"/>
      <c r="E48" s="100"/>
      <c r="F48" s="2"/>
      <c r="G48" s="2"/>
      <c r="H48" s="2"/>
      <c r="I48" s="2"/>
      <c r="J48" s="2"/>
      <c r="K48" s="2"/>
      <c r="L48" s="2"/>
    </row>
    <row r="49" spans="1:12" ht="15.75">
      <c r="A49" s="70"/>
      <c r="B49" s="100"/>
      <c r="C49" s="100"/>
      <c r="D49" s="100"/>
      <c r="E49" s="100"/>
      <c r="F49" s="2"/>
      <c r="G49" s="2"/>
      <c r="H49" s="2"/>
      <c r="I49" s="2"/>
      <c r="J49" s="2"/>
      <c r="K49" s="2"/>
      <c r="L49" s="2"/>
    </row>
    <row r="50" spans="1:12" ht="15.75">
      <c r="A50" s="70"/>
      <c r="B50" s="100"/>
      <c r="C50" s="100"/>
      <c r="D50" s="100"/>
      <c r="E50" s="100"/>
      <c r="F50" s="2"/>
      <c r="G50" s="2"/>
      <c r="H50" s="2"/>
      <c r="I50" s="2"/>
      <c r="J50" s="2"/>
      <c r="K50" s="2"/>
      <c r="L50" s="2"/>
    </row>
    <row r="51" spans="1:12" ht="15.75">
      <c r="A51" s="70"/>
      <c r="B51" s="100"/>
      <c r="C51" s="100"/>
      <c r="D51" s="100"/>
      <c r="E51" s="100"/>
      <c r="F51" s="2"/>
      <c r="G51" s="2"/>
      <c r="H51" s="2"/>
      <c r="I51" s="2"/>
      <c r="J51" s="2"/>
      <c r="K51" s="2"/>
      <c r="L51" s="2"/>
    </row>
    <row r="52" spans="1:12" ht="15">
      <c r="A52" s="2"/>
      <c r="B52" s="100"/>
      <c r="C52" s="100"/>
      <c r="D52" s="100"/>
      <c r="E52" s="100"/>
      <c r="F52" s="2"/>
      <c r="G52" s="2"/>
      <c r="H52" s="2"/>
      <c r="I52" s="2"/>
      <c r="J52" s="2"/>
      <c r="K52" s="2"/>
      <c r="L52" s="2"/>
    </row>
    <row r="53" spans="1:12" ht="15">
      <c r="A53" s="2"/>
      <c r="B53" s="100"/>
      <c r="C53" s="100"/>
      <c r="D53" s="100"/>
      <c r="E53" s="100"/>
      <c r="F53" s="2"/>
      <c r="G53" s="2"/>
      <c r="H53" s="2"/>
      <c r="I53" s="2"/>
      <c r="J53" s="2"/>
      <c r="K53" s="2"/>
      <c r="L53" s="2"/>
    </row>
    <row r="54" spans="1:12" ht="15">
      <c r="A54" s="2"/>
      <c r="B54" s="100"/>
      <c r="C54" s="100"/>
      <c r="D54" s="100"/>
      <c r="E54" s="100"/>
      <c r="F54" s="2"/>
      <c r="G54" s="2"/>
      <c r="H54" s="2"/>
      <c r="I54" s="2"/>
      <c r="J54" s="2"/>
      <c r="K54" s="2"/>
      <c r="L54" s="2"/>
    </row>
    <row r="55" spans="1:12" ht="15">
      <c r="A55" s="2"/>
      <c r="B55" s="100"/>
      <c r="C55" s="100"/>
      <c r="D55" s="100"/>
      <c r="E55" s="100"/>
      <c r="F55" s="2"/>
      <c r="G55" s="2"/>
      <c r="H55" s="2"/>
      <c r="I55" s="2"/>
      <c r="J55" s="2"/>
      <c r="K55" s="2"/>
      <c r="L55" s="2"/>
    </row>
    <row r="56" spans="1:12" ht="15">
      <c r="A56" s="2"/>
      <c r="B56" s="100"/>
      <c r="C56" s="100"/>
      <c r="D56" s="100"/>
      <c r="E56" s="100"/>
      <c r="F56" s="2"/>
      <c r="G56" s="2"/>
      <c r="H56" s="2"/>
      <c r="I56" s="2"/>
      <c r="J56" s="2"/>
      <c r="K56" s="2"/>
      <c r="L56" s="2"/>
    </row>
    <row r="57" spans="1:12" ht="15">
      <c r="A57" s="2"/>
      <c r="B57" s="100"/>
      <c r="C57" s="100"/>
      <c r="D57" s="100"/>
      <c r="E57" s="100"/>
      <c r="F57" s="2"/>
      <c r="G57" s="2"/>
      <c r="H57" s="2"/>
      <c r="I57" s="2"/>
      <c r="J57" s="2"/>
      <c r="K57" s="2"/>
      <c r="L57" s="2"/>
    </row>
    <row r="58" spans="1:12" ht="15">
      <c r="A58" s="2"/>
      <c r="B58" s="100"/>
      <c r="C58" s="100"/>
      <c r="D58" s="100"/>
      <c r="E58" s="100"/>
      <c r="F58" s="2"/>
      <c r="G58" s="2"/>
      <c r="H58" s="2"/>
      <c r="I58" s="2"/>
      <c r="J58" s="2"/>
      <c r="K58" s="2"/>
      <c r="L58" s="2"/>
    </row>
    <row r="59" spans="1:12" ht="15">
      <c r="A59" s="2"/>
      <c r="B59" s="100"/>
      <c r="C59" s="100"/>
      <c r="D59" s="100"/>
      <c r="E59" s="100"/>
      <c r="F59" s="2"/>
      <c r="G59" s="2"/>
      <c r="H59" s="2"/>
      <c r="I59" s="2"/>
      <c r="J59" s="2"/>
      <c r="K59" s="2"/>
      <c r="L59" s="2"/>
    </row>
    <row r="60" spans="1:12" ht="15">
      <c r="A60" s="2"/>
      <c r="B60" s="100"/>
      <c r="C60" s="100"/>
      <c r="D60" s="100"/>
      <c r="E60" s="100"/>
      <c r="F60" s="2"/>
      <c r="G60" s="2"/>
      <c r="H60" s="2"/>
      <c r="I60" s="2"/>
      <c r="J60" s="2"/>
      <c r="K60" s="2"/>
      <c r="L60" s="2"/>
    </row>
    <row r="61" spans="1:12" ht="15">
      <c r="A61" s="2"/>
      <c r="B61" s="100"/>
      <c r="C61" s="100"/>
      <c r="D61" s="100"/>
      <c r="E61" s="100"/>
      <c r="F61" s="2"/>
      <c r="G61" s="2"/>
      <c r="H61" s="2"/>
      <c r="I61" s="2"/>
      <c r="J61" s="2"/>
      <c r="K61" s="2"/>
      <c r="L61" s="2"/>
    </row>
    <row r="62" spans="1:12" ht="15">
      <c r="A62" s="2"/>
      <c r="B62" s="100"/>
      <c r="C62" s="100"/>
      <c r="D62" s="100"/>
      <c r="E62" s="100"/>
      <c r="F62" s="2"/>
      <c r="G62" s="2"/>
      <c r="H62" s="2"/>
      <c r="I62" s="2"/>
      <c r="J62" s="2"/>
      <c r="K62" s="2"/>
      <c r="L62" s="2"/>
    </row>
    <row r="63" spans="1:12" ht="15">
      <c r="A63" s="2"/>
      <c r="B63" s="100"/>
      <c r="C63" s="100"/>
      <c r="D63" s="100"/>
      <c r="E63" s="100"/>
      <c r="F63" s="2"/>
      <c r="G63" s="2"/>
      <c r="H63" s="2"/>
      <c r="I63" s="2"/>
      <c r="J63" s="2"/>
      <c r="K63" s="2"/>
      <c r="L63" s="2"/>
    </row>
    <row r="64" spans="1:12" ht="15">
      <c r="A64" s="2"/>
      <c r="B64" s="100"/>
      <c r="C64" s="100"/>
      <c r="D64" s="100"/>
      <c r="E64" s="100"/>
      <c r="F64" s="2"/>
      <c r="G64" s="2"/>
      <c r="H64" s="2"/>
      <c r="I64" s="2"/>
      <c r="J64" s="2"/>
      <c r="K64" s="2"/>
      <c r="L64" s="2"/>
    </row>
    <row r="65" spans="1:12" ht="15">
      <c r="A65" s="2"/>
      <c r="B65" s="100"/>
      <c r="C65" s="100"/>
      <c r="D65" s="100"/>
      <c r="E65" s="100"/>
      <c r="F65" s="2"/>
      <c r="G65" s="2"/>
      <c r="H65" s="2"/>
      <c r="I65" s="2"/>
      <c r="J65" s="2"/>
      <c r="K65" s="2"/>
      <c r="L65" s="2"/>
    </row>
    <row r="66" spans="1:12" ht="15">
      <c r="A66" s="2"/>
      <c r="B66" s="100"/>
      <c r="C66" s="100"/>
      <c r="D66" s="100"/>
      <c r="E66" s="100"/>
      <c r="F66" s="2"/>
      <c r="G66" s="2"/>
      <c r="H66" s="2"/>
      <c r="I66" s="2"/>
      <c r="J66" s="2"/>
      <c r="K66" s="2"/>
      <c r="L66" s="2"/>
    </row>
    <row r="67" spans="1:12" ht="15">
      <c r="A67" s="2"/>
      <c r="B67" s="100"/>
      <c r="C67" s="100"/>
      <c r="D67" s="100"/>
      <c r="E67" s="100"/>
      <c r="F67" s="2"/>
      <c r="G67" s="2"/>
      <c r="H67" s="2"/>
      <c r="I67" s="2"/>
      <c r="J67" s="2"/>
      <c r="K67" s="2"/>
      <c r="L67" s="2"/>
    </row>
    <row r="68" spans="1:12" ht="15">
      <c r="A68" s="2"/>
      <c r="B68" s="100"/>
      <c r="C68" s="100"/>
      <c r="D68" s="100"/>
      <c r="E68" s="100"/>
      <c r="F68" s="2"/>
      <c r="G68" s="2"/>
      <c r="H68" s="2"/>
      <c r="I68" s="2"/>
      <c r="J68" s="2"/>
      <c r="K68" s="2"/>
      <c r="L68" s="2"/>
    </row>
    <row r="69" spans="1:12" ht="15">
      <c r="A69" s="2"/>
      <c r="B69" s="100"/>
      <c r="C69" s="100"/>
      <c r="D69" s="100"/>
      <c r="E69" s="100"/>
      <c r="F69" s="2"/>
      <c r="G69" s="2"/>
      <c r="H69" s="2"/>
      <c r="I69" s="2"/>
      <c r="J69" s="2"/>
      <c r="K69" s="2"/>
      <c r="L69" s="2"/>
    </row>
    <row r="70" spans="1:12" ht="15">
      <c r="A70" s="2"/>
      <c r="B70" s="100"/>
      <c r="C70" s="100"/>
      <c r="D70" s="100"/>
      <c r="E70" s="100"/>
      <c r="F70" s="2"/>
      <c r="G70" s="2"/>
      <c r="H70" s="2"/>
      <c r="I70" s="2"/>
      <c r="J70" s="2"/>
      <c r="K70" s="2"/>
      <c r="L70" s="2"/>
    </row>
    <row r="71" spans="1:12" ht="15">
      <c r="A71" s="2"/>
      <c r="B71" s="100"/>
      <c r="C71" s="100"/>
      <c r="D71" s="100"/>
      <c r="E71" s="100"/>
      <c r="F71" s="2"/>
      <c r="G71" s="2"/>
      <c r="H71" s="2"/>
      <c r="I71" s="2"/>
      <c r="J71" s="2"/>
      <c r="K71" s="2"/>
      <c r="L71" s="2"/>
    </row>
    <row r="72" spans="1:12" ht="15">
      <c r="A72" s="2"/>
      <c r="B72" s="100"/>
      <c r="C72" s="100"/>
      <c r="D72" s="100"/>
      <c r="E72" s="100"/>
      <c r="F72" s="2"/>
      <c r="G72" s="2"/>
      <c r="H72" s="2"/>
      <c r="I72" s="2"/>
      <c r="J72" s="2"/>
      <c r="K72" s="2"/>
      <c r="L72" s="2"/>
    </row>
    <row r="73" spans="1:12" ht="15">
      <c r="A73" s="2"/>
      <c r="B73" s="100"/>
      <c r="C73" s="100"/>
      <c r="D73" s="100"/>
      <c r="E73" s="100"/>
      <c r="F73" s="2"/>
      <c r="G73" s="2"/>
      <c r="H73" s="2"/>
      <c r="I73" s="2"/>
      <c r="J73" s="2"/>
      <c r="K73" s="2"/>
      <c r="L73" s="2"/>
    </row>
    <row r="74" spans="1:12" ht="15">
      <c r="A74" s="2"/>
      <c r="B74" s="100"/>
      <c r="C74" s="100"/>
      <c r="D74" s="100"/>
      <c r="E74" s="100"/>
      <c r="F74" s="2"/>
      <c r="G74" s="2"/>
      <c r="H74" s="2"/>
      <c r="I74" s="2"/>
      <c r="J74" s="2"/>
      <c r="K74" s="2"/>
      <c r="L74" s="2"/>
    </row>
    <row r="75" spans="1:12" ht="15">
      <c r="A75" s="2"/>
      <c r="B75" s="100"/>
      <c r="C75" s="100"/>
      <c r="D75" s="100"/>
      <c r="E75" s="100"/>
      <c r="F75" s="2"/>
      <c r="G75" s="2"/>
      <c r="H75" s="2"/>
      <c r="I75" s="2"/>
      <c r="J75" s="2"/>
      <c r="K75" s="2"/>
      <c r="L75" s="2"/>
    </row>
    <row r="76" spans="1:12" ht="15">
      <c r="A76" s="2"/>
      <c r="B76" s="100"/>
      <c r="C76" s="100"/>
      <c r="D76" s="100"/>
      <c r="E76" s="100"/>
      <c r="F76" s="2"/>
      <c r="G76" s="2"/>
      <c r="H76" s="2"/>
      <c r="I76" s="2"/>
      <c r="J76" s="2"/>
      <c r="K76" s="2"/>
      <c r="L76" s="2"/>
    </row>
    <row r="77" spans="1:12" ht="15">
      <c r="A77" s="2"/>
      <c r="B77" s="100"/>
      <c r="C77" s="100"/>
      <c r="D77" s="100"/>
      <c r="E77" s="100"/>
      <c r="F77" s="2"/>
      <c r="G77" s="2"/>
      <c r="H77" s="2"/>
      <c r="I77" s="2"/>
      <c r="J77" s="2"/>
      <c r="K77" s="2"/>
      <c r="L77" s="2"/>
    </row>
    <row r="78" spans="1:12" ht="15">
      <c r="A78" s="2"/>
      <c r="B78" s="100"/>
      <c r="C78" s="100"/>
      <c r="D78" s="100"/>
      <c r="E78" s="100"/>
      <c r="F78" s="2"/>
      <c r="G78" s="2"/>
      <c r="H78" s="2"/>
      <c r="I78" s="2"/>
      <c r="J78" s="2"/>
      <c r="K78" s="2"/>
      <c r="L78" s="2"/>
    </row>
    <row r="79" spans="1:12" ht="15">
      <c r="A79" s="2"/>
      <c r="B79" s="100"/>
      <c r="C79" s="100"/>
      <c r="D79" s="100"/>
      <c r="E79" s="100"/>
      <c r="F79" s="2"/>
      <c r="G79" s="2"/>
      <c r="H79" s="2"/>
      <c r="I79" s="2"/>
      <c r="J79" s="2"/>
      <c r="K79" s="2"/>
      <c r="L79" s="2"/>
    </row>
    <row r="80" spans="1:12" ht="15">
      <c r="A80" s="2"/>
      <c r="B80" s="100"/>
      <c r="C80" s="100"/>
      <c r="D80" s="100"/>
      <c r="E80" s="100"/>
      <c r="F80" s="2"/>
      <c r="G80" s="2"/>
      <c r="H80" s="2"/>
      <c r="I80" s="2"/>
      <c r="J80" s="2"/>
      <c r="K80" s="2"/>
      <c r="L80" s="2"/>
    </row>
    <row r="81" spans="1:12" ht="15">
      <c r="A81" s="2"/>
      <c r="B81" s="100"/>
      <c r="C81" s="100"/>
      <c r="D81" s="100"/>
      <c r="E81" s="100"/>
      <c r="F81" s="2"/>
      <c r="G81" s="2"/>
      <c r="H81" s="2"/>
      <c r="I81" s="2"/>
      <c r="J81" s="2"/>
      <c r="K81" s="2"/>
      <c r="L81" s="2"/>
    </row>
    <row r="82" spans="1:12" ht="15">
      <c r="A82" s="2"/>
      <c r="B82" s="100"/>
      <c r="C82" s="100"/>
      <c r="D82" s="100"/>
      <c r="E82" s="100"/>
      <c r="F82" s="2"/>
      <c r="G82" s="2"/>
      <c r="H82" s="2"/>
      <c r="I82" s="2"/>
      <c r="J82" s="2"/>
      <c r="K82" s="2"/>
      <c r="L82" s="2"/>
    </row>
    <row r="83" spans="1:12" ht="15">
      <c r="A83" s="2"/>
      <c r="B83" s="100"/>
      <c r="C83" s="100"/>
      <c r="D83" s="100"/>
      <c r="E83" s="100"/>
      <c r="F83" s="2"/>
      <c r="G83" s="2"/>
      <c r="H83" s="2"/>
      <c r="I83" s="2"/>
      <c r="J83" s="2"/>
      <c r="K83" s="2"/>
      <c r="L83" s="2"/>
    </row>
    <row r="84" spans="1:12" ht="15">
      <c r="A84" s="2"/>
      <c r="B84" s="100"/>
      <c r="C84" s="100"/>
      <c r="D84" s="100"/>
      <c r="E84" s="100"/>
      <c r="F84" s="2"/>
      <c r="G84" s="2"/>
      <c r="H84" s="2"/>
      <c r="I84" s="2"/>
      <c r="J84" s="2"/>
      <c r="K84" s="2"/>
      <c r="L84" s="2"/>
    </row>
    <row r="85" spans="1:12" ht="15">
      <c r="A85" s="2"/>
      <c r="B85" s="100"/>
      <c r="C85" s="100"/>
      <c r="D85" s="100"/>
      <c r="E85" s="100"/>
      <c r="F85" s="2"/>
      <c r="G85" s="2"/>
      <c r="H85" s="2"/>
      <c r="I85" s="2"/>
      <c r="J85" s="2"/>
      <c r="K85" s="2"/>
      <c r="L85" s="2"/>
    </row>
    <row r="86" spans="1:12" ht="15">
      <c r="A86" s="2"/>
      <c r="B86" s="100"/>
      <c r="C86" s="100"/>
      <c r="D86" s="100"/>
      <c r="E86" s="100"/>
      <c r="F86" s="2"/>
      <c r="G86" s="2"/>
      <c r="H86" s="2"/>
      <c r="I86" s="2"/>
      <c r="J86" s="2"/>
      <c r="K86" s="2"/>
      <c r="L86" s="2"/>
    </row>
    <row r="87" spans="1:12" ht="15">
      <c r="A87" s="2"/>
      <c r="B87" s="100"/>
      <c r="C87" s="100"/>
      <c r="D87" s="100"/>
      <c r="E87" s="100"/>
      <c r="F87" s="2"/>
      <c r="G87" s="2"/>
      <c r="H87" s="2"/>
      <c r="I87" s="2"/>
      <c r="J87" s="2"/>
      <c r="K87" s="2"/>
      <c r="L87" s="2"/>
    </row>
    <row r="88" spans="1:12" ht="15">
      <c r="A88" s="2"/>
      <c r="B88" s="100"/>
      <c r="C88" s="100"/>
      <c r="D88" s="100"/>
      <c r="E88" s="100"/>
      <c r="F88" s="2"/>
      <c r="G88" s="2"/>
      <c r="H88" s="2"/>
      <c r="I88" s="2"/>
      <c r="J88" s="2"/>
      <c r="K88" s="2"/>
      <c r="L88" s="2"/>
    </row>
    <row r="89" spans="1:12" ht="15">
      <c r="A89" s="2"/>
      <c r="B89" s="100"/>
      <c r="C89" s="100"/>
      <c r="D89" s="100"/>
      <c r="E89" s="100"/>
      <c r="F89" s="2"/>
      <c r="G89" s="2"/>
      <c r="H89" s="2"/>
      <c r="I89" s="2"/>
      <c r="J89" s="2"/>
      <c r="K89" s="2"/>
      <c r="L89" s="2"/>
    </row>
    <row r="90" spans="1:12" ht="15">
      <c r="A90" s="2"/>
      <c r="B90" s="100"/>
      <c r="C90" s="100"/>
      <c r="D90" s="100"/>
      <c r="E90" s="100"/>
      <c r="F90" s="2"/>
      <c r="G90" s="2"/>
      <c r="H90" s="2"/>
      <c r="I90" s="2"/>
      <c r="J90" s="2"/>
      <c r="K90" s="2"/>
      <c r="L90" s="2"/>
    </row>
    <row r="91" spans="1:12" ht="15">
      <c r="A91" s="2"/>
      <c r="B91" s="100"/>
      <c r="C91" s="100"/>
      <c r="D91" s="100"/>
      <c r="E91" s="100"/>
      <c r="F91" s="2"/>
      <c r="G91" s="2"/>
      <c r="H91" s="2"/>
      <c r="I91" s="2"/>
      <c r="J91" s="2"/>
      <c r="K91" s="2"/>
      <c r="L91" s="2"/>
    </row>
    <row r="92" spans="1:12" ht="15">
      <c r="A92" s="2"/>
      <c r="B92" s="100"/>
      <c r="C92" s="100"/>
      <c r="D92" s="100"/>
      <c r="E92" s="100"/>
      <c r="F92" s="2"/>
      <c r="G92" s="2"/>
      <c r="H92" s="2"/>
      <c r="I92" s="2"/>
      <c r="J92" s="2"/>
      <c r="K92" s="2"/>
      <c r="L92" s="2"/>
    </row>
    <row r="93" spans="1:12" ht="15">
      <c r="A93" s="2"/>
      <c r="B93" s="100"/>
      <c r="C93" s="100"/>
      <c r="D93" s="100"/>
      <c r="E93" s="100"/>
      <c r="F93" s="2"/>
      <c r="G93" s="2"/>
      <c r="H93" s="2"/>
      <c r="I93" s="2"/>
      <c r="J93" s="2"/>
      <c r="K93" s="2"/>
      <c r="L93" s="2"/>
    </row>
    <row r="94" spans="1:12" ht="15">
      <c r="A94" s="2"/>
      <c r="B94" s="100"/>
      <c r="C94" s="100"/>
      <c r="D94" s="100"/>
      <c r="E94" s="100"/>
      <c r="F94" s="2"/>
      <c r="G94" s="2"/>
      <c r="H94" s="2"/>
      <c r="I94" s="2"/>
      <c r="J94" s="2"/>
      <c r="K94" s="2"/>
      <c r="L94" s="2"/>
    </row>
    <row r="95" spans="1:12" ht="15">
      <c r="A95" s="2"/>
      <c r="B95" s="100"/>
      <c r="C95" s="100"/>
      <c r="D95" s="100"/>
      <c r="E95" s="100"/>
      <c r="F95" s="2"/>
      <c r="G95" s="2"/>
      <c r="H95" s="2"/>
      <c r="I95" s="2"/>
      <c r="J95" s="2"/>
      <c r="K95" s="2"/>
      <c r="L95" s="2"/>
    </row>
    <row r="96" spans="1:12" ht="15">
      <c r="A96" s="2"/>
      <c r="B96" s="100"/>
      <c r="C96" s="100"/>
      <c r="D96" s="100"/>
      <c r="E96" s="100"/>
      <c r="F96" s="2"/>
      <c r="G96" s="2"/>
      <c r="H96" s="2"/>
      <c r="I96" s="2"/>
      <c r="J96" s="2"/>
      <c r="K96" s="2"/>
      <c r="L96" s="2"/>
    </row>
    <row r="97" spans="1:12" ht="15">
      <c r="A97" s="2"/>
      <c r="B97" s="100"/>
      <c r="C97" s="100"/>
      <c r="D97" s="100"/>
      <c r="E97" s="100"/>
      <c r="F97" s="2"/>
      <c r="G97" s="2"/>
      <c r="H97" s="2"/>
      <c r="I97" s="2"/>
      <c r="J97" s="2"/>
      <c r="K97" s="2"/>
      <c r="L97" s="2"/>
    </row>
    <row r="98" spans="1:12" ht="15">
      <c r="A98" s="2"/>
      <c r="B98" s="100"/>
      <c r="C98" s="100"/>
      <c r="D98" s="100"/>
      <c r="E98" s="100"/>
      <c r="F98" s="2"/>
      <c r="G98" s="2"/>
      <c r="H98" s="2"/>
      <c r="I98" s="2"/>
      <c r="J98" s="2"/>
      <c r="K98" s="2"/>
      <c r="L98" s="2"/>
    </row>
    <row r="99" spans="1:12" ht="15">
      <c r="A99" s="2"/>
      <c r="B99" s="100"/>
      <c r="C99" s="100"/>
      <c r="D99" s="100"/>
      <c r="E99" s="100"/>
      <c r="F99" s="2"/>
      <c r="G99" s="2"/>
      <c r="H99" s="2"/>
      <c r="I99" s="2"/>
      <c r="J99" s="2"/>
      <c r="K99" s="2"/>
      <c r="L99" s="2"/>
    </row>
    <row r="100" spans="1:12" ht="15">
      <c r="A100" s="2"/>
      <c r="B100" s="100"/>
      <c r="C100" s="100"/>
      <c r="D100" s="100"/>
      <c r="E100" s="100"/>
      <c r="F100" s="2"/>
      <c r="G100" s="2"/>
      <c r="H100" s="2"/>
      <c r="I100" s="2"/>
      <c r="J100" s="2"/>
      <c r="K100" s="2"/>
      <c r="L100" s="2"/>
    </row>
    <row r="101" spans="1:12" ht="15">
      <c r="A101" s="2"/>
      <c r="B101" s="100"/>
      <c r="C101" s="100"/>
      <c r="D101" s="100"/>
      <c r="E101" s="100"/>
      <c r="F101" s="2"/>
      <c r="G101" s="2"/>
      <c r="H101" s="2"/>
      <c r="I101" s="2"/>
      <c r="J101" s="2"/>
      <c r="K101" s="2"/>
      <c r="L101" s="2"/>
    </row>
    <row r="102" spans="1:12" ht="15">
      <c r="A102" s="2"/>
      <c r="B102" s="100"/>
      <c r="C102" s="100"/>
      <c r="D102" s="100"/>
      <c r="E102" s="100"/>
      <c r="F102" s="2"/>
      <c r="G102" s="2"/>
      <c r="H102" s="2"/>
      <c r="I102" s="2"/>
      <c r="J102" s="2"/>
      <c r="K102" s="2"/>
      <c r="L102" s="2"/>
    </row>
    <row r="103" spans="1:12" ht="15">
      <c r="A103" s="2"/>
      <c r="B103" s="100"/>
      <c r="C103" s="100"/>
      <c r="D103" s="100"/>
      <c r="E103" s="100"/>
      <c r="F103" s="2"/>
      <c r="G103" s="2"/>
      <c r="H103" s="2"/>
      <c r="I103" s="2"/>
      <c r="J103" s="2"/>
      <c r="K103" s="2"/>
      <c r="L103" s="2"/>
    </row>
    <row r="104" spans="1:12" ht="15">
      <c r="A104" s="2"/>
      <c r="B104" s="100"/>
      <c r="C104" s="100"/>
      <c r="D104" s="100"/>
      <c r="E104" s="100"/>
      <c r="F104" s="2"/>
      <c r="G104" s="2"/>
      <c r="H104" s="2"/>
      <c r="I104" s="2"/>
      <c r="J104" s="2"/>
      <c r="K104" s="2"/>
      <c r="L104" s="2"/>
    </row>
    <row r="105" spans="1:12" ht="15">
      <c r="A105" s="2"/>
      <c r="B105" s="100"/>
      <c r="C105" s="100"/>
      <c r="D105" s="100"/>
      <c r="E105" s="100"/>
      <c r="F105" s="2"/>
      <c r="G105" s="2"/>
      <c r="H105" s="2"/>
      <c r="I105" s="2"/>
      <c r="J105" s="2"/>
      <c r="K105" s="2"/>
      <c r="L105" s="2"/>
    </row>
    <row r="106" spans="1:12" ht="15">
      <c r="A106" s="2"/>
      <c r="B106" s="100"/>
      <c r="C106" s="100"/>
      <c r="D106" s="100"/>
      <c r="E106" s="100"/>
      <c r="F106" s="2"/>
      <c r="G106" s="2"/>
      <c r="H106" s="2"/>
      <c r="I106" s="2"/>
      <c r="J106" s="2"/>
      <c r="K106" s="2"/>
      <c r="L106" s="2"/>
    </row>
    <row r="107" spans="1:12" ht="15">
      <c r="A107" s="2"/>
      <c r="B107" s="100"/>
      <c r="C107" s="100"/>
      <c r="D107" s="100"/>
      <c r="E107" s="100"/>
      <c r="F107" s="2"/>
      <c r="G107" s="2"/>
      <c r="H107" s="2"/>
      <c r="I107" s="2"/>
      <c r="J107" s="2"/>
      <c r="K107" s="2"/>
      <c r="L107" s="2"/>
    </row>
    <row r="108" spans="1:12" ht="15">
      <c r="A108" s="2"/>
      <c r="B108" s="100"/>
      <c r="C108" s="100"/>
      <c r="D108" s="100"/>
      <c r="E108" s="100"/>
      <c r="F108" s="2"/>
      <c r="G108" s="2"/>
      <c r="H108" s="2"/>
      <c r="I108" s="2"/>
      <c r="J108" s="2"/>
      <c r="K108" s="2"/>
      <c r="L108" s="2"/>
    </row>
    <row r="109" spans="1:12" ht="15">
      <c r="A109" s="2"/>
      <c r="B109" s="100"/>
      <c r="C109" s="100"/>
      <c r="D109" s="100"/>
      <c r="E109" s="100"/>
      <c r="F109" s="2"/>
      <c r="G109" s="2"/>
      <c r="H109" s="2"/>
      <c r="I109" s="2"/>
      <c r="J109" s="2"/>
      <c r="K109" s="2"/>
      <c r="L109" s="2"/>
    </row>
    <row r="110" spans="1:12" ht="15">
      <c r="A110" s="2"/>
      <c r="B110" s="100"/>
      <c r="C110" s="100"/>
      <c r="D110" s="100"/>
      <c r="E110" s="100"/>
      <c r="F110" s="2"/>
      <c r="G110" s="2"/>
      <c r="H110" s="2"/>
      <c r="I110" s="2"/>
      <c r="J110" s="2"/>
      <c r="K110" s="2"/>
      <c r="L110" s="2"/>
    </row>
    <row r="111" spans="1:12" ht="15">
      <c r="A111" s="2"/>
      <c r="B111" s="100"/>
      <c r="C111" s="100"/>
      <c r="D111" s="100"/>
      <c r="E111" s="100"/>
      <c r="F111" s="2"/>
      <c r="G111" s="2"/>
      <c r="H111" s="2"/>
      <c r="I111" s="2"/>
      <c r="J111" s="2"/>
      <c r="K111" s="2"/>
      <c r="L111" s="2"/>
    </row>
    <row r="112" spans="1:12" ht="15">
      <c r="A112" s="2"/>
      <c r="B112" s="100"/>
      <c r="C112" s="100"/>
      <c r="D112" s="100"/>
      <c r="E112" s="100"/>
      <c r="F112" s="2"/>
      <c r="G112" s="2"/>
      <c r="H112" s="2"/>
      <c r="I112" s="2"/>
      <c r="J112" s="2"/>
      <c r="K112" s="2"/>
      <c r="L112" s="2"/>
    </row>
    <row r="113" spans="1:12" ht="15">
      <c r="A113" s="2"/>
      <c r="B113" s="100"/>
      <c r="C113" s="100"/>
      <c r="D113" s="100"/>
      <c r="E113" s="100"/>
      <c r="F113" s="2"/>
      <c r="G113" s="2"/>
      <c r="H113" s="2"/>
      <c r="I113" s="2"/>
      <c r="J113" s="2"/>
      <c r="K113" s="2"/>
      <c r="L113" s="2"/>
    </row>
  </sheetData>
  <mergeCells count="4">
    <mergeCell ref="A13:E13"/>
    <mergeCell ref="A20:E20"/>
    <mergeCell ref="A27:E27"/>
    <mergeCell ref="A34:E34"/>
  </mergeCells>
  <phoneticPr fontId="7" type="noConversion"/>
  <pageMargins left="0.75" right="0.75" top="1" bottom="1" header="0.5" footer="0.5"/>
  <pageSetup paperSize="9" scale="5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26"/>
  <sheetViews>
    <sheetView workbookViewId="0">
      <selection activeCell="A2" sqref="A2"/>
    </sheetView>
  </sheetViews>
  <sheetFormatPr defaultRowHeight="12.75"/>
  <cols>
    <col min="1" max="1" width="18.28515625" customWidth="1"/>
    <col min="2" max="2" width="23.7109375" customWidth="1"/>
    <col min="3" max="3" width="22.7109375" customWidth="1"/>
  </cols>
  <sheetData>
    <row r="1" spans="1:3">
      <c r="A1" s="404" t="s">
        <v>33</v>
      </c>
    </row>
    <row r="2" spans="1:3">
      <c r="A2" s="404" t="s">
        <v>241</v>
      </c>
    </row>
    <row r="9" spans="1:3" ht="16.5">
      <c r="A9" s="239" t="s">
        <v>270</v>
      </c>
    </row>
    <row r="10" spans="1:3" ht="15.75">
      <c r="A10" s="212" t="s">
        <v>239</v>
      </c>
    </row>
    <row r="11" spans="1:3" ht="15.75">
      <c r="A11" s="212" t="s">
        <v>240</v>
      </c>
    </row>
    <row r="12" spans="1:3" ht="15.75">
      <c r="A12" s="212"/>
    </row>
    <row r="14" spans="1:3" ht="14.25">
      <c r="A14" s="460" t="s">
        <v>263</v>
      </c>
      <c r="B14" s="460"/>
      <c r="C14" s="460"/>
    </row>
    <row r="15" spans="1:3" ht="14.25">
      <c r="A15" s="370" t="s">
        <v>264</v>
      </c>
      <c r="B15" s="370" t="s">
        <v>265</v>
      </c>
      <c r="C15" s="272" t="s">
        <v>266</v>
      </c>
    </row>
    <row r="16" spans="1:3" s="179" customFormat="1">
      <c r="A16" s="371" t="s">
        <v>199</v>
      </c>
      <c r="B16" s="371" t="s">
        <v>267</v>
      </c>
      <c r="C16" s="374">
        <v>15889</v>
      </c>
    </row>
    <row r="17" spans="1:3">
      <c r="A17" s="371" t="s">
        <v>204</v>
      </c>
      <c r="B17" s="371" t="s">
        <v>267</v>
      </c>
      <c r="C17" s="374">
        <f>9503+1146+240+1099+11</f>
        <v>11999</v>
      </c>
    </row>
    <row r="18" spans="1:3">
      <c r="A18" s="371" t="s">
        <v>269</v>
      </c>
      <c r="B18" s="371" t="s">
        <v>267</v>
      </c>
      <c r="C18" s="374">
        <v>13648</v>
      </c>
    </row>
    <row r="19" spans="1:3">
      <c r="A19" s="371" t="s">
        <v>268</v>
      </c>
      <c r="B19" s="371" t="s">
        <v>267</v>
      </c>
      <c r="C19" s="375">
        <v>24133</v>
      </c>
    </row>
    <row r="20" spans="1:3">
      <c r="A20" s="371" t="s">
        <v>167</v>
      </c>
      <c r="B20" s="371"/>
      <c r="C20" s="374">
        <v>103121</v>
      </c>
    </row>
    <row r="21" spans="1:3">
      <c r="A21" s="461" t="s">
        <v>694</v>
      </c>
      <c r="B21" s="461"/>
      <c r="C21" s="374">
        <f>SUM(C16:C20)</f>
        <v>168790</v>
      </c>
    </row>
    <row r="22" spans="1:3">
      <c r="C22" s="372"/>
    </row>
    <row r="26" spans="1:3" ht="15.75">
      <c r="A26" s="240" t="s">
        <v>547</v>
      </c>
    </row>
  </sheetData>
  <mergeCells count="2">
    <mergeCell ref="A14:C14"/>
    <mergeCell ref="A21:B21"/>
  </mergeCells>
  <phoneticPr fontId="7" type="noConversion"/>
  <printOptions horizontalCentered="1"/>
  <pageMargins left="0.11811023622047245" right="0.19685039370078741" top="0.98425196850393704" bottom="0.98425196850393704" header="0.51181102362204722" footer="0.51181102362204722"/>
  <pageSetup paperSize="9" orientation="portrait" horizont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AC90"/>
  <sheetViews>
    <sheetView workbookViewId="0">
      <selection activeCell="A2" sqref="A2"/>
    </sheetView>
  </sheetViews>
  <sheetFormatPr defaultRowHeight="12.75"/>
  <cols>
    <col min="1" max="1" width="46.28515625" customWidth="1"/>
    <col min="2" max="3" width="16.5703125" customWidth="1"/>
    <col min="4" max="4" width="13" customWidth="1"/>
    <col min="5" max="5" width="18.140625" customWidth="1"/>
    <col min="6" max="6" width="16.28515625" customWidth="1"/>
    <col min="7" max="7" width="17.42578125" customWidth="1"/>
    <col min="8" max="8" width="22.28515625" customWidth="1"/>
    <col min="9" max="9" width="22.140625" customWidth="1"/>
    <col min="10" max="10" width="21.7109375" customWidth="1"/>
    <col min="11" max="13" width="10.140625" bestFit="1" customWidth="1"/>
    <col min="14" max="14" width="13.7109375" bestFit="1" customWidth="1"/>
  </cols>
  <sheetData>
    <row r="1" spans="1:29">
      <c r="A1" s="404" t="s">
        <v>206</v>
      </c>
    </row>
    <row r="2" spans="1:29">
      <c r="A2" s="404" t="s">
        <v>243</v>
      </c>
    </row>
    <row r="3" spans="1:29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29" ht="16.5">
      <c r="A4" s="54" t="s">
        <v>242</v>
      </c>
      <c r="B4" s="55"/>
      <c r="C4" s="55"/>
      <c r="D4" s="55"/>
      <c r="E4" s="55"/>
      <c r="F4" s="55"/>
      <c r="G4" s="55"/>
      <c r="H4" s="55"/>
      <c r="I4" s="55"/>
      <c r="J4" s="2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25.5">
      <c r="A5" s="56" t="s">
        <v>783</v>
      </c>
      <c r="B5" s="57" t="s">
        <v>784</v>
      </c>
      <c r="C5" s="57" t="s">
        <v>902</v>
      </c>
      <c r="D5" s="139">
        <v>2013</v>
      </c>
      <c r="E5" s="139">
        <v>2014</v>
      </c>
      <c r="F5" s="139">
        <v>2015</v>
      </c>
      <c r="G5" s="139">
        <v>2016</v>
      </c>
      <c r="H5" s="139">
        <v>2017</v>
      </c>
      <c r="I5" s="139">
        <v>2018</v>
      </c>
      <c r="J5" s="139">
        <v>2019</v>
      </c>
      <c r="K5" s="139">
        <v>2020</v>
      </c>
      <c r="L5" s="139">
        <v>2021</v>
      </c>
      <c r="M5" s="139">
        <v>2022</v>
      </c>
      <c r="N5" s="20" t="s">
        <v>903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5">
      <c r="A6" s="58" t="s">
        <v>785</v>
      </c>
      <c r="B6" s="58"/>
      <c r="C6" s="132"/>
      <c r="D6" s="132"/>
      <c r="E6" s="132"/>
      <c r="F6" s="132"/>
      <c r="G6" s="132"/>
      <c r="H6" s="132"/>
      <c r="I6" s="132"/>
      <c r="J6" s="132"/>
      <c r="K6" s="90"/>
      <c r="L6" s="90"/>
      <c r="M6" s="90"/>
      <c r="N6" s="238">
        <f t="shared" ref="N6:N17" si="0">SUM(C6:M6)</f>
        <v>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5">
      <c r="A7" s="36"/>
      <c r="B7" s="36"/>
      <c r="C7" s="130"/>
      <c r="D7" s="130"/>
      <c r="E7" s="130"/>
      <c r="F7" s="130"/>
      <c r="G7" s="130"/>
      <c r="H7" s="130"/>
      <c r="I7" s="130"/>
      <c r="J7" s="130"/>
      <c r="K7" s="90"/>
      <c r="L7" s="90"/>
      <c r="M7" s="90"/>
      <c r="N7" s="238">
        <f t="shared" si="0"/>
        <v>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5">
      <c r="A8" s="58" t="s">
        <v>786</v>
      </c>
      <c r="B8" s="58"/>
      <c r="C8" s="132"/>
      <c r="D8" s="132"/>
      <c r="E8" s="132"/>
      <c r="F8" s="132"/>
      <c r="G8" s="132"/>
      <c r="H8" s="132"/>
      <c r="I8" s="132"/>
      <c r="J8" s="132"/>
      <c r="K8" s="90"/>
      <c r="L8" s="90"/>
      <c r="M8" s="90"/>
      <c r="N8" s="238">
        <f t="shared" si="0"/>
        <v>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30">
      <c r="A9" s="171" t="s">
        <v>885</v>
      </c>
      <c r="B9" s="36">
        <v>2013</v>
      </c>
      <c r="C9" s="130">
        <v>0</v>
      </c>
      <c r="D9" s="130">
        <v>50000</v>
      </c>
      <c r="E9" s="130"/>
      <c r="F9" s="130"/>
      <c r="G9" s="130"/>
      <c r="H9" s="130"/>
      <c r="I9" s="130"/>
      <c r="J9" s="130"/>
      <c r="K9" s="90"/>
      <c r="L9" s="90"/>
      <c r="M9" s="90"/>
      <c r="N9" s="238">
        <f t="shared" si="0"/>
        <v>50000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">
      <c r="A10" s="58" t="s">
        <v>787</v>
      </c>
      <c r="B10" s="58"/>
      <c r="C10" s="132"/>
      <c r="D10" s="132"/>
      <c r="E10" s="132"/>
      <c r="F10" s="132"/>
      <c r="G10" s="132"/>
      <c r="H10" s="132"/>
      <c r="I10" s="132"/>
      <c r="J10" s="132"/>
      <c r="K10" s="90"/>
      <c r="L10" s="90"/>
      <c r="M10" s="90"/>
      <c r="N10" s="238">
        <f t="shared" si="0"/>
        <v>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">
      <c r="A11" s="36"/>
      <c r="B11" s="36"/>
      <c r="C11" s="130"/>
      <c r="D11" s="130"/>
      <c r="E11" s="130"/>
      <c r="F11" s="130"/>
      <c r="G11" s="130"/>
      <c r="H11" s="130"/>
      <c r="I11" s="130"/>
      <c r="J11" s="130"/>
      <c r="K11" s="90"/>
      <c r="L11" s="90"/>
      <c r="M11" s="90"/>
      <c r="N11" s="238">
        <f t="shared" si="0"/>
        <v>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">
      <c r="A12" s="58" t="s">
        <v>788</v>
      </c>
      <c r="B12" s="58"/>
      <c r="C12" s="132"/>
      <c r="D12" s="132"/>
      <c r="E12" s="132"/>
      <c r="F12" s="132"/>
      <c r="G12" s="132"/>
      <c r="H12" s="132"/>
      <c r="I12" s="132"/>
      <c r="J12" s="132"/>
      <c r="K12" s="90"/>
      <c r="L12" s="90"/>
      <c r="M12" s="90"/>
      <c r="N12" s="238">
        <f t="shared" si="0"/>
        <v>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">
      <c r="A13" s="58"/>
      <c r="B13" s="58"/>
      <c r="C13" s="132"/>
      <c r="D13" s="132"/>
      <c r="E13" s="132"/>
      <c r="F13" s="132"/>
      <c r="G13" s="132"/>
      <c r="H13" s="132"/>
      <c r="I13" s="132"/>
      <c r="J13" s="132"/>
      <c r="K13" s="90"/>
      <c r="L13" s="90"/>
      <c r="M13" s="90"/>
      <c r="N13" s="238">
        <f t="shared" si="0"/>
        <v>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">
      <c r="A14" s="138" t="s">
        <v>875</v>
      </c>
      <c r="B14" s="2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238"/>
      <c r="N14" s="238">
        <f t="shared" si="0"/>
        <v>0</v>
      </c>
    </row>
    <row r="15" spans="1:29" ht="15">
      <c r="A15" s="141" t="s">
        <v>876</v>
      </c>
      <c r="B15" s="20">
        <v>2011</v>
      </c>
      <c r="C15" s="90">
        <v>0</v>
      </c>
      <c r="D15" s="140">
        <f t="shared" ref="D15:M15" si="1">3000000/1000</f>
        <v>3000</v>
      </c>
      <c r="E15" s="140">
        <f t="shared" si="1"/>
        <v>3000</v>
      </c>
      <c r="F15" s="140">
        <f t="shared" si="1"/>
        <v>3000</v>
      </c>
      <c r="G15" s="140">
        <f t="shared" si="1"/>
        <v>3000</v>
      </c>
      <c r="H15" s="140">
        <f t="shared" si="1"/>
        <v>3000</v>
      </c>
      <c r="I15" s="140">
        <f t="shared" si="1"/>
        <v>3000</v>
      </c>
      <c r="J15" s="140">
        <f t="shared" si="1"/>
        <v>3000</v>
      </c>
      <c r="K15" s="140">
        <f t="shared" si="1"/>
        <v>3000</v>
      </c>
      <c r="L15" s="140">
        <f t="shared" si="1"/>
        <v>3000</v>
      </c>
      <c r="M15" s="140">
        <f t="shared" si="1"/>
        <v>3000</v>
      </c>
      <c r="N15" s="238">
        <f t="shared" si="0"/>
        <v>30000</v>
      </c>
    </row>
    <row r="16" spans="1:29" ht="15">
      <c r="A16" s="142" t="s">
        <v>877</v>
      </c>
      <c r="B16" s="20">
        <v>2011</v>
      </c>
      <c r="C16" s="90">
        <v>0</v>
      </c>
      <c r="D16" s="140">
        <f t="shared" ref="D16:I16" si="2">21250000/1000</f>
        <v>21250</v>
      </c>
      <c r="E16" s="140">
        <f t="shared" si="2"/>
        <v>21250</v>
      </c>
      <c r="F16" s="140">
        <f t="shared" si="2"/>
        <v>21250</v>
      </c>
      <c r="G16" s="140">
        <f t="shared" si="2"/>
        <v>21250</v>
      </c>
      <c r="H16" s="140">
        <f t="shared" si="2"/>
        <v>21250</v>
      </c>
      <c r="I16" s="140">
        <f t="shared" si="2"/>
        <v>21250</v>
      </c>
      <c r="J16" s="140"/>
      <c r="K16" s="140"/>
      <c r="L16" s="140"/>
      <c r="M16" s="140"/>
      <c r="N16" s="238">
        <f t="shared" si="0"/>
        <v>127500</v>
      </c>
    </row>
    <row r="17" spans="1:29" ht="15">
      <c r="A17" s="58"/>
      <c r="B17" s="58"/>
      <c r="C17" s="132"/>
      <c r="D17" s="132"/>
      <c r="E17" s="132"/>
      <c r="F17" s="132"/>
      <c r="G17" s="132"/>
      <c r="H17" s="132"/>
      <c r="I17" s="132"/>
      <c r="J17" s="132"/>
      <c r="K17" s="90"/>
      <c r="L17" s="90"/>
      <c r="M17" s="90"/>
      <c r="N17" s="238">
        <f t="shared" si="0"/>
        <v>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6.5">
      <c r="A18" s="34" t="s">
        <v>789</v>
      </c>
      <c r="B18" s="36"/>
      <c r="C18" s="130">
        <f t="shared" ref="C18:N18" si="3">SUM(C6:C17)</f>
        <v>0</v>
      </c>
      <c r="D18" s="130">
        <f t="shared" si="3"/>
        <v>74250</v>
      </c>
      <c r="E18" s="130">
        <f t="shared" si="3"/>
        <v>24250</v>
      </c>
      <c r="F18" s="130">
        <f t="shared" si="3"/>
        <v>24250</v>
      </c>
      <c r="G18" s="130">
        <f t="shared" si="3"/>
        <v>24250</v>
      </c>
      <c r="H18" s="130">
        <f t="shared" si="3"/>
        <v>24250</v>
      </c>
      <c r="I18" s="130">
        <f t="shared" si="3"/>
        <v>24250</v>
      </c>
      <c r="J18" s="130">
        <f t="shared" si="3"/>
        <v>3000</v>
      </c>
      <c r="K18" s="130">
        <f t="shared" si="3"/>
        <v>3000</v>
      </c>
      <c r="L18" s="130">
        <f t="shared" si="3"/>
        <v>3000</v>
      </c>
      <c r="M18" s="130">
        <f t="shared" si="3"/>
        <v>3000</v>
      </c>
      <c r="N18" s="130">
        <f t="shared" si="3"/>
        <v>207500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">
      <c r="A20" s="2" t="s">
        <v>205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29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29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29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29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29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29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29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29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29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29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29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29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29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29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</sheetData>
  <phoneticPr fontId="7" type="noConversion"/>
  <pageMargins left="0.75" right="0.75" top="1" bottom="1" header="0.5" footer="0.5"/>
  <pageSetup paperSize="9" scale="6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K15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5"/>
  <cols>
    <col min="1" max="1" width="88.7109375" style="275" customWidth="1"/>
    <col min="2" max="2" width="14.140625" style="369" customWidth="1"/>
    <col min="3" max="3" width="12.7109375" style="369" customWidth="1"/>
    <col min="4" max="7" width="10.85546875" style="369" customWidth="1"/>
    <col min="8" max="9" width="13" style="369" customWidth="1"/>
    <col min="10" max="10" width="13.7109375" style="275" customWidth="1"/>
    <col min="11" max="11" width="12.85546875" style="275" customWidth="1"/>
    <col min="12" max="16384" width="9.140625" style="275"/>
  </cols>
  <sheetData>
    <row r="1" spans="1:11" ht="30.75" customHeight="1">
      <c r="A1" s="363" t="s">
        <v>207</v>
      </c>
      <c r="B1" s="382"/>
      <c r="C1" s="382"/>
    </row>
    <row r="2" spans="1:11">
      <c r="A2" s="363" t="s">
        <v>244</v>
      </c>
      <c r="B2" s="382"/>
      <c r="C2" s="382"/>
    </row>
    <row r="3" spans="1:11" ht="18">
      <c r="A3" s="284"/>
      <c r="B3" s="382"/>
      <c r="C3" s="382"/>
    </row>
    <row r="4" spans="1:11" ht="56.25" customHeight="1">
      <c r="A4" s="376"/>
      <c r="B4" s="468" t="s">
        <v>540</v>
      </c>
      <c r="C4" s="469"/>
      <c r="D4" s="464" t="s">
        <v>534</v>
      </c>
      <c r="E4" s="464"/>
      <c r="F4" s="464" t="s">
        <v>806</v>
      </c>
      <c r="G4" s="464"/>
      <c r="H4" s="464" t="s">
        <v>541</v>
      </c>
      <c r="I4" s="464"/>
      <c r="J4" s="462" t="s">
        <v>630</v>
      </c>
      <c r="K4" s="463"/>
    </row>
    <row r="5" spans="1:11">
      <c r="A5" s="316" t="s">
        <v>629</v>
      </c>
      <c r="B5" s="378" t="s">
        <v>322</v>
      </c>
      <c r="C5" s="378" t="s">
        <v>323</v>
      </c>
      <c r="D5" s="378" t="s">
        <v>322</v>
      </c>
      <c r="E5" s="378" t="s">
        <v>323</v>
      </c>
      <c r="F5" s="378" t="s">
        <v>322</v>
      </c>
      <c r="G5" s="378" t="s">
        <v>323</v>
      </c>
      <c r="H5" s="378" t="s">
        <v>322</v>
      </c>
      <c r="I5" s="378" t="s">
        <v>323</v>
      </c>
      <c r="J5" s="321" t="s">
        <v>322</v>
      </c>
      <c r="K5" s="321" t="s">
        <v>323</v>
      </c>
    </row>
    <row r="6" spans="1:11">
      <c r="A6" s="465" t="s">
        <v>548</v>
      </c>
      <c r="B6" s="466"/>
      <c r="C6" s="467"/>
      <c r="D6" s="379"/>
      <c r="E6" s="379"/>
      <c r="F6" s="379"/>
      <c r="G6" s="379"/>
      <c r="H6" s="379"/>
      <c r="I6" s="379"/>
      <c r="J6" s="377"/>
      <c r="K6" s="377"/>
    </row>
    <row r="7" spans="1:11">
      <c r="A7" s="317" t="s">
        <v>324</v>
      </c>
      <c r="B7" s="383"/>
      <c r="C7" s="383"/>
      <c r="D7" s="380"/>
      <c r="E7" s="380"/>
      <c r="F7" s="380"/>
      <c r="G7" s="380"/>
      <c r="H7" s="380"/>
      <c r="I7" s="380"/>
      <c r="J7" s="361">
        <f>B7+D7+F7+H7</f>
        <v>0</v>
      </c>
      <c r="K7" s="361">
        <f>C7+E7+G7+I7</f>
        <v>0</v>
      </c>
    </row>
    <row r="8" spans="1:11">
      <c r="A8" s="317" t="s">
        <v>325</v>
      </c>
      <c r="B8" s="383"/>
      <c r="C8" s="383"/>
      <c r="D8" s="380"/>
      <c r="E8" s="380"/>
      <c r="F8" s="380"/>
      <c r="G8" s="380"/>
      <c r="H8" s="380"/>
      <c r="I8" s="380"/>
      <c r="J8" s="361">
        <f t="shared" ref="J8:J71" si="0">B8+D8+F8+H8</f>
        <v>0</v>
      </c>
      <c r="K8" s="361">
        <f t="shared" ref="K8:K71" si="1">C8+E8+G8+I8</f>
        <v>0</v>
      </c>
    </row>
    <row r="9" spans="1:11">
      <c r="A9" s="317" t="s">
        <v>326</v>
      </c>
      <c r="B9" s="383"/>
      <c r="C9" s="383"/>
      <c r="D9" s="380"/>
      <c r="E9" s="380"/>
      <c r="F9" s="380"/>
      <c r="G9" s="380"/>
      <c r="H9" s="380">
        <v>10864</v>
      </c>
      <c r="I9" s="380">
        <v>11267</v>
      </c>
      <c r="J9" s="361">
        <f t="shared" si="0"/>
        <v>10864</v>
      </c>
      <c r="K9" s="361">
        <f t="shared" si="1"/>
        <v>11267</v>
      </c>
    </row>
    <row r="10" spans="1:11">
      <c r="A10" s="317" t="s">
        <v>327</v>
      </c>
      <c r="B10" s="383"/>
      <c r="C10" s="383"/>
      <c r="D10" s="380"/>
      <c r="E10" s="380"/>
      <c r="F10" s="380"/>
      <c r="G10" s="380"/>
      <c r="H10" s="380"/>
      <c r="I10" s="380"/>
      <c r="J10" s="361">
        <f t="shared" si="0"/>
        <v>0</v>
      </c>
      <c r="K10" s="361">
        <f t="shared" si="1"/>
        <v>0</v>
      </c>
    </row>
    <row r="11" spans="1:11">
      <c r="A11" s="317" t="s">
        <v>328</v>
      </c>
      <c r="B11" s="383"/>
      <c r="C11" s="383"/>
      <c r="D11" s="380"/>
      <c r="E11" s="380"/>
      <c r="F11" s="380"/>
      <c r="G11" s="380"/>
      <c r="H11" s="380"/>
      <c r="I11" s="380"/>
      <c r="J11" s="361">
        <f t="shared" si="0"/>
        <v>0</v>
      </c>
      <c r="K11" s="361">
        <f t="shared" si="1"/>
        <v>0</v>
      </c>
    </row>
    <row r="12" spans="1:11">
      <c r="A12" s="317" t="s">
        <v>329</v>
      </c>
      <c r="B12" s="383"/>
      <c r="C12" s="383"/>
      <c r="D12" s="380"/>
      <c r="E12" s="380"/>
      <c r="F12" s="380"/>
      <c r="G12" s="380"/>
      <c r="H12" s="380"/>
      <c r="I12" s="380"/>
      <c r="J12" s="361">
        <f t="shared" si="0"/>
        <v>0</v>
      </c>
      <c r="K12" s="361">
        <f t="shared" si="1"/>
        <v>0</v>
      </c>
    </row>
    <row r="13" spans="1:11">
      <c r="A13" s="315" t="s">
        <v>330</v>
      </c>
      <c r="B13" s="384"/>
      <c r="C13" s="384"/>
      <c r="D13" s="380"/>
      <c r="E13" s="380"/>
      <c r="F13" s="380"/>
      <c r="G13" s="380"/>
      <c r="H13" s="380">
        <v>10864</v>
      </c>
      <c r="I13" s="380">
        <v>11267</v>
      </c>
      <c r="J13" s="361">
        <f t="shared" si="0"/>
        <v>10864</v>
      </c>
      <c r="K13" s="361">
        <f t="shared" si="1"/>
        <v>11267</v>
      </c>
    </row>
    <row r="14" spans="1:11">
      <c r="A14" s="317" t="s">
        <v>331</v>
      </c>
      <c r="B14" s="383"/>
      <c r="C14" s="383"/>
      <c r="D14" s="380"/>
      <c r="E14" s="380"/>
      <c r="F14" s="380"/>
      <c r="G14" s="380"/>
      <c r="H14" s="380">
        <v>3587828</v>
      </c>
      <c r="I14" s="380">
        <v>3226456</v>
      </c>
      <c r="J14" s="361">
        <f t="shared" si="0"/>
        <v>3587828</v>
      </c>
      <c r="K14" s="361">
        <f t="shared" si="1"/>
        <v>3226456</v>
      </c>
    </row>
    <row r="15" spans="1:11">
      <c r="A15" s="317" t="s">
        <v>332</v>
      </c>
      <c r="B15" s="383">
        <v>0</v>
      </c>
      <c r="C15" s="383">
        <v>134</v>
      </c>
      <c r="D15" s="380">
        <v>143</v>
      </c>
      <c r="E15" s="380">
        <v>1217</v>
      </c>
      <c r="F15" s="380">
        <v>830</v>
      </c>
      <c r="G15" s="380">
        <v>913</v>
      </c>
      <c r="H15" s="380">
        <v>594</v>
      </c>
      <c r="I15" s="380">
        <v>12699</v>
      </c>
      <c r="J15" s="361">
        <f t="shared" si="0"/>
        <v>1567</v>
      </c>
      <c r="K15" s="361">
        <f t="shared" si="1"/>
        <v>14963</v>
      </c>
    </row>
    <row r="16" spans="1:11">
      <c r="A16" s="317" t="s">
        <v>333</v>
      </c>
      <c r="B16" s="383"/>
      <c r="C16" s="383"/>
      <c r="D16" s="380"/>
      <c r="E16" s="380"/>
      <c r="F16" s="380"/>
      <c r="G16" s="380"/>
      <c r="H16" s="380"/>
      <c r="I16" s="380">
        <v>1629</v>
      </c>
      <c r="J16" s="361">
        <f t="shared" si="0"/>
        <v>0</v>
      </c>
      <c r="K16" s="361">
        <f t="shared" si="1"/>
        <v>1629</v>
      </c>
    </row>
    <row r="17" spans="1:11">
      <c r="A17" s="317" t="s">
        <v>334</v>
      </c>
      <c r="B17" s="383"/>
      <c r="C17" s="383"/>
      <c r="D17" s="380"/>
      <c r="E17" s="380"/>
      <c r="F17" s="380"/>
      <c r="G17" s="380"/>
      <c r="H17" s="380"/>
      <c r="I17" s="380"/>
      <c r="J17" s="361">
        <f t="shared" si="0"/>
        <v>0</v>
      </c>
      <c r="K17" s="361">
        <f t="shared" si="1"/>
        <v>0</v>
      </c>
    </row>
    <row r="18" spans="1:11">
      <c r="A18" s="317" t="s">
        <v>335</v>
      </c>
      <c r="B18" s="383">
        <v>0</v>
      </c>
      <c r="C18" s="383">
        <v>578</v>
      </c>
      <c r="D18" s="380"/>
      <c r="E18" s="380"/>
      <c r="F18" s="380"/>
      <c r="G18" s="380"/>
      <c r="H18" s="380">
        <v>7871</v>
      </c>
      <c r="I18" s="380">
        <v>25709</v>
      </c>
      <c r="J18" s="361">
        <f t="shared" si="0"/>
        <v>7871</v>
      </c>
      <c r="K18" s="361">
        <f t="shared" si="1"/>
        <v>26287</v>
      </c>
    </row>
    <row r="19" spans="1:11">
      <c r="A19" s="317" t="s">
        <v>336</v>
      </c>
      <c r="B19" s="383"/>
      <c r="C19" s="383"/>
      <c r="D19" s="380"/>
      <c r="E19" s="380"/>
      <c r="F19" s="380"/>
      <c r="G19" s="380"/>
      <c r="H19" s="380"/>
      <c r="I19" s="380"/>
      <c r="J19" s="361">
        <f t="shared" si="0"/>
        <v>0</v>
      </c>
      <c r="K19" s="361">
        <f t="shared" si="1"/>
        <v>0</v>
      </c>
    </row>
    <row r="20" spans="1:11">
      <c r="A20" s="317" t="s">
        <v>337</v>
      </c>
      <c r="B20" s="383"/>
      <c r="C20" s="383"/>
      <c r="D20" s="380"/>
      <c r="E20" s="380"/>
      <c r="F20" s="380"/>
      <c r="G20" s="380"/>
      <c r="H20" s="380"/>
      <c r="I20" s="380"/>
      <c r="J20" s="361">
        <f t="shared" si="0"/>
        <v>0</v>
      </c>
      <c r="K20" s="361">
        <f t="shared" si="1"/>
        <v>0</v>
      </c>
    </row>
    <row r="21" spans="1:11">
      <c r="A21" s="317" t="s">
        <v>338</v>
      </c>
      <c r="B21" s="383"/>
      <c r="C21" s="383"/>
      <c r="D21" s="380"/>
      <c r="E21" s="380"/>
      <c r="F21" s="380"/>
      <c r="G21" s="380"/>
      <c r="H21" s="380"/>
      <c r="I21" s="380"/>
      <c r="J21" s="361">
        <f t="shared" si="0"/>
        <v>0</v>
      </c>
      <c r="K21" s="361">
        <f t="shared" si="1"/>
        <v>0</v>
      </c>
    </row>
    <row r="22" spans="1:11">
      <c r="A22" s="315" t="s">
        <v>339</v>
      </c>
      <c r="B22" s="384"/>
      <c r="C22" s="384"/>
      <c r="D22" s="380">
        <v>143</v>
      </c>
      <c r="E22" s="380">
        <v>1217</v>
      </c>
      <c r="F22" s="380">
        <v>830</v>
      </c>
      <c r="G22" s="380">
        <v>913</v>
      </c>
      <c r="H22" s="380">
        <v>3596293</v>
      </c>
      <c r="I22" s="380">
        <v>3266493</v>
      </c>
      <c r="J22" s="361">
        <f t="shared" si="0"/>
        <v>3597266</v>
      </c>
      <c r="K22" s="361">
        <f t="shared" si="1"/>
        <v>3268623</v>
      </c>
    </row>
    <row r="23" spans="1:11">
      <c r="A23" s="317" t="s">
        <v>340</v>
      </c>
      <c r="B23" s="383"/>
      <c r="C23" s="383"/>
      <c r="D23" s="380"/>
      <c r="E23" s="380"/>
      <c r="F23" s="380"/>
      <c r="G23" s="380"/>
      <c r="H23" s="380">
        <v>53960</v>
      </c>
      <c r="I23" s="380">
        <v>53960</v>
      </c>
      <c r="J23" s="361">
        <f t="shared" si="0"/>
        <v>53960</v>
      </c>
      <c r="K23" s="361">
        <f t="shared" si="1"/>
        <v>53960</v>
      </c>
    </row>
    <row r="24" spans="1:11">
      <c r="A24" s="317" t="s">
        <v>341</v>
      </c>
      <c r="B24" s="383"/>
      <c r="C24" s="383"/>
      <c r="D24" s="380"/>
      <c r="E24" s="380"/>
      <c r="F24" s="380"/>
      <c r="G24" s="380"/>
      <c r="H24" s="380"/>
      <c r="I24" s="380"/>
      <c r="J24" s="361">
        <f t="shared" si="0"/>
        <v>0</v>
      </c>
      <c r="K24" s="361">
        <f t="shared" si="1"/>
        <v>0</v>
      </c>
    </row>
    <row r="25" spans="1:11">
      <c r="A25" s="317" t="s">
        <v>342</v>
      </c>
      <c r="B25" s="383"/>
      <c r="C25" s="383"/>
      <c r="D25" s="380"/>
      <c r="E25" s="380"/>
      <c r="F25" s="380"/>
      <c r="G25" s="380"/>
      <c r="H25" s="380"/>
      <c r="I25" s="380"/>
      <c r="J25" s="361">
        <f t="shared" si="0"/>
        <v>0</v>
      </c>
      <c r="K25" s="361">
        <f t="shared" si="1"/>
        <v>0</v>
      </c>
    </row>
    <row r="26" spans="1:11">
      <c r="A26" s="317" t="s">
        <v>343</v>
      </c>
      <c r="B26" s="383"/>
      <c r="C26" s="383"/>
      <c r="D26" s="380"/>
      <c r="E26" s="380"/>
      <c r="F26" s="380"/>
      <c r="G26" s="380"/>
      <c r="H26" s="380">
        <v>1277</v>
      </c>
      <c r="I26" s="380">
        <v>447</v>
      </c>
      <c r="J26" s="361">
        <f t="shared" si="0"/>
        <v>1277</v>
      </c>
      <c r="K26" s="361">
        <f t="shared" si="1"/>
        <v>447</v>
      </c>
    </row>
    <row r="27" spans="1:11">
      <c r="A27" s="317" t="s">
        <v>344</v>
      </c>
      <c r="B27" s="383"/>
      <c r="C27" s="383"/>
      <c r="D27" s="380"/>
      <c r="E27" s="380"/>
      <c r="F27" s="380"/>
      <c r="G27" s="380"/>
      <c r="H27" s="380"/>
      <c r="I27" s="380"/>
      <c r="J27" s="361">
        <f t="shared" si="0"/>
        <v>0</v>
      </c>
      <c r="K27" s="361">
        <f t="shared" si="1"/>
        <v>0</v>
      </c>
    </row>
    <row r="28" spans="1:11">
      <c r="A28" s="317" t="s">
        <v>345</v>
      </c>
      <c r="B28" s="383"/>
      <c r="C28" s="383"/>
      <c r="D28" s="380"/>
      <c r="E28" s="380"/>
      <c r="F28" s="380"/>
      <c r="G28" s="380"/>
      <c r="H28" s="380"/>
      <c r="I28" s="380"/>
      <c r="J28" s="361">
        <f t="shared" si="0"/>
        <v>0</v>
      </c>
      <c r="K28" s="361">
        <f t="shared" si="1"/>
        <v>0</v>
      </c>
    </row>
    <row r="29" spans="1:11">
      <c r="A29" s="317" t="s">
        <v>346</v>
      </c>
      <c r="B29" s="383"/>
      <c r="C29" s="383"/>
      <c r="D29" s="380"/>
      <c r="E29" s="380"/>
      <c r="F29" s="380"/>
      <c r="G29" s="380"/>
      <c r="H29" s="380"/>
      <c r="I29" s="380"/>
      <c r="J29" s="361">
        <f t="shared" si="0"/>
        <v>0</v>
      </c>
      <c r="K29" s="361">
        <f t="shared" si="1"/>
        <v>0</v>
      </c>
    </row>
    <row r="30" spans="1:11">
      <c r="A30" s="317" t="s">
        <v>347</v>
      </c>
      <c r="B30" s="383"/>
      <c r="C30" s="383"/>
      <c r="D30" s="380"/>
      <c r="E30" s="380"/>
      <c r="F30" s="380"/>
      <c r="G30" s="380"/>
      <c r="H30" s="380"/>
      <c r="I30" s="380"/>
      <c r="J30" s="361">
        <f t="shared" si="0"/>
        <v>0</v>
      </c>
      <c r="K30" s="361">
        <f t="shared" si="1"/>
        <v>0</v>
      </c>
    </row>
    <row r="31" spans="1:11">
      <c r="A31" s="317" t="s">
        <v>348</v>
      </c>
      <c r="B31" s="383"/>
      <c r="C31" s="383"/>
      <c r="D31" s="380"/>
      <c r="E31" s="380"/>
      <c r="F31" s="380"/>
      <c r="G31" s="380"/>
      <c r="H31" s="380"/>
      <c r="I31" s="380"/>
      <c r="J31" s="361">
        <f t="shared" si="0"/>
        <v>0</v>
      </c>
      <c r="K31" s="361">
        <f t="shared" si="1"/>
        <v>0</v>
      </c>
    </row>
    <row r="32" spans="1:11">
      <c r="A32" s="315" t="s">
        <v>349</v>
      </c>
      <c r="B32" s="384"/>
      <c r="C32" s="384"/>
      <c r="D32" s="380"/>
      <c r="E32" s="380"/>
      <c r="F32" s="380"/>
      <c r="G32" s="380"/>
      <c r="H32" s="380"/>
      <c r="I32" s="380"/>
      <c r="J32" s="361">
        <f t="shared" si="0"/>
        <v>0</v>
      </c>
      <c r="K32" s="361">
        <f t="shared" si="1"/>
        <v>0</v>
      </c>
    </row>
    <row r="33" spans="1:11">
      <c r="A33" s="317" t="s">
        <v>350</v>
      </c>
      <c r="B33" s="383"/>
      <c r="C33" s="383"/>
      <c r="D33" s="380"/>
      <c r="E33" s="380"/>
      <c r="F33" s="380"/>
      <c r="G33" s="380"/>
      <c r="H33" s="380">
        <v>307861</v>
      </c>
      <c r="I33" s="380">
        <v>814735</v>
      </c>
      <c r="J33" s="361">
        <f t="shared" si="0"/>
        <v>307861</v>
      </c>
      <c r="K33" s="361">
        <f t="shared" si="1"/>
        <v>814735</v>
      </c>
    </row>
    <row r="34" spans="1:11">
      <c r="A34" s="317" t="s">
        <v>351</v>
      </c>
      <c r="B34" s="383"/>
      <c r="C34" s="383"/>
      <c r="D34" s="380"/>
      <c r="E34" s="380"/>
      <c r="F34" s="380"/>
      <c r="G34" s="380"/>
      <c r="H34" s="380"/>
      <c r="I34" s="380"/>
      <c r="J34" s="361">
        <f t="shared" si="0"/>
        <v>0</v>
      </c>
      <c r="K34" s="361">
        <f t="shared" si="1"/>
        <v>0</v>
      </c>
    </row>
    <row r="35" spans="1:11">
      <c r="A35" s="317" t="s">
        <v>352</v>
      </c>
      <c r="B35" s="383"/>
      <c r="C35" s="383"/>
      <c r="D35" s="380"/>
      <c r="E35" s="380"/>
      <c r="F35" s="380"/>
      <c r="G35" s="380"/>
      <c r="H35" s="380"/>
      <c r="I35" s="380"/>
      <c r="J35" s="361">
        <f t="shared" si="0"/>
        <v>0</v>
      </c>
      <c r="K35" s="361">
        <f t="shared" si="1"/>
        <v>0</v>
      </c>
    </row>
    <row r="36" spans="1:11">
      <c r="A36" s="317" t="s">
        <v>353</v>
      </c>
      <c r="B36" s="383"/>
      <c r="C36" s="383"/>
      <c r="D36" s="380"/>
      <c r="E36" s="380"/>
      <c r="F36" s="380"/>
      <c r="G36" s="380"/>
      <c r="H36" s="380"/>
      <c r="I36" s="380"/>
      <c r="J36" s="361">
        <f t="shared" si="0"/>
        <v>0</v>
      </c>
      <c r="K36" s="361">
        <f t="shared" si="1"/>
        <v>0</v>
      </c>
    </row>
    <row r="37" spans="1:11" ht="30">
      <c r="A37" s="317" t="s">
        <v>354</v>
      </c>
      <c r="B37" s="383"/>
      <c r="C37" s="383"/>
      <c r="D37" s="380"/>
      <c r="E37" s="380"/>
      <c r="F37" s="380"/>
      <c r="G37" s="380"/>
      <c r="H37" s="380"/>
      <c r="I37" s="380"/>
      <c r="J37" s="361">
        <f t="shared" si="0"/>
        <v>0</v>
      </c>
      <c r="K37" s="361">
        <f t="shared" si="1"/>
        <v>0</v>
      </c>
    </row>
    <row r="38" spans="1:11" ht="25.5">
      <c r="A38" s="315" t="s">
        <v>355</v>
      </c>
      <c r="B38" s="384"/>
      <c r="C38" s="384"/>
      <c r="D38" s="380"/>
      <c r="E38" s="380"/>
      <c r="F38" s="380"/>
      <c r="G38" s="380"/>
      <c r="H38" s="380">
        <v>307861</v>
      </c>
      <c r="I38" s="380">
        <v>814735</v>
      </c>
      <c r="J38" s="361">
        <f t="shared" si="0"/>
        <v>307861</v>
      </c>
      <c r="K38" s="361">
        <f t="shared" si="1"/>
        <v>814735</v>
      </c>
    </row>
    <row r="39" spans="1:11">
      <c r="A39" s="315" t="s">
        <v>356</v>
      </c>
      <c r="B39" s="384">
        <v>0</v>
      </c>
      <c r="C39" s="384">
        <v>578</v>
      </c>
      <c r="D39" s="380">
        <v>143</v>
      </c>
      <c r="E39" s="380">
        <v>1217</v>
      </c>
      <c r="F39" s="380">
        <v>830</v>
      </c>
      <c r="G39" s="380">
        <v>913</v>
      </c>
      <c r="H39" s="380">
        <v>3970255</v>
      </c>
      <c r="I39" s="380">
        <v>4146902</v>
      </c>
      <c r="J39" s="361">
        <f t="shared" si="0"/>
        <v>3971228</v>
      </c>
      <c r="K39" s="361">
        <f t="shared" si="1"/>
        <v>4149610</v>
      </c>
    </row>
    <row r="40" spans="1:11">
      <c r="A40" s="317" t="s">
        <v>357</v>
      </c>
      <c r="B40" s="383"/>
      <c r="C40" s="383"/>
      <c r="D40" s="380"/>
      <c r="E40" s="380"/>
      <c r="F40" s="380"/>
      <c r="G40" s="380"/>
      <c r="H40" s="380">
        <v>410</v>
      </c>
      <c r="I40" s="380">
        <v>288</v>
      </c>
      <c r="J40" s="361">
        <f t="shared" si="0"/>
        <v>410</v>
      </c>
      <c r="K40" s="361">
        <f t="shared" si="1"/>
        <v>288</v>
      </c>
    </row>
    <row r="41" spans="1:11">
      <c r="A41" s="317" t="s">
        <v>358</v>
      </c>
      <c r="B41" s="383"/>
      <c r="C41" s="383"/>
      <c r="D41" s="380"/>
      <c r="E41" s="380"/>
      <c r="F41" s="380"/>
      <c r="G41" s="380"/>
      <c r="H41" s="380"/>
      <c r="I41" s="380"/>
      <c r="J41" s="361">
        <f t="shared" si="0"/>
        <v>0</v>
      </c>
      <c r="K41" s="361">
        <f t="shared" si="1"/>
        <v>0</v>
      </c>
    </row>
    <row r="42" spans="1:11">
      <c r="A42" s="317" t="s">
        <v>359</v>
      </c>
      <c r="B42" s="383"/>
      <c r="C42" s="383"/>
      <c r="D42" s="380"/>
      <c r="E42" s="380"/>
      <c r="F42" s="380"/>
      <c r="G42" s="380"/>
      <c r="H42" s="380"/>
      <c r="I42" s="380"/>
      <c r="J42" s="361">
        <f t="shared" si="0"/>
        <v>0</v>
      </c>
      <c r="K42" s="361">
        <f t="shared" si="1"/>
        <v>0</v>
      </c>
    </row>
    <row r="43" spans="1:11">
      <c r="A43" s="317" t="s">
        <v>360</v>
      </c>
      <c r="B43" s="383"/>
      <c r="C43" s="383"/>
      <c r="D43" s="380"/>
      <c r="E43" s="380"/>
      <c r="F43" s="380"/>
      <c r="G43" s="380"/>
      <c r="H43" s="380"/>
      <c r="I43" s="380"/>
      <c r="J43" s="361">
        <f t="shared" si="0"/>
        <v>0</v>
      </c>
      <c r="K43" s="361">
        <f t="shared" si="1"/>
        <v>0</v>
      </c>
    </row>
    <row r="44" spans="1:11" ht="30">
      <c r="A44" s="317" t="s">
        <v>361</v>
      </c>
      <c r="B44" s="383"/>
      <c r="C44" s="383"/>
      <c r="D44" s="380"/>
      <c r="E44" s="380"/>
      <c r="F44" s="380"/>
      <c r="G44" s="380"/>
      <c r="H44" s="380"/>
      <c r="I44" s="380"/>
      <c r="J44" s="361">
        <f t="shared" si="0"/>
        <v>0</v>
      </c>
      <c r="K44" s="361">
        <f t="shared" si="1"/>
        <v>0</v>
      </c>
    </row>
    <row r="45" spans="1:11">
      <c r="A45" s="317" t="s">
        <v>362</v>
      </c>
      <c r="B45" s="383"/>
      <c r="C45" s="383"/>
      <c r="D45" s="380"/>
      <c r="E45" s="380"/>
      <c r="F45" s="380"/>
      <c r="G45" s="380"/>
      <c r="H45" s="380"/>
      <c r="I45" s="380"/>
      <c r="J45" s="361">
        <f t="shared" si="0"/>
        <v>0</v>
      </c>
      <c r="K45" s="361">
        <f t="shared" si="1"/>
        <v>0</v>
      </c>
    </row>
    <row r="46" spans="1:11">
      <c r="A46" s="315" t="s">
        <v>363</v>
      </c>
      <c r="B46" s="384"/>
      <c r="C46" s="384"/>
      <c r="D46" s="380"/>
      <c r="E46" s="380"/>
      <c r="F46" s="380"/>
      <c r="G46" s="380"/>
      <c r="H46" s="380">
        <v>410</v>
      </c>
      <c r="I46" s="380">
        <v>288</v>
      </c>
      <c r="J46" s="361">
        <f t="shared" si="0"/>
        <v>410</v>
      </c>
      <c r="K46" s="361">
        <f t="shared" si="1"/>
        <v>288</v>
      </c>
    </row>
    <row r="47" spans="1:11" ht="30">
      <c r="A47" s="317" t="s">
        <v>364</v>
      </c>
      <c r="B47" s="383"/>
      <c r="C47" s="383"/>
      <c r="D47" s="380"/>
      <c r="E47" s="380"/>
      <c r="F47" s="380"/>
      <c r="G47" s="380"/>
      <c r="H47" s="380">
        <v>20698</v>
      </c>
      <c r="I47" s="380">
        <v>29508</v>
      </c>
      <c r="J47" s="361">
        <f t="shared" si="0"/>
        <v>20698</v>
      </c>
      <c r="K47" s="361">
        <f t="shared" si="1"/>
        <v>29508</v>
      </c>
    </row>
    <row r="48" spans="1:11">
      <c r="A48" s="317" t="s">
        <v>365</v>
      </c>
      <c r="B48" s="383"/>
      <c r="C48" s="383"/>
      <c r="D48" s="380"/>
      <c r="E48" s="380"/>
      <c r="F48" s="380"/>
      <c r="G48" s="380"/>
      <c r="H48" s="380">
        <v>23176</v>
      </c>
      <c r="I48" s="380">
        <v>24194</v>
      </c>
      <c r="J48" s="361">
        <f t="shared" si="0"/>
        <v>23176</v>
      </c>
      <c r="K48" s="361">
        <f t="shared" si="1"/>
        <v>24194</v>
      </c>
    </row>
    <row r="49" spans="1:11">
      <c r="A49" s="317" t="s">
        <v>366</v>
      </c>
      <c r="B49" s="383"/>
      <c r="C49" s="383"/>
      <c r="D49" s="380"/>
      <c r="E49" s="380"/>
      <c r="F49" s="380"/>
      <c r="G49" s="380"/>
      <c r="H49" s="380">
        <v>4390</v>
      </c>
      <c r="I49" s="380">
        <v>3983</v>
      </c>
      <c r="J49" s="361">
        <f t="shared" si="0"/>
        <v>4390</v>
      </c>
      <c r="K49" s="361">
        <f t="shared" si="1"/>
        <v>3983</v>
      </c>
    </row>
    <row r="50" spans="1:11" ht="30">
      <c r="A50" s="317" t="s">
        <v>367</v>
      </c>
      <c r="B50" s="383"/>
      <c r="C50" s="383"/>
      <c r="D50" s="380"/>
      <c r="E50" s="380"/>
      <c r="F50" s="380"/>
      <c r="G50" s="380"/>
      <c r="H50" s="380"/>
      <c r="I50" s="380"/>
      <c r="J50" s="361">
        <f t="shared" si="0"/>
        <v>0</v>
      </c>
      <c r="K50" s="361">
        <f t="shared" si="1"/>
        <v>0</v>
      </c>
    </row>
    <row r="51" spans="1:11">
      <c r="A51" s="317" t="s">
        <v>368</v>
      </c>
      <c r="B51" s="383"/>
      <c r="C51" s="383"/>
      <c r="D51" s="380"/>
      <c r="E51" s="380"/>
      <c r="F51" s="380"/>
      <c r="G51" s="380"/>
      <c r="H51" s="380">
        <v>5609</v>
      </c>
      <c r="I51" s="380">
        <v>7919</v>
      </c>
      <c r="J51" s="361">
        <f t="shared" si="0"/>
        <v>5609</v>
      </c>
      <c r="K51" s="361">
        <f t="shared" si="1"/>
        <v>7919</v>
      </c>
    </row>
    <row r="52" spans="1:11">
      <c r="A52" s="317" t="s">
        <v>369</v>
      </c>
      <c r="B52" s="383"/>
      <c r="C52" s="383"/>
      <c r="D52" s="380"/>
      <c r="E52" s="380"/>
      <c r="F52" s="380"/>
      <c r="G52" s="380"/>
      <c r="H52" s="380"/>
      <c r="I52" s="380"/>
      <c r="J52" s="361">
        <f t="shared" si="0"/>
        <v>0</v>
      </c>
      <c r="K52" s="361">
        <f t="shared" si="1"/>
        <v>0</v>
      </c>
    </row>
    <row r="53" spans="1:11">
      <c r="A53" s="317" t="s">
        <v>370</v>
      </c>
      <c r="B53" s="383"/>
      <c r="C53" s="383"/>
      <c r="D53" s="380"/>
      <c r="E53" s="380"/>
      <c r="F53" s="380"/>
      <c r="G53" s="380"/>
      <c r="H53" s="380"/>
      <c r="I53" s="380"/>
      <c r="J53" s="361">
        <f t="shared" si="0"/>
        <v>0</v>
      </c>
      <c r="K53" s="361">
        <f t="shared" si="1"/>
        <v>0</v>
      </c>
    </row>
    <row r="54" spans="1:11">
      <c r="A54" s="317" t="s">
        <v>371</v>
      </c>
      <c r="B54" s="383"/>
      <c r="C54" s="383"/>
      <c r="D54" s="380"/>
      <c r="E54" s="380"/>
      <c r="F54" s="380"/>
      <c r="G54" s="380"/>
      <c r="H54" s="380"/>
      <c r="I54" s="380"/>
      <c r="J54" s="361">
        <f t="shared" si="0"/>
        <v>0</v>
      </c>
      <c r="K54" s="361">
        <f t="shared" si="1"/>
        <v>0</v>
      </c>
    </row>
    <row r="55" spans="1:11">
      <c r="A55" s="317" t="s">
        <v>372</v>
      </c>
      <c r="B55" s="383"/>
      <c r="C55" s="383"/>
      <c r="D55" s="380"/>
      <c r="E55" s="380"/>
      <c r="F55" s="380"/>
      <c r="G55" s="380"/>
      <c r="H55" s="380"/>
      <c r="I55" s="380"/>
      <c r="J55" s="361">
        <f t="shared" si="0"/>
        <v>0</v>
      </c>
      <c r="K55" s="361">
        <f t="shared" si="1"/>
        <v>0</v>
      </c>
    </row>
    <row r="56" spans="1:11">
      <c r="A56" s="317" t="s">
        <v>373</v>
      </c>
      <c r="B56" s="383"/>
      <c r="C56" s="383"/>
      <c r="D56" s="380"/>
      <c r="E56" s="380"/>
      <c r="F56" s="380"/>
      <c r="G56" s="380"/>
      <c r="H56" s="380"/>
      <c r="I56" s="380"/>
      <c r="J56" s="361">
        <f t="shared" si="0"/>
        <v>0</v>
      </c>
      <c r="K56" s="361">
        <f t="shared" si="1"/>
        <v>0</v>
      </c>
    </row>
    <row r="57" spans="1:11" ht="30">
      <c r="A57" s="317" t="s">
        <v>374</v>
      </c>
      <c r="B57" s="383"/>
      <c r="C57" s="383"/>
      <c r="D57" s="380"/>
      <c r="E57" s="380"/>
      <c r="F57" s="380"/>
      <c r="G57" s="380"/>
      <c r="H57" s="380"/>
      <c r="I57" s="380"/>
      <c r="J57" s="361">
        <f t="shared" si="0"/>
        <v>0</v>
      </c>
      <c r="K57" s="361">
        <f t="shared" si="1"/>
        <v>0</v>
      </c>
    </row>
    <row r="58" spans="1:11">
      <c r="A58" s="315" t="s">
        <v>375</v>
      </c>
      <c r="B58" s="384"/>
      <c r="C58" s="384"/>
      <c r="D58" s="380"/>
      <c r="E58" s="380"/>
      <c r="F58" s="380"/>
      <c r="G58" s="380"/>
      <c r="H58" s="380">
        <v>53873</v>
      </c>
      <c r="I58" s="380">
        <v>66324</v>
      </c>
      <c r="J58" s="361">
        <f t="shared" si="0"/>
        <v>53873</v>
      </c>
      <c r="K58" s="361">
        <f t="shared" si="1"/>
        <v>66324</v>
      </c>
    </row>
    <row r="59" spans="1:11">
      <c r="A59" s="317" t="s">
        <v>376</v>
      </c>
      <c r="B59" s="383"/>
      <c r="C59" s="383"/>
      <c r="D59" s="380"/>
      <c r="E59" s="380"/>
      <c r="F59" s="380"/>
      <c r="G59" s="380"/>
      <c r="H59" s="380"/>
      <c r="I59" s="380"/>
      <c r="J59" s="361">
        <f t="shared" si="0"/>
        <v>0</v>
      </c>
      <c r="K59" s="361">
        <f t="shared" si="1"/>
        <v>0</v>
      </c>
    </row>
    <row r="60" spans="1:11">
      <c r="A60" s="317" t="s">
        <v>377</v>
      </c>
      <c r="B60" s="383"/>
      <c r="C60" s="383"/>
      <c r="D60" s="380"/>
      <c r="E60" s="380"/>
      <c r="F60" s="380"/>
      <c r="G60" s="380"/>
      <c r="H60" s="380"/>
      <c r="I60" s="380"/>
      <c r="J60" s="361">
        <f t="shared" si="0"/>
        <v>0</v>
      </c>
      <c r="K60" s="361">
        <f t="shared" si="1"/>
        <v>0</v>
      </c>
    </row>
    <row r="61" spans="1:11">
      <c r="A61" s="317" t="s">
        <v>378</v>
      </c>
      <c r="B61" s="383"/>
      <c r="C61" s="383"/>
      <c r="D61" s="380"/>
      <c r="E61" s="380"/>
      <c r="F61" s="380"/>
      <c r="G61" s="380"/>
      <c r="H61" s="380"/>
      <c r="I61" s="380"/>
      <c r="J61" s="361">
        <f t="shared" si="0"/>
        <v>0</v>
      </c>
      <c r="K61" s="361">
        <f t="shared" si="1"/>
        <v>0</v>
      </c>
    </row>
    <row r="62" spans="1:11" ht="30">
      <c r="A62" s="317" t="s">
        <v>379</v>
      </c>
      <c r="B62" s="383"/>
      <c r="C62" s="383"/>
      <c r="D62" s="380"/>
      <c r="E62" s="380"/>
      <c r="F62" s="380"/>
      <c r="G62" s="380"/>
      <c r="H62" s="380">
        <v>38</v>
      </c>
      <c r="I62" s="380">
        <v>38</v>
      </c>
      <c r="J62" s="361">
        <f t="shared" si="0"/>
        <v>38</v>
      </c>
      <c r="K62" s="361">
        <f t="shared" si="1"/>
        <v>38</v>
      </c>
    </row>
    <row r="63" spans="1:11" ht="30">
      <c r="A63" s="317" t="s">
        <v>380</v>
      </c>
      <c r="B63" s="383"/>
      <c r="C63" s="383"/>
      <c r="D63" s="380"/>
      <c r="E63" s="380"/>
      <c r="F63" s="380"/>
      <c r="G63" s="380"/>
      <c r="H63" s="380">
        <v>38</v>
      </c>
      <c r="I63" s="380">
        <v>38</v>
      </c>
      <c r="J63" s="361">
        <f t="shared" si="0"/>
        <v>38</v>
      </c>
      <c r="K63" s="361">
        <f t="shared" si="1"/>
        <v>38</v>
      </c>
    </row>
    <row r="64" spans="1:11">
      <c r="A64" s="317" t="s">
        <v>381</v>
      </c>
      <c r="B64" s="383"/>
      <c r="C64" s="383"/>
      <c r="D64" s="380"/>
      <c r="E64" s="380"/>
      <c r="F64" s="380"/>
      <c r="G64" s="380"/>
      <c r="H64" s="380"/>
      <c r="I64" s="380"/>
      <c r="J64" s="361">
        <f t="shared" si="0"/>
        <v>0</v>
      </c>
      <c r="K64" s="361">
        <f t="shared" si="1"/>
        <v>0</v>
      </c>
    </row>
    <row r="65" spans="1:11">
      <c r="A65" s="315" t="s">
        <v>382</v>
      </c>
      <c r="B65" s="384"/>
      <c r="C65" s="384"/>
      <c r="D65" s="380"/>
      <c r="E65" s="380"/>
      <c r="F65" s="380"/>
      <c r="G65" s="380"/>
      <c r="H65" s="380">
        <v>38</v>
      </c>
      <c r="I65" s="380">
        <v>38</v>
      </c>
      <c r="J65" s="361">
        <f t="shared" si="0"/>
        <v>38</v>
      </c>
      <c r="K65" s="361">
        <f t="shared" si="1"/>
        <v>38</v>
      </c>
    </row>
    <row r="66" spans="1:11">
      <c r="A66" s="317" t="s">
        <v>383</v>
      </c>
      <c r="B66" s="383">
        <v>17</v>
      </c>
      <c r="C66" s="383">
        <v>31</v>
      </c>
      <c r="D66" s="380">
        <v>23</v>
      </c>
      <c r="E66" s="380">
        <v>24</v>
      </c>
      <c r="F66" s="380">
        <v>10</v>
      </c>
      <c r="G66" s="380">
        <v>115</v>
      </c>
      <c r="H66" s="380">
        <v>602</v>
      </c>
      <c r="I66" s="380">
        <v>29</v>
      </c>
      <c r="J66" s="361">
        <f t="shared" si="0"/>
        <v>652</v>
      </c>
      <c r="K66" s="361">
        <f t="shared" si="1"/>
        <v>199</v>
      </c>
    </row>
    <row r="67" spans="1:11">
      <c r="A67" s="317" t="s">
        <v>384</v>
      </c>
      <c r="B67" s="383">
        <v>58</v>
      </c>
      <c r="C67" s="383">
        <v>250</v>
      </c>
      <c r="D67" s="380">
        <v>97</v>
      </c>
      <c r="E67" s="380">
        <v>169</v>
      </c>
      <c r="F67" s="380">
        <v>101</v>
      </c>
      <c r="G67" s="380">
        <v>135</v>
      </c>
      <c r="H67" s="380">
        <v>59094</v>
      </c>
      <c r="I67" s="380">
        <v>103092</v>
      </c>
      <c r="J67" s="361">
        <f t="shared" si="0"/>
        <v>59350</v>
      </c>
      <c r="K67" s="361">
        <f t="shared" si="1"/>
        <v>103646</v>
      </c>
    </row>
    <row r="68" spans="1:11">
      <c r="A68" s="317" t="s">
        <v>385</v>
      </c>
      <c r="B68" s="383">
        <v>58</v>
      </c>
      <c r="C68" s="383">
        <v>250</v>
      </c>
      <c r="D68" s="380">
        <v>97</v>
      </c>
      <c r="E68" s="380">
        <v>169</v>
      </c>
      <c r="F68" s="380">
        <v>101</v>
      </c>
      <c r="G68" s="380">
        <v>135</v>
      </c>
      <c r="H68" s="380">
        <v>59094</v>
      </c>
      <c r="I68" s="380">
        <v>103092</v>
      </c>
      <c r="J68" s="361">
        <f t="shared" si="0"/>
        <v>59350</v>
      </c>
      <c r="K68" s="361">
        <f t="shared" si="1"/>
        <v>103646</v>
      </c>
    </row>
    <row r="69" spans="1:11">
      <c r="A69" s="317" t="s">
        <v>386</v>
      </c>
      <c r="B69" s="383"/>
      <c r="C69" s="383"/>
      <c r="D69" s="380"/>
      <c r="E69" s="380"/>
      <c r="F69" s="380"/>
      <c r="G69" s="380"/>
      <c r="H69" s="380"/>
      <c r="I69" s="380"/>
      <c r="J69" s="361">
        <f t="shared" si="0"/>
        <v>0</v>
      </c>
      <c r="K69" s="361">
        <f t="shared" si="1"/>
        <v>0</v>
      </c>
    </row>
    <row r="70" spans="1:11">
      <c r="A70" s="317" t="s">
        <v>387</v>
      </c>
      <c r="B70" s="383"/>
      <c r="C70" s="383"/>
      <c r="D70" s="380"/>
      <c r="E70" s="380"/>
      <c r="F70" s="380"/>
      <c r="G70" s="380"/>
      <c r="H70" s="380"/>
      <c r="I70" s="380"/>
      <c r="J70" s="361">
        <f t="shared" si="0"/>
        <v>0</v>
      </c>
      <c r="K70" s="361">
        <f t="shared" si="1"/>
        <v>0</v>
      </c>
    </row>
    <row r="71" spans="1:11">
      <c r="A71" s="317" t="s">
        <v>388</v>
      </c>
      <c r="B71" s="383"/>
      <c r="C71" s="383"/>
      <c r="D71" s="380"/>
      <c r="E71" s="380"/>
      <c r="F71" s="380"/>
      <c r="G71" s="380"/>
      <c r="H71" s="380">
        <v>690</v>
      </c>
      <c r="I71" s="380">
        <v>905</v>
      </c>
      <c r="J71" s="361">
        <f t="shared" si="0"/>
        <v>690</v>
      </c>
      <c r="K71" s="361">
        <f t="shared" si="1"/>
        <v>905</v>
      </c>
    </row>
    <row r="72" spans="1:11">
      <c r="A72" s="317" t="s">
        <v>389</v>
      </c>
      <c r="B72" s="383"/>
      <c r="C72" s="383"/>
      <c r="D72" s="380"/>
      <c r="E72" s="380"/>
      <c r="F72" s="380"/>
      <c r="G72" s="380"/>
      <c r="H72" s="380">
        <v>690</v>
      </c>
      <c r="I72" s="380">
        <v>905</v>
      </c>
      <c r="J72" s="361">
        <f t="shared" ref="J72:J81" si="2">B72+D72+F72+H72</f>
        <v>690</v>
      </c>
      <c r="K72" s="361">
        <f t="shared" ref="K72:K81" si="3">C72+E72+G72+I72</f>
        <v>905</v>
      </c>
    </row>
    <row r="73" spans="1:11">
      <c r="A73" s="317" t="s">
        <v>390</v>
      </c>
      <c r="B73" s="383"/>
      <c r="C73" s="383"/>
      <c r="D73" s="380"/>
      <c r="E73" s="380"/>
      <c r="F73" s="380"/>
      <c r="G73" s="380"/>
      <c r="H73" s="380"/>
      <c r="I73" s="380"/>
      <c r="J73" s="361">
        <f t="shared" si="2"/>
        <v>0</v>
      </c>
      <c r="K73" s="361">
        <f t="shared" si="3"/>
        <v>0</v>
      </c>
    </row>
    <row r="74" spans="1:11">
      <c r="A74" s="315" t="s">
        <v>391</v>
      </c>
      <c r="B74" s="384">
        <v>75</v>
      </c>
      <c r="C74" s="384">
        <v>281</v>
      </c>
      <c r="D74" s="380">
        <v>120</v>
      </c>
      <c r="E74" s="380">
        <v>193</v>
      </c>
      <c r="F74" s="380">
        <v>111</v>
      </c>
      <c r="G74" s="380">
        <v>250</v>
      </c>
      <c r="H74" s="380">
        <v>60386</v>
      </c>
      <c r="I74" s="380">
        <v>104026</v>
      </c>
      <c r="J74" s="361">
        <f t="shared" si="2"/>
        <v>60692</v>
      </c>
      <c r="K74" s="361">
        <f t="shared" si="3"/>
        <v>104750</v>
      </c>
    </row>
    <row r="75" spans="1:11">
      <c r="A75" s="317" t="s">
        <v>392</v>
      </c>
      <c r="B75" s="383"/>
      <c r="C75" s="383"/>
      <c r="D75" s="380"/>
      <c r="E75" s="380"/>
      <c r="F75" s="380">
        <v>6</v>
      </c>
      <c r="G75" s="380">
        <v>31</v>
      </c>
      <c r="H75" s="380">
        <v>988</v>
      </c>
      <c r="I75" s="380">
        <v>0</v>
      </c>
      <c r="J75" s="361">
        <f t="shared" si="2"/>
        <v>994</v>
      </c>
      <c r="K75" s="361">
        <f t="shared" si="3"/>
        <v>31</v>
      </c>
    </row>
    <row r="76" spans="1:11">
      <c r="A76" s="317" t="s">
        <v>393</v>
      </c>
      <c r="B76" s="383">
        <v>839</v>
      </c>
      <c r="C76" s="383">
        <v>2710</v>
      </c>
      <c r="D76" s="380"/>
      <c r="E76" s="380"/>
      <c r="F76" s="380">
        <v>369</v>
      </c>
      <c r="G76" s="380">
        <v>1353</v>
      </c>
      <c r="H76" s="380">
        <v>17728</v>
      </c>
      <c r="I76" s="380">
        <v>3814</v>
      </c>
      <c r="J76" s="361">
        <f t="shared" si="2"/>
        <v>18936</v>
      </c>
      <c r="K76" s="361">
        <f t="shared" si="3"/>
        <v>7877</v>
      </c>
    </row>
    <row r="77" spans="1:11">
      <c r="A77" s="317" t="s">
        <v>394</v>
      </c>
      <c r="B77" s="383"/>
      <c r="C77" s="383"/>
      <c r="D77" s="380">
        <v>30</v>
      </c>
      <c r="E77" s="380">
        <v>381</v>
      </c>
      <c r="F77" s="380"/>
      <c r="G77" s="380"/>
      <c r="H77" s="380"/>
      <c r="I77" s="380"/>
      <c r="J77" s="361">
        <f t="shared" si="2"/>
        <v>30</v>
      </c>
      <c r="K77" s="361">
        <f t="shared" si="3"/>
        <v>381</v>
      </c>
    </row>
    <row r="78" spans="1:11">
      <c r="A78" s="317" t="s">
        <v>395</v>
      </c>
      <c r="B78" s="383"/>
      <c r="C78" s="383"/>
      <c r="D78" s="380"/>
      <c r="E78" s="380"/>
      <c r="F78" s="380"/>
      <c r="G78" s="380"/>
      <c r="H78" s="380"/>
      <c r="I78" s="380"/>
      <c r="J78" s="361">
        <f t="shared" si="2"/>
        <v>0</v>
      </c>
      <c r="K78" s="361">
        <f t="shared" si="3"/>
        <v>0</v>
      </c>
    </row>
    <row r="79" spans="1:11">
      <c r="A79" s="315" t="s">
        <v>396</v>
      </c>
      <c r="B79" s="384">
        <v>839</v>
      </c>
      <c r="C79" s="384">
        <v>2710</v>
      </c>
      <c r="D79" s="380">
        <v>30</v>
      </c>
      <c r="E79" s="380">
        <v>381</v>
      </c>
      <c r="F79" s="380">
        <v>375</v>
      </c>
      <c r="G79" s="380">
        <v>1384</v>
      </c>
      <c r="H79" s="380">
        <v>18716</v>
      </c>
      <c r="I79" s="380">
        <v>3814</v>
      </c>
      <c r="J79" s="361">
        <f t="shared" si="2"/>
        <v>19960</v>
      </c>
      <c r="K79" s="361">
        <f t="shared" si="3"/>
        <v>8289</v>
      </c>
    </row>
    <row r="80" spans="1:11">
      <c r="A80" s="315" t="s">
        <v>397</v>
      </c>
      <c r="B80" s="384">
        <v>914</v>
      </c>
      <c r="C80" s="384">
        <v>2991</v>
      </c>
      <c r="D80" s="380">
        <v>150</v>
      </c>
      <c r="E80" s="380">
        <v>574</v>
      </c>
      <c r="F80" s="380">
        <v>486</v>
      </c>
      <c r="G80" s="380">
        <v>1634</v>
      </c>
      <c r="H80" s="380">
        <v>133423</v>
      </c>
      <c r="I80" s="380">
        <v>174490</v>
      </c>
      <c r="J80" s="361">
        <f t="shared" si="2"/>
        <v>134973</v>
      </c>
      <c r="K80" s="361">
        <f t="shared" si="3"/>
        <v>179689</v>
      </c>
    </row>
    <row r="81" spans="1:11">
      <c r="A81" s="322" t="s">
        <v>398</v>
      </c>
      <c r="B81" s="385">
        <v>914</v>
      </c>
      <c r="C81" s="385">
        <v>3569</v>
      </c>
      <c r="D81" s="381">
        <v>293</v>
      </c>
      <c r="E81" s="381">
        <v>1791</v>
      </c>
      <c r="F81" s="381">
        <v>1316</v>
      </c>
      <c r="G81" s="381">
        <v>2547</v>
      </c>
      <c r="H81" s="381">
        <v>4103678</v>
      </c>
      <c r="I81" s="381">
        <v>4321392</v>
      </c>
      <c r="J81" s="386">
        <f t="shared" si="2"/>
        <v>4106201</v>
      </c>
      <c r="K81" s="386">
        <f t="shared" si="3"/>
        <v>4329299</v>
      </c>
    </row>
    <row r="82" spans="1:11">
      <c r="A82" s="465" t="s">
        <v>570</v>
      </c>
      <c r="B82" s="466"/>
      <c r="C82" s="467"/>
      <c r="D82" s="379"/>
      <c r="E82" s="379"/>
      <c r="F82" s="379"/>
      <c r="G82" s="379"/>
      <c r="H82" s="379"/>
      <c r="I82" s="379"/>
      <c r="J82" s="377"/>
      <c r="K82" s="377"/>
    </row>
    <row r="83" spans="1:11">
      <c r="A83" s="317" t="s">
        <v>399</v>
      </c>
      <c r="B83" s="383"/>
      <c r="C83" s="383"/>
      <c r="D83" s="380"/>
      <c r="E83" s="380"/>
      <c r="F83" s="380"/>
      <c r="G83" s="380"/>
      <c r="H83" s="380"/>
      <c r="I83" s="380"/>
      <c r="J83" s="361">
        <f>B83+D83+F83+H83</f>
        <v>0</v>
      </c>
      <c r="K83" s="361">
        <f>C83+E83+G83+I83</f>
        <v>0</v>
      </c>
    </row>
    <row r="84" spans="1:11">
      <c r="A84" s="317" t="s">
        <v>400</v>
      </c>
      <c r="B84" s="383"/>
      <c r="C84" s="383"/>
      <c r="D84" s="380"/>
      <c r="E84" s="380"/>
      <c r="F84" s="380"/>
      <c r="G84" s="380"/>
      <c r="H84" s="380">
        <v>40231</v>
      </c>
      <c r="I84" s="380">
        <v>40231</v>
      </c>
      <c r="J84" s="361">
        <f t="shared" ref="J84:J147" si="4">B84+D84+F84+H84</f>
        <v>40231</v>
      </c>
      <c r="K84" s="361">
        <f t="shared" ref="K84:K147" si="5">C84+E84+G84+I84</f>
        <v>40231</v>
      </c>
    </row>
    <row r="85" spans="1:11">
      <c r="A85" s="315" t="s">
        <v>401</v>
      </c>
      <c r="B85" s="384"/>
      <c r="C85" s="384"/>
      <c r="D85" s="380"/>
      <c r="E85" s="380"/>
      <c r="F85" s="380"/>
      <c r="G85" s="380"/>
      <c r="H85" s="380">
        <v>40231</v>
      </c>
      <c r="I85" s="380">
        <v>40231</v>
      </c>
      <c r="J85" s="361">
        <f t="shared" si="4"/>
        <v>40231</v>
      </c>
      <c r="K85" s="361">
        <f t="shared" si="5"/>
        <v>40231</v>
      </c>
    </row>
    <row r="86" spans="1:11">
      <c r="A86" s="317" t="s">
        <v>402</v>
      </c>
      <c r="B86" s="383"/>
      <c r="C86" s="383"/>
      <c r="D86" s="380"/>
      <c r="E86" s="380"/>
      <c r="F86" s="380"/>
      <c r="G86" s="380"/>
      <c r="H86" s="380"/>
      <c r="I86" s="380"/>
      <c r="J86" s="361">
        <f t="shared" si="4"/>
        <v>0</v>
      </c>
      <c r="K86" s="361">
        <f t="shared" si="5"/>
        <v>0</v>
      </c>
    </row>
    <row r="87" spans="1:11">
      <c r="A87" s="317" t="s">
        <v>403</v>
      </c>
      <c r="B87" s="383">
        <v>0</v>
      </c>
      <c r="C87" s="383">
        <v>551</v>
      </c>
      <c r="D87" s="380">
        <v>143</v>
      </c>
      <c r="E87" s="380">
        <v>1190</v>
      </c>
      <c r="F87" s="380">
        <v>830</v>
      </c>
      <c r="G87" s="380">
        <v>846</v>
      </c>
      <c r="H87" s="380">
        <v>3970823</v>
      </c>
      <c r="I87" s="380">
        <v>4160011</v>
      </c>
      <c r="J87" s="361">
        <f t="shared" si="4"/>
        <v>3971796</v>
      </c>
      <c r="K87" s="361">
        <f t="shared" si="5"/>
        <v>4162598</v>
      </c>
    </row>
    <row r="88" spans="1:11">
      <c r="A88" s="315" t="s">
        <v>404</v>
      </c>
      <c r="B88" s="384">
        <v>0</v>
      </c>
      <c r="C88" s="384">
        <v>551</v>
      </c>
      <c r="D88" s="380">
        <v>143</v>
      </c>
      <c r="E88" s="380">
        <v>1190</v>
      </c>
      <c r="F88" s="380">
        <v>830</v>
      </c>
      <c r="G88" s="380">
        <v>846</v>
      </c>
      <c r="H88" s="380">
        <v>3970823</v>
      </c>
      <c r="I88" s="380">
        <v>4160011</v>
      </c>
      <c r="J88" s="361">
        <f t="shared" si="4"/>
        <v>3971796</v>
      </c>
      <c r="K88" s="361">
        <f t="shared" si="5"/>
        <v>4162598</v>
      </c>
    </row>
    <row r="89" spans="1:11">
      <c r="A89" s="317" t="s">
        <v>405</v>
      </c>
      <c r="B89" s="383"/>
      <c r="C89" s="383"/>
      <c r="D89" s="380"/>
      <c r="E89" s="380"/>
      <c r="F89" s="380"/>
      <c r="G89" s="380"/>
      <c r="H89" s="380"/>
      <c r="I89" s="380"/>
      <c r="J89" s="361">
        <f t="shared" si="4"/>
        <v>0</v>
      </c>
      <c r="K89" s="361">
        <f t="shared" si="5"/>
        <v>0</v>
      </c>
    </row>
    <row r="90" spans="1:11">
      <c r="A90" s="317" t="s">
        <v>406</v>
      </c>
      <c r="B90" s="383"/>
      <c r="C90" s="383"/>
      <c r="D90" s="380"/>
      <c r="E90" s="380"/>
      <c r="F90" s="380"/>
      <c r="G90" s="380"/>
      <c r="H90" s="380"/>
      <c r="I90" s="380"/>
      <c r="J90" s="361">
        <f t="shared" si="4"/>
        <v>0</v>
      </c>
      <c r="K90" s="361">
        <f t="shared" si="5"/>
        <v>0</v>
      </c>
    </row>
    <row r="91" spans="1:11">
      <c r="A91" s="315" t="s">
        <v>407</v>
      </c>
      <c r="B91" s="384"/>
      <c r="C91" s="384"/>
      <c r="D91" s="380"/>
      <c r="E91" s="380"/>
      <c r="F91" s="380"/>
      <c r="G91" s="380"/>
      <c r="H91" s="380"/>
      <c r="I91" s="380"/>
      <c r="J91" s="361">
        <f t="shared" si="4"/>
        <v>0</v>
      </c>
      <c r="K91" s="361">
        <f t="shared" si="5"/>
        <v>0</v>
      </c>
    </row>
    <row r="92" spans="1:11">
      <c r="A92" s="315" t="s">
        <v>408</v>
      </c>
      <c r="B92" s="384">
        <v>0</v>
      </c>
      <c r="C92" s="384">
        <v>551</v>
      </c>
      <c r="D92" s="380">
        <v>143</v>
      </c>
      <c r="E92" s="380">
        <v>1190</v>
      </c>
      <c r="F92" s="380">
        <v>830</v>
      </c>
      <c r="G92" s="380">
        <v>846</v>
      </c>
      <c r="H92" s="380">
        <v>4011054</v>
      </c>
      <c r="I92" s="380">
        <v>4200242</v>
      </c>
      <c r="J92" s="361">
        <f t="shared" si="4"/>
        <v>4012027</v>
      </c>
      <c r="K92" s="361">
        <f t="shared" si="5"/>
        <v>4202829</v>
      </c>
    </row>
    <row r="93" spans="1:11">
      <c r="A93" s="317" t="s">
        <v>409</v>
      </c>
      <c r="B93" s="383">
        <v>914</v>
      </c>
      <c r="C93" s="383">
        <v>2991</v>
      </c>
      <c r="D93" s="380">
        <v>150</v>
      </c>
      <c r="E93" s="380">
        <v>574</v>
      </c>
      <c r="F93" s="380">
        <v>400</v>
      </c>
      <c r="G93" s="380">
        <v>1634</v>
      </c>
      <c r="H93" s="380">
        <v>57052</v>
      </c>
      <c r="I93" s="380">
        <v>106941</v>
      </c>
      <c r="J93" s="361">
        <f t="shared" si="4"/>
        <v>58516</v>
      </c>
      <c r="K93" s="361">
        <f t="shared" si="5"/>
        <v>112140</v>
      </c>
    </row>
    <row r="94" spans="1:11">
      <c r="A94" s="317" t="s">
        <v>410</v>
      </c>
      <c r="B94" s="383">
        <v>914</v>
      </c>
      <c r="C94" s="383">
        <v>2991</v>
      </c>
      <c r="D94" s="380">
        <v>150</v>
      </c>
      <c r="E94" s="380">
        <v>574</v>
      </c>
      <c r="F94" s="380">
        <v>400</v>
      </c>
      <c r="G94" s="380">
        <v>1634</v>
      </c>
      <c r="H94" s="380">
        <v>37126</v>
      </c>
      <c r="I94" s="380">
        <v>87015</v>
      </c>
      <c r="J94" s="361">
        <f t="shared" si="4"/>
        <v>38590</v>
      </c>
      <c r="K94" s="361">
        <f t="shared" si="5"/>
        <v>92214</v>
      </c>
    </row>
    <row r="95" spans="1:11">
      <c r="A95" s="317" t="s">
        <v>411</v>
      </c>
      <c r="B95" s="383"/>
      <c r="C95" s="383"/>
      <c r="D95" s="380"/>
      <c r="E95" s="380"/>
      <c r="F95" s="380"/>
      <c r="G95" s="380"/>
      <c r="H95" s="380">
        <v>19926</v>
      </c>
      <c r="I95" s="380">
        <v>19926</v>
      </c>
      <c r="J95" s="361">
        <f t="shared" si="4"/>
        <v>19926</v>
      </c>
      <c r="K95" s="361">
        <f t="shared" si="5"/>
        <v>19926</v>
      </c>
    </row>
    <row r="96" spans="1:11">
      <c r="A96" s="317" t="s">
        <v>412</v>
      </c>
      <c r="B96" s="383"/>
      <c r="C96" s="383"/>
      <c r="D96" s="380"/>
      <c r="E96" s="380"/>
      <c r="F96" s="380"/>
      <c r="G96" s="380"/>
      <c r="H96" s="380"/>
      <c r="I96" s="380"/>
      <c r="J96" s="361">
        <f t="shared" si="4"/>
        <v>0</v>
      </c>
      <c r="K96" s="361">
        <f t="shared" si="5"/>
        <v>0</v>
      </c>
    </row>
    <row r="97" spans="1:11">
      <c r="A97" s="315" t="s">
        <v>413</v>
      </c>
      <c r="B97" s="384">
        <v>914</v>
      </c>
      <c r="C97" s="384">
        <v>2991</v>
      </c>
      <c r="D97" s="380">
        <v>150</v>
      </c>
      <c r="E97" s="380">
        <v>574</v>
      </c>
      <c r="F97" s="380">
        <v>400</v>
      </c>
      <c r="G97" s="380">
        <v>1634</v>
      </c>
      <c r="H97" s="380">
        <v>57052</v>
      </c>
      <c r="I97" s="380">
        <v>106941</v>
      </c>
      <c r="J97" s="361">
        <f t="shared" si="4"/>
        <v>58516</v>
      </c>
      <c r="K97" s="361">
        <f t="shared" si="5"/>
        <v>112140</v>
      </c>
    </row>
    <row r="98" spans="1:11">
      <c r="A98" s="317" t="s">
        <v>414</v>
      </c>
      <c r="B98" s="383"/>
      <c r="C98" s="383"/>
      <c r="D98" s="380"/>
      <c r="E98" s="380"/>
      <c r="F98" s="380"/>
      <c r="G98" s="380"/>
      <c r="H98" s="380"/>
      <c r="I98" s="380"/>
      <c r="J98" s="361">
        <f t="shared" si="4"/>
        <v>0</v>
      </c>
      <c r="K98" s="361">
        <f t="shared" si="5"/>
        <v>0</v>
      </c>
    </row>
    <row r="99" spans="1:11">
      <c r="A99" s="317" t="s">
        <v>415</v>
      </c>
      <c r="B99" s="383"/>
      <c r="C99" s="383"/>
      <c r="D99" s="380"/>
      <c r="E99" s="380"/>
      <c r="F99" s="380"/>
      <c r="G99" s="380"/>
      <c r="H99" s="380"/>
      <c r="I99" s="380"/>
      <c r="J99" s="361">
        <f t="shared" si="4"/>
        <v>0</v>
      </c>
      <c r="K99" s="361">
        <f t="shared" si="5"/>
        <v>0</v>
      </c>
    </row>
    <row r="100" spans="1:11">
      <c r="A100" s="317" t="s">
        <v>416</v>
      </c>
      <c r="B100" s="383"/>
      <c r="C100" s="383"/>
      <c r="D100" s="380"/>
      <c r="E100" s="380"/>
      <c r="F100" s="380"/>
      <c r="G100" s="380"/>
      <c r="H100" s="380"/>
      <c r="I100" s="380"/>
      <c r="J100" s="361">
        <f t="shared" si="4"/>
        <v>0</v>
      </c>
      <c r="K100" s="361">
        <f t="shared" si="5"/>
        <v>0</v>
      </c>
    </row>
    <row r="101" spans="1:11">
      <c r="A101" s="317" t="s">
        <v>417</v>
      </c>
      <c r="B101" s="383"/>
      <c r="C101" s="383"/>
      <c r="D101" s="380"/>
      <c r="E101" s="380"/>
      <c r="F101" s="380"/>
      <c r="G101" s="380"/>
      <c r="H101" s="380"/>
      <c r="I101" s="380"/>
      <c r="J101" s="361">
        <f t="shared" si="4"/>
        <v>0</v>
      </c>
      <c r="K101" s="361">
        <f t="shared" si="5"/>
        <v>0</v>
      </c>
    </row>
    <row r="102" spans="1:11">
      <c r="A102" s="317" t="s">
        <v>418</v>
      </c>
      <c r="B102" s="383"/>
      <c r="C102" s="383"/>
      <c r="D102" s="380"/>
      <c r="E102" s="380"/>
      <c r="F102" s="380"/>
      <c r="G102" s="380"/>
      <c r="H102" s="380"/>
      <c r="I102" s="380"/>
      <c r="J102" s="361">
        <f t="shared" si="4"/>
        <v>0</v>
      </c>
      <c r="K102" s="361">
        <f t="shared" si="5"/>
        <v>0</v>
      </c>
    </row>
    <row r="103" spans="1:11">
      <c r="A103" s="317" t="s">
        <v>419</v>
      </c>
      <c r="B103" s="383"/>
      <c r="C103" s="383"/>
      <c r="D103" s="380"/>
      <c r="E103" s="380"/>
      <c r="F103" s="380"/>
      <c r="G103" s="380"/>
      <c r="H103" s="380"/>
      <c r="I103" s="380"/>
      <c r="J103" s="361">
        <f t="shared" si="4"/>
        <v>0</v>
      </c>
      <c r="K103" s="361">
        <f t="shared" si="5"/>
        <v>0</v>
      </c>
    </row>
    <row r="104" spans="1:11">
      <c r="A104" s="315" t="s">
        <v>420</v>
      </c>
      <c r="B104" s="384"/>
      <c r="C104" s="384"/>
      <c r="D104" s="380"/>
      <c r="E104" s="380"/>
      <c r="F104" s="380"/>
      <c r="G104" s="380"/>
      <c r="H104" s="380"/>
      <c r="I104" s="380"/>
      <c r="J104" s="361">
        <f t="shared" si="4"/>
        <v>0</v>
      </c>
      <c r="K104" s="361">
        <f t="shared" si="5"/>
        <v>0</v>
      </c>
    </row>
    <row r="105" spans="1:11">
      <c r="A105" s="315" t="s">
        <v>421</v>
      </c>
      <c r="B105" s="384">
        <v>914</v>
      </c>
      <c r="C105" s="384">
        <v>2991</v>
      </c>
      <c r="D105" s="380">
        <v>150</v>
      </c>
      <c r="E105" s="380">
        <v>574</v>
      </c>
      <c r="F105" s="380">
        <v>400</v>
      </c>
      <c r="G105" s="380">
        <v>1634</v>
      </c>
      <c r="H105" s="380">
        <v>57052</v>
      </c>
      <c r="I105" s="380">
        <v>106941</v>
      </c>
      <c r="J105" s="361">
        <f t="shared" si="4"/>
        <v>58516</v>
      </c>
      <c r="K105" s="361">
        <f t="shared" si="5"/>
        <v>112140</v>
      </c>
    </row>
    <row r="106" spans="1:11">
      <c r="A106" s="317" t="s">
        <v>422</v>
      </c>
      <c r="B106" s="383"/>
      <c r="C106" s="383"/>
      <c r="D106" s="380"/>
      <c r="E106" s="380"/>
      <c r="F106" s="380"/>
      <c r="G106" s="380"/>
      <c r="H106" s="380"/>
      <c r="I106" s="380"/>
      <c r="J106" s="361">
        <f t="shared" si="4"/>
        <v>0</v>
      </c>
      <c r="K106" s="361">
        <f t="shared" si="5"/>
        <v>0</v>
      </c>
    </row>
    <row r="107" spans="1:11">
      <c r="A107" s="317" t="s">
        <v>423</v>
      </c>
      <c r="B107" s="383"/>
      <c r="C107" s="383"/>
      <c r="D107" s="380"/>
      <c r="E107" s="380"/>
      <c r="F107" s="380"/>
      <c r="G107" s="380"/>
      <c r="H107" s="380"/>
      <c r="I107" s="380"/>
      <c r="J107" s="361">
        <f t="shared" si="4"/>
        <v>0</v>
      </c>
      <c r="K107" s="361">
        <f t="shared" si="5"/>
        <v>0</v>
      </c>
    </row>
    <row r="108" spans="1:11">
      <c r="A108" s="317" t="s">
        <v>424</v>
      </c>
      <c r="B108" s="383"/>
      <c r="C108" s="383"/>
      <c r="D108" s="380"/>
      <c r="E108" s="380"/>
      <c r="F108" s="380"/>
      <c r="G108" s="380"/>
      <c r="H108" s="380"/>
      <c r="I108" s="380"/>
      <c r="J108" s="361">
        <f t="shared" si="4"/>
        <v>0</v>
      </c>
      <c r="K108" s="361">
        <f t="shared" si="5"/>
        <v>0</v>
      </c>
    </row>
    <row r="109" spans="1:11">
      <c r="A109" s="317" t="s">
        <v>425</v>
      </c>
      <c r="B109" s="383"/>
      <c r="C109" s="383"/>
      <c r="D109" s="380"/>
      <c r="E109" s="380"/>
      <c r="F109" s="380"/>
      <c r="G109" s="380"/>
      <c r="H109" s="380"/>
      <c r="I109" s="380"/>
      <c r="J109" s="361">
        <f t="shared" si="4"/>
        <v>0</v>
      </c>
      <c r="K109" s="361">
        <f t="shared" si="5"/>
        <v>0</v>
      </c>
    </row>
    <row r="110" spans="1:11">
      <c r="A110" s="317" t="s">
        <v>426</v>
      </c>
      <c r="B110" s="383"/>
      <c r="C110" s="383"/>
      <c r="D110" s="380"/>
      <c r="E110" s="380"/>
      <c r="F110" s="380"/>
      <c r="G110" s="380"/>
      <c r="H110" s="380"/>
      <c r="I110" s="380"/>
      <c r="J110" s="361">
        <f t="shared" si="4"/>
        <v>0</v>
      </c>
      <c r="K110" s="361">
        <f t="shared" si="5"/>
        <v>0</v>
      </c>
    </row>
    <row r="111" spans="1:11">
      <c r="A111" s="317" t="s">
        <v>427</v>
      </c>
      <c r="B111" s="383"/>
      <c r="C111" s="383"/>
      <c r="D111" s="380"/>
      <c r="E111" s="380"/>
      <c r="F111" s="380"/>
      <c r="G111" s="380"/>
      <c r="H111" s="380"/>
      <c r="I111" s="380"/>
      <c r="J111" s="361">
        <f t="shared" si="4"/>
        <v>0</v>
      </c>
      <c r="K111" s="361">
        <f t="shared" si="5"/>
        <v>0</v>
      </c>
    </row>
    <row r="112" spans="1:11">
      <c r="A112" s="317" t="s">
        <v>428</v>
      </c>
      <c r="B112" s="383"/>
      <c r="C112" s="383"/>
      <c r="D112" s="380"/>
      <c r="E112" s="380"/>
      <c r="F112" s="380"/>
      <c r="G112" s="380"/>
      <c r="H112" s="380"/>
      <c r="I112" s="380"/>
      <c r="J112" s="361">
        <f t="shared" si="4"/>
        <v>0</v>
      </c>
      <c r="K112" s="361">
        <f t="shared" si="5"/>
        <v>0</v>
      </c>
    </row>
    <row r="113" spans="1:11">
      <c r="A113" s="317" t="s">
        <v>429</v>
      </c>
      <c r="B113" s="383"/>
      <c r="C113" s="383"/>
      <c r="D113" s="380"/>
      <c r="E113" s="380"/>
      <c r="F113" s="380"/>
      <c r="G113" s="380"/>
      <c r="H113" s="380"/>
      <c r="I113" s="380"/>
      <c r="J113" s="361">
        <f t="shared" si="4"/>
        <v>0</v>
      </c>
      <c r="K113" s="361">
        <f t="shared" si="5"/>
        <v>0</v>
      </c>
    </row>
    <row r="114" spans="1:11">
      <c r="A114" s="315" t="s">
        <v>430</v>
      </c>
      <c r="B114" s="384"/>
      <c r="C114" s="384"/>
      <c r="D114" s="380"/>
      <c r="E114" s="380"/>
      <c r="F114" s="380"/>
      <c r="G114" s="380"/>
      <c r="H114" s="380"/>
      <c r="I114" s="380"/>
      <c r="J114" s="361">
        <f t="shared" si="4"/>
        <v>0</v>
      </c>
      <c r="K114" s="361">
        <f t="shared" si="5"/>
        <v>0</v>
      </c>
    </row>
    <row r="115" spans="1:11">
      <c r="A115" s="317" t="s">
        <v>431</v>
      </c>
      <c r="B115" s="383"/>
      <c r="C115" s="383"/>
      <c r="D115" s="380"/>
      <c r="E115" s="380"/>
      <c r="F115" s="380"/>
      <c r="G115" s="380"/>
      <c r="H115" s="380"/>
      <c r="I115" s="380"/>
      <c r="J115" s="361">
        <f t="shared" si="4"/>
        <v>0</v>
      </c>
      <c r="K115" s="361">
        <f t="shared" si="5"/>
        <v>0</v>
      </c>
    </row>
    <row r="116" spans="1:11" ht="30">
      <c r="A116" s="317" t="s">
        <v>432</v>
      </c>
      <c r="B116" s="383"/>
      <c r="C116" s="383"/>
      <c r="D116" s="380"/>
      <c r="E116" s="380"/>
      <c r="F116" s="380"/>
      <c r="G116" s="380"/>
      <c r="H116" s="380"/>
      <c r="I116" s="380"/>
      <c r="J116" s="361">
        <f t="shared" si="4"/>
        <v>0</v>
      </c>
      <c r="K116" s="361">
        <f t="shared" si="5"/>
        <v>0</v>
      </c>
    </row>
    <row r="117" spans="1:11">
      <c r="A117" s="317" t="s">
        <v>433</v>
      </c>
      <c r="B117" s="383"/>
      <c r="C117" s="383"/>
      <c r="D117" s="380"/>
      <c r="E117" s="380"/>
      <c r="F117" s="380"/>
      <c r="G117" s="380"/>
      <c r="H117" s="380"/>
      <c r="I117" s="380"/>
      <c r="J117" s="361">
        <f t="shared" si="4"/>
        <v>0</v>
      </c>
      <c r="K117" s="361">
        <f t="shared" si="5"/>
        <v>0</v>
      </c>
    </row>
    <row r="118" spans="1:11">
      <c r="A118" s="317" t="s">
        <v>434</v>
      </c>
      <c r="B118" s="383"/>
      <c r="C118" s="383"/>
      <c r="D118" s="380"/>
      <c r="E118" s="380"/>
      <c r="F118" s="380"/>
      <c r="G118" s="380"/>
      <c r="H118" s="380"/>
      <c r="I118" s="380"/>
      <c r="J118" s="361">
        <f t="shared" si="4"/>
        <v>0</v>
      </c>
      <c r="K118" s="361">
        <f t="shared" si="5"/>
        <v>0</v>
      </c>
    </row>
    <row r="119" spans="1:11" ht="30">
      <c r="A119" s="317" t="s">
        <v>435</v>
      </c>
      <c r="B119" s="383"/>
      <c r="C119" s="383"/>
      <c r="D119" s="380"/>
      <c r="E119" s="380"/>
      <c r="F119" s="380"/>
      <c r="G119" s="380"/>
      <c r="H119" s="380"/>
      <c r="I119" s="380"/>
      <c r="J119" s="361">
        <f t="shared" si="4"/>
        <v>0</v>
      </c>
      <c r="K119" s="361">
        <f t="shared" si="5"/>
        <v>0</v>
      </c>
    </row>
    <row r="120" spans="1:11" ht="30">
      <c r="A120" s="317" t="s">
        <v>436</v>
      </c>
      <c r="B120" s="383"/>
      <c r="C120" s="383"/>
      <c r="D120" s="380"/>
      <c r="E120" s="380"/>
      <c r="F120" s="380"/>
      <c r="G120" s="380"/>
      <c r="H120" s="380"/>
      <c r="I120" s="380"/>
      <c r="J120" s="361">
        <f t="shared" si="4"/>
        <v>0</v>
      </c>
      <c r="K120" s="361">
        <f t="shared" si="5"/>
        <v>0</v>
      </c>
    </row>
    <row r="121" spans="1:11">
      <c r="A121" s="317" t="s">
        <v>437</v>
      </c>
      <c r="B121" s="383"/>
      <c r="C121" s="383"/>
      <c r="D121" s="380"/>
      <c r="E121" s="380"/>
      <c r="F121" s="380"/>
      <c r="G121" s="380"/>
      <c r="H121" s="380"/>
      <c r="I121" s="380"/>
      <c r="J121" s="361">
        <f t="shared" si="4"/>
        <v>0</v>
      </c>
      <c r="K121" s="361">
        <f t="shared" si="5"/>
        <v>0</v>
      </c>
    </row>
    <row r="122" spans="1:11">
      <c r="A122" s="317" t="s">
        <v>438</v>
      </c>
      <c r="B122" s="383"/>
      <c r="C122" s="383"/>
      <c r="D122" s="380"/>
      <c r="E122" s="380"/>
      <c r="F122" s="380"/>
      <c r="G122" s="380"/>
      <c r="H122" s="380"/>
      <c r="I122" s="380"/>
      <c r="J122" s="361">
        <f t="shared" si="4"/>
        <v>0</v>
      </c>
      <c r="K122" s="361">
        <f t="shared" si="5"/>
        <v>0</v>
      </c>
    </row>
    <row r="123" spans="1:11" ht="30">
      <c r="A123" s="317" t="s">
        <v>439</v>
      </c>
      <c r="B123" s="383"/>
      <c r="C123" s="383"/>
      <c r="D123" s="380"/>
      <c r="E123" s="380"/>
      <c r="F123" s="380"/>
      <c r="G123" s="380"/>
      <c r="H123" s="380"/>
      <c r="I123" s="380"/>
      <c r="J123" s="361">
        <f t="shared" si="4"/>
        <v>0</v>
      </c>
      <c r="K123" s="361">
        <f t="shared" si="5"/>
        <v>0</v>
      </c>
    </row>
    <row r="124" spans="1:11" ht="30">
      <c r="A124" s="317" t="s">
        <v>440</v>
      </c>
      <c r="B124" s="383"/>
      <c r="C124" s="383"/>
      <c r="D124" s="380"/>
      <c r="E124" s="380"/>
      <c r="F124" s="380"/>
      <c r="G124" s="380"/>
      <c r="H124" s="380"/>
      <c r="I124" s="380"/>
      <c r="J124" s="361">
        <f t="shared" si="4"/>
        <v>0</v>
      </c>
      <c r="K124" s="361">
        <f t="shared" si="5"/>
        <v>0</v>
      </c>
    </row>
    <row r="125" spans="1:11" ht="30">
      <c r="A125" s="317" t="s">
        <v>441</v>
      </c>
      <c r="B125" s="383">
        <v>0</v>
      </c>
      <c r="C125" s="383">
        <v>27</v>
      </c>
      <c r="D125" s="380">
        <v>0</v>
      </c>
      <c r="E125" s="380">
        <v>27</v>
      </c>
      <c r="F125" s="380">
        <v>0</v>
      </c>
      <c r="G125" s="380">
        <v>67</v>
      </c>
      <c r="H125" s="380">
        <v>257</v>
      </c>
      <c r="I125" s="380">
        <v>635</v>
      </c>
      <c r="J125" s="361">
        <f t="shared" si="4"/>
        <v>257</v>
      </c>
      <c r="K125" s="361">
        <f t="shared" si="5"/>
        <v>756</v>
      </c>
    </row>
    <row r="126" spans="1:11">
      <c r="A126" s="317" t="s">
        <v>442</v>
      </c>
      <c r="B126" s="383">
        <v>0</v>
      </c>
      <c r="C126" s="383">
        <v>27</v>
      </c>
      <c r="D126" s="380">
        <v>0</v>
      </c>
      <c r="E126" s="380">
        <v>27</v>
      </c>
      <c r="F126" s="380">
        <v>0</v>
      </c>
      <c r="G126" s="380">
        <v>67</v>
      </c>
      <c r="H126" s="380">
        <v>257</v>
      </c>
      <c r="I126" s="380">
        <v>635</v>
      </c>
      <c r="J126" s="361">
        <f t="shared" si="4"/>
        <v>257</v>
      </c>
      <c r="K126" s="361">
        <f t="shared" si="5"/>
        <v>756</v>
      </c>
    </row>
    <row r="127" spans="1:11">
      <c r="A127" s="317" t="s">
        <v>443</v>
      </c>
      <c r="B127" s="383"/>
      <c r="C127" s="383"/>
      <c r="D127" s="380"/>
      <c r="E127" s="380"/>
      <c r="F127" s="380"/>
      <c r="G127" s="380"/>
      <c r="H127" s="380"/>
      <c r="I127" s="380"/>
      <c r="J127" s="361">
        <f t="shared" si="4"/>
        <v>0</v>
      </c>
      <c r="K127" s="361">
        <f t="shared" si="5"/>
        <v>0</v>
      </c>
    </row>
    <row r="128" spans="1:11">
      <c r="A128" s="317" t="s">
        <v>444</v>
      </c>
      <c r="B128" s="383"/>
      <c r="C128" s="383"/>
      <c r="D128" s="380"/>
      <c r="E128" s="380"/>
      <c r="F128" s="380"/>
      <c r="G128" s="380"/>
      <c r="H128" s="380">
        <v>13227</v>
      </c>
      <c r="I128" s="380">
        <v>12590</v>
      </c>
      <c r="J128" s="361">
        <f t="shared" si="4"/>
        <v>13227</v>
      </c>
      <c r="K128" s="361">
        <f t="shared" si="5"/>
        <v>12590</v>
      </c>
    </row>
    <row r="129" spans="1:11">
      <c r="A129" s="317" t="s">
        <v>445</v>
      </c>
      <c r="B129" s="383"/>
      <c r="C129" s="383"/>
      <c r="D129" s="380"/>
      <c r="E129" s="380"/>
      <c r="F129" s="380"/>
      <c r="G129" s="380"/>
      <c r="H129" s="380"/>
      <c r="I129" s="380"/>
      <c r="J129" s="361">
        <f t="shared" si="4"/>
        <v>0</v>
      </c>
      <c r="K129" s="361">
        <f t="shared" si="5"/>
        <v>0</v>
      </c>
    </row>
    <row r="130" spans="1:11">
      <c r="A130" s="317" t="s">
        <v>446</v>
      </c>
      <c r="B130" s="383"/>
      <c r="C130" s="383"/>
      <c r="D130" s="380"/>
      <c r="E130" s="380"/>
      <c r="F130" s="380"/>
      <c r="G130" s="380"/>
      <c r="H130" s="380"/>
      <c r="I130" s="380"/>
      <c r="J130" s="361">
        <f t="shared" si="4"/>
        <v>0</v>
      </c>
      <c r="K130" s="361">
        <f t="shared" si="5"/>
        <v>0</v>
      </c>
    </row>
    <row r="131" spans="1:11">
      <c r="A131" s="317" t="s">
        <v>447</v>
      </c>
      <c r="B131" s="383"/>
      <c r="C131" s="383"/>
      <c r="D131" s="380"/>
      <c r="E131" s="380"/>
      <c r="F131" s="380"/>
      <c r="G131" s="380"/>
      <c r="H131" s="380">
        <v>0</v>
      </c>
      <c r="I131" s="380">
        <v>2082</v>
      </c>
      <c r="J131" s="361">
        <f t="shared" si="4"/>
        <v>0</v>
      </c>
      <c r="K131" s="361">
        <f t="shared" si="5"/>
        <v>2082</v>
      </c>
    </row>
    <row r="132" spans="1:11">
      <c r="A132" s="317" t="s">
        <v>448</v>
      </c>
      <c r="B132" s="383"/>
      <c r="C132" s="383"/>
      <c r="D132" s="380"/>
      <c r="E132" s="380"/>
      <c r="F132" s="380"/>
      <c r="G132" s="380"/>
      <c r="H132" s="380">
        <v>10988</v>
      </c>
      <c r="I132" s="380">
        <v>9984</v>
      </c>
      <c r="J132" s="361">
        <f t="shared" si="4"/>
        <v>10988</v>
      </c>
      <c r="K132" s="361">
        <f t="shared" si="5"/>
        <v>9984</v>
      </c>
    </row>
    <row r="133" spans="1:11">
      <c r="A133" s="317" t="s">
        <v>449</v>
      </c>
      <c r="B133" s="383"/>
      <c r="C133" s="383"/>
      <c r="D133" s="380"/>
      <c r="E133" s="380"/>
      <c r="F133" s="380"/>
      <c r="G133" s="380"/>
      <c r="H133" s="380"/>
      <c r="I133" s="380"/>
      <c r="J133" s="361">
        <f t="shared" si="4"/>
        <v>0</v>
      </c>
      <c r="K133" s="361">
        <f t="shared" si="5"/>
        <v>0</v>
      </c>
    </row>
    <row r="134" spans="1:11">
      <c r="A134" s="317" t="s">
        <v>450</v>
      </c>
      <c r="B134" s="383"/>
      <c r="C134" s="383"/>
      <c r="D134" s="380"/>
      <c r="E134" s="380"/>
      <c r="F134" s="380"/>
      <c r="G134" s="380"/>
      <c r="H134" s="380"/>
      <c r="I134" s="380"/>
      <c r="J134" s="361">
        <f t="shared" si="4"/>
        <v>0</v>
      </c>
      <c r="K134" s="361">
        <f t="shared" si="5"/>
        <v>0</v>
      </c>
    </row>
    <row r="135" spans="1:11">
      <c r="A135" s="317" t="s">
        <v>451</v>
      </c>
      <c r="B135" s="383"/>
      <c r="C135" s="383"/>
      <c r="D135" s="380"/>
      <c r="E135" s="380"/>
      <c r="F135" s="380"/>
      <c r="G135" s="380"/>
      <c r="H135" s="380"/>
      <c r="I135" s="380"/>
      <c r="J135" s="361">
        <f t="shared" si="4"/>
        <v>0</v>
      </c>
      <c r="K135" s="361">
        <f t="shared" si="5"/>
        <v>0</v>
      </c>
    </row>
    <row r="136" spans="1:11">
      <c r="A136" s="317" t="s">
        <v>452</v>
      </c>
      <c r="B136" s="383"/>
      <c r="C136" s="383"/>
      <c r="D136" s="380"/>
      <c r="E136" s="380"/>
      <c r="F136" s="380"/>
      <c r="G136" s="380"/>
      <c r="H136" s="380"/>
      <c r="I136" s="380"/>
      <c r="J136" s="361">
        <f t="shared" si="4"/>
        <v>0</v>
      </c>
      <c r="K136" s="361">
        <f t="shared" si="5"/>
        <v>0</v>
      </c>
    </row>
    <row r="137" spans="1:11">
      <c r="A137" s="317" t="s">
        <v>453</v>
      </c>
      <c r="B137" s="383"/>
      <c r="C137" s="383"/>
      <c r="D137" s="380"/>
      <c r="E137" s="380"/>
      <c r="F137" s="380"/>
      <c r="G137" s="380"/>
      <c r="H137" s="380"/>
      <c r="I137" s="380"/>
      <c r="J137" s="361">
        <f t="shared" si="4"/>
        <v>0</v>
      </c>
      <c r="K137" s="361">
        <f t="shared" si="5"/>
        <v>0</v>
      </c>
    </row>
    <row r="138" spans="1:11">
      <c r="A138" s="317" t="s">
        <v>454</v>
      </c>
      <c r="B138" s="383"/>
      <c r="C138" s="383"/>
      <c r="D138" s="380"/>
      <c r="E138" s="380"/>
      <c r="F138" s="380"/>
      <c r="G138" s="380"/>
      <c r="H138" s="380"/>
      <c r="I138" s="380"/>
      <c r="J138" s="361">
        <f t="shared" si="4"/>
        <v>0</v>
      </c>
      <c r="K138" s="361">
        <f t="shared" si="5"/>
        <v>0</v>
      </c>
    </row>
    <row r="139" spans="1:11">
      <c r="A139" s="317" t="s">
        <v>455</v>
      </c>
      <c r="B139" s="383"/>
      <c r="C139" s="383"/>
      <c r="D139" s="380"/>
      <c r="E139" s="380"/>
      <c r="F139" s="380"/>
      <c r="G139" s="380"/>
      <c r="H139" s="380">
        <v>1621</v>
      </c>
      <c r="I139" s="380">
        <v>524</v>
      </c>
      <c r="J139" s="361">
        <f t="shared" si="4"/>
        <v>1621</v>
      </c>
      <c r="K139" s="361">
        <f t="shared" si="5"/>
        <v>524</v>
      </c>
    </row>
    <row r="140" spans="1:11">
      <c r="A140" s="317" t="s">
        <v>456</v>
      </c>
      <c r="B140" s="383"/>
      <c r="C140" s="383"/>
      <c r="D140" s="380"/>
      <c r="E140" s="380"/>
      <c r="F140" s="380"/>
      <c r="G140" s="380"/>
      <c r="H140" s="380">
        <v>618</v>
      </c>
      <c r="I140" s="380">
        <v>0</v>
      </c>
      <c r="J140" s="361">
        <f t="shared" si="4"/>
        <v>618</v>
      </c>
      <c r="K140" s="361">
        <f t="shared" si="5"/>
        <v>0</v>
      </c>
    </row>
    <row r="141" spans="1:11">
      <c r="A141" s="317" t="s">
        <v>457</v>
      </c>
      <c r="B141" s="383"/>
      <c r="C141" s="383"/>
      <c r="D141" s="380"/>
      <c r="E141" s="380"/>
      <c r="F141" s="380"/>
      <c r="G141" s="380"/>
      <c r="H141" s="380"/>
      <c r="I141" s="380"/>
      <c r="J141" s="361">
        <f t="shared" si="4"/>
        <v>0</v>
      </c>
      <c r="K141" s="361">
        <f t="shared" si="5"/>
        <v>0</v>
      </c>
    </row>
    <row r="142" spans="1:11">
      <c r="A142" s="315" t="s">
        <v>458</v>
      </c>
      <c r="B142" s="384">
        <v>0</v>
      </c>
      <c r="C142" s="384">
        <v>27</v>
      </c>
      <c r="D142" s="380">
        <v>0</v>
      </c>
      <c r="E142" s="380">
        <v>27</v>
      </c>
      <c r="F142" s="380">
        <v>0</v>
      </c>
      <c r="G142" s="380">
        <v>67</v>
      </c>
      <c r="H142" s="380">
        <v>13484</v>
      </c>
      <c r="I142" s="380">
        <v>13272</v>
      </c>
      <c r="J142" s="361">
        <f t="shared" si="4"/>
        <v>13484</v>
      </c>
      <c r="K142" s="361">
        <f t="shared" si="5"/>
        <v>13393</v>
      </c>
    </row>
    <row r="143" spans="1:11">
      <c r="A143" s="317" t="s">
        <v>459</v>
      </c>
      <c r="B143" s="383"/>
      <c r="C143" s="383"/>
      <c r="D143" s="380"/>
      <c r="E143" s="380"/>
      <c r="F143" s="380"/>
      <c r="G143" s="380"/>
      <c r="H143" s="380">
        <v>5154</v>
      </c>
      <c r="I143" s="380">
        <v>0</v>
      </c>
      <c r="J143" s="361">
        <f t="shared" si="4"/>
        <v>5154</v>
      </c>
      <c r="K143" s="361">
        <f t="shared" si="5"/>
        <v>0</v>
      </c>
    </row>
    <row r="144" spans="1:11">
      <c r="A144" s="317" t="s">
        <v>460</v>
      </c>
      <c r="B144" s="383"/>
      <c r="C144" s="383"/>
      <c r="D144" s="380"/>
      <c r="E144" s="380"/>
      <c r="F144" s="380">
        <v>86</v>
      </c>
      <c r="G144" s="380">
        <v>0</v>
      </c>
      <c r="H144" s="380">
        <v>16243</v>
      </c>
      <c r="I144" s="380">
        <v>32</v>
      </c>
      <c r="J144" s="361">
        <f t="shared" si="4"/>
        <v>16329</v>
      </c>
      <c r="K144" s="361">
        <f t="shared" si="5"/>
        <v>32</v>
      </c>
    </row>
    <row r="145" spans="1:11">
      <c r="A145" s="317" t="s">
        <v>461</v>
      </c>
      <c r="B145" s="383"/>
      <c r="C145" s="383"/>
      <c r="D145" s="380"/>
      <c r="E145" s="380"/>
      <c r="F145" s="380"/>
      <c r="G145" s="380"/>
      <c r="H145" s="380">
        <v>1</v>
      </c>
      <c r="I145" s="380">
        <v>0</v>
      </c>
      <c r="J145" s="361">
        <f t="shared" si="4"/>
        <v>1</v>
      </c>
      <c r="K145" s="361">
        <f t="shared" si="5"/>
        <v>0</v>
      </c>
    </row>
    <row r="146" spans="1:11">
      <c r="A146" s="317" t="s">
        <v>462</v>
      </c>
      <c r="B146" s="383"/>
      <c r="C146" s="383"/>
      <c r="D146" s="380"/>
      <c r="E146" s="380"/>
      <c r="F146" s="380"/>
      <c r="G146" s="380"/>
      <c r="H146" s="380">
        <v>690</v>
      </c>
      <c r="I146" s="380">
        <v>905</v>
      </c>
      <c r="J146" s="361">
        <f t="shared" si="4"/>
        <v>690</v>
      </c>
      <c r="K146" s="361">
        <f t="shared" si="5"/>
        <v>905</v>
      </c>
    </row>
    <row r="147" spans="1:11">
      <c r="A147" s="317" t="s">
        <v>463</v>
      </c>
      <c r="B147" s="383"/>
      <c r="C147" s="383"/>
      <c r="D147" s="380"/>
      <c r="E147" s="380"/>
      <c r="F147" s="380"/>
      <c r="G147" s="380"/>
      <c r="H147" s="380"/>
      <c r="I147" s="380"/>
      <c r="J147" s="361">
        <f t="shared" si="4"/>
        <v>0</v>
      </c>
      <c r="K147" s="361">
        <f t="shared" si="5"/>
        <v>0</v>
      </c>
    </row>
    <row r="148" spans="1:11">
      <c r="A148" s="317" t="s">
        <v>464</v>
      </c>
      <c r="B148" s="383"/>
      <c r="C148" s="383"/>
      <c r="D148" s="380"/>
      <c r="E148" s="380"/>
      <c r="F148" s="380"/>
      <c r="G148" s="380"/>
      <c r="H148" s="380"/>
      <c r="I148" s="380"/>
      <c r="J148" s="361">
        <f t="shared" ref="J148:K151" si="6">B148+D148+F148+H148</f>
        <v>0</v>
      </c>
      <c r="K148" s="361">
        <f t="shared" si="6"/>
        <v>0</v>
      </c>
    </row>
    <row r="149" spans="1:11">
      <c r="A149" s="315" t="s">
        <v>465</v>
      </c>
      <c r="B149" s="384"/>
      <c r="C149" s="384"/>
      <c r="D149" s="380"/>
      <c r="E149" s="380"/>
      <c r="F149" s="380">
        <v>86</v>
      </c>
      <c r="G149" s="380">
        <v>0</v>
      </c>
      <c r="H149" s="380">
        <v>22088</v>
      </c>
      <c r="I149" s="380">
        <v>937</v>
      </c>
      <c r="J149" s="361">
        <f t="shared" si="6"/>
        <v>22174</v>
      </c>
      <c r="K149" s="361">
        <f t="shared" si="6"/>
        <v>937</v>
      </c>
    </row>
    <row r="150" spans="1:11">
      <c r="A150" s="315" t="s">
        <v>466</v>
      </c>
      <c r="B150" s="384">
        <v>0</v>
      </c>
      <c r="C150" s="384">
        <v>27</v>
      </c>
      <c r="D150" s="380">
        <v>0</v>
      </c>
      <c r="E150" s="380">
        <v>27</v>
      </c>
      <c r="F150" s="380">
        <v>86</v>
      </c>
      <c r="G150" s="380">
        <v>0</v>
      </c>
      <c r="H150" s="380">
        <v>35572</v>
      </c>
      <c r="I150" s="380">
        <v>14209</v>
      </c>
      <c r="J150" s="361">
        <f t="shared" si="6"/>
        <v>35658</v>
      </c>
      <c r="K150" s="361">
        <f t="shared" si="6"/>
        <v>14263</v>
      </c>
    </row>
    <row r="151" spans="1:11">
      <c r="A151" s="322" t="s">
        <v>467</v>
      </c>
      <c r="B151" s="385">
        <v>914</v>
      </c>
      <c r="C151" s="385">
        <v>3569</v>
      </c>
      <c r="D151" s="381">
        <v>293</v>
      </c>
      <c r="E151" s="381">
        <v>1791</v>
      </c>
      <c r="F151" s="381">
        <v>1316</v>
      </c>
      <c r="G151" s="381">
        <v>2547</v>
      </c>
      <c r="H151" s="381">
        <v>4103678</v>
      </c>
      <c r="I151" s="381">
        <v>4321392</v>
      </c>
      <c r="J151" s="386">
        <f t="shared" si="6"/>
        <v>4106201</v>
      </c>
      <c r="K151" s="386">
        <f t="shared" si="6"/>
        <v>4329299</v>
      </c>
    </row>
  </sheetData>
  <mergeCells count="7">
    <mergeCell ref="J4:K4"/>
    <mergeCell ref="D4:E4"/>
    <mergeCell ref="A6:C6"/>
    <mergeCell ref="A82:C82"/>
    <mergeCell ref="B4:C4"/>
    <mergeCell ref="F4:G4"/>
    <mergeCell ref="H4:I4"/>
  </mergeCells>
  <phoneticPr fontId="32" type="noConversion"/>
  <printOptions horizontalCentered="1"/>
  <pageMargins left="0.23622047244094491" right="0.15748031496062992" top="0.11811023622047245" bottom="0.19685039370078741" header="7.874015748031496E-2" footer="0.11811023622047245"/>
  <pageSetup paperSize="9" scale="45" fitToHeight="2" orientation="portrait" horizontalDpi="300" verticalDpi="300" r:id="rId1"/>
  <headerFooter alignWithMargins="0"/>
  <rowBreaks count="1" manualBreakCount="1">
    <brk id="81" max="10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G37"/>
  <sheetViews>
    <sheetView workbookViewId="0">
      <selection activeCell="G8" sqref="G8"/>
    </sheetView>
  </sheetViews>
  <sheetFormatPr defaultRowHeight="12.75"/>
  <cols>
    <col min="1" max="1" width="39.85546875" style="175" customWidth="1"/>
    <col min="2" max="2" width="16" style="175" bestFit="1" customWidth="1"/>
    <col min="3" max="3" width="9.140625" style="175"/>
    <col min="4" max="7" width="13.140625" style="175" bestFit="1" customWidth="1"/>
    <col min="8" max="16384" width="9.140625" style="175"/>
  </cols>
  <sheetData>
    <row r="1" spans="1:7">
      <c r="A1" s="474" t="s">
        <v>548</v>
      </c>
      <c r="B1" s="242" t="s">
        <v>549</v>
      </c>
      <c r="C1" s="243" t="s">
        <v>161</v>
      </c>
      <c r="D1" s="242" t="s">
        <v>549</v>
      </c>
      <c r="E1" s="243" t="s">
        <v>550</v>
      </c>
      <c r="F1" s="242" t="s">
        <v>161</v>
      </c>
      <c r="G1" s="242" t="s">
        <v>550</v>
      </c>
    </row>
    <row r="2" spans="1:7">
      <c r="A2" s="475"/>
      <c r="B2" s="245" t="s">
        <v>551</v>
      </c>
      <c r="C2" s="246" t="s">
        <v>165</v>
      </c>
      <c r="D2" s="245" t="s">
        <v>552</v>
      </c>
      <c r="E2" s="246" t="s">
        <v>551</v>
      </c>
      <c r="F2" s="245" t="s">
        <v>165</v>
      </c>
      <c r="G2" s="245" t="s">
        <v>552</v>
      </c>
    </row>
    <row r="3" spans="1:7">
      <c r="A3" s="475"/>
      <c r="B3" s="245" t="s">
        <v>553</v>
      </c>
      <c r="C3" s="246" t="s">
        <v>554</v>
      </c>
      <c r="D3" s="245" t="s">
        <v>555</v>
      </c>
      <c r="E3" s="246" t="s">
        <v>553</v>
      </c>
      <c r="F3" s="245" t="s">
        <v>554</v>
      </c>
      <c r="G3" s="245" t="s">
        <v>555</v>
      </c>
    </row>
    <row r="4" spans="1:7">
      <c r="A4" s="475"/>
      <c r="B4" s="245" t="s">
        <v>556</v>
      </c>
      <c r="C4" s="247"/>
      <c r="D4" s="245" t="s">
        <v>553</v>
      </c>
      <c r="E4" s="247"/>
      <c r="F4" s="248"/>
      <c r="G4" s="245" t="s">
        <v>553</v>
      </c>
    </row>
    <row r="5" spans="1:7">
      <c r="A5" s="475"/>
      <c r="B5" s="248"/>
      <c r="C5" s="247"/>
      <c r="D5" s="245" t="s">
        <v>556</v>
      </c>
      <c r="E5" s="247"/>
      <c r="F5" s="248"/>
      <c r="G5" s="245" t="s">
        <v>556</v>
      </c>
    </row>
    <row r="6" spans="1:7" ht="15.75">
      <c r="A6" s="249" t="s">
        <v>557</v>
      </c>
      <c r="B6" s="250">
        <f>B7+B8+B9+B10</f>
        <v>3971756</v>
      </c>
      <c r="C6" s="250">
        <f>C7+C8+C9+C10</f>
        <v>5682</v>
      </c>
      <c r="D6" s="250">
        <f>B6+C6</f>
        <v>3977438</v>
      </c>
      <c r="E6" s="250">
        <v>4149610</v>
      </c>
      <c r="F6" s="250">
        <v>0</v>
      </c>
      <c r="G6" s="250">
        <f>E6+F6</f>
        <v>4149610</v>
      </c>
    </row>
    <row r="7" spans="1:7" ht="15.75">
      <c r="A7" s="249" t="s">
        <v>558</v>
      </c>
      <c r="B7" s="250">
        <v>10864</v>
      </c>
      <c r="C7" s="250">
        <v>-1375</v>
      </c>
      <c r="D7" s="250">
        <f>B7+C7</f>
        <v>9489</v>
      </c>
      <c r="E7" s="250">
        <v>11267</v>
      </c>
      <c r="F7" s="250">
        <v>0</v>
      </c>
      <c r="G7" s="250">
        <f>E7+F7</f>
        <v>11267</v>
      </c>
    </row>
    <row r="8" spans="1:7" ht="15.75">
      <c r="A8" s="249" t="s">
        <v>559</v>
      </c>
      <c r="B8" s="250">
        <v>3597794</v>
      </c>
      <c r="C8" s="250">
        <f>7251-194</f>
        <v>7057</v>
      </c>
      <c r="D8" s="250">
        <f>B8+C8</f>
        <v>3604851</v>
      </c>
      <c r="E8" s="250">
        <v>3269201</v>
      </c>
      <c r="F8" s="250">
        <v>0</v>
      </c>
      <c r="G8" s="250">
        <f>E8+F8</f>
        <v>3269201</v>
      </c>
    </row>
    <row r="9" spans="1:7" ht="15.75">
      <c r="A9" s="249" t="s">
        <v>560</v>
      </c>
      <c r="B9" s="250">
        <v>55237</v>
      </c>
      <c r="C9" s="250">
        <v>0</v>
      </c>
      <c r="D9" s="250">
        <f>B9+C9</f>
        <v>55237</v>
      </c>
      <c r="E9" s="250">
        <v>54407</v>
      </c>
      <c r="F9" s="250">
        <v>0</v>
      </c>
      <c r="G9" s="250">
        <f>E9+F9</f>
        <v>54407</v>
      </c>
    </row>
    <row r="10" spans="1:7" ht="15.75">
      <c r="A10" s="251" t="s">
        <v>561</v>
      </c>
      <c r="B10" s="476">
        <v>307861</v>
      </c>
      <c r="C10" s="476"/>
      <c r="D10" s="470">
        <f>B10+C10</f>
        <v>307861</v>
      </c>
      <c r="E10" s="476">
        <v>814735</v>
      </c>
      <c r="F10" s="476"/>
      <c r="G10" s="470">
        <f>E10+F10</f>
        <v>814735</v>
      </c>
    </row>
    <row r="11" spans="1:7" ht="15.75">
      <c r="A11" s="251" t="s">
        <v>562</v>
      </c>
      <c r="B11" s="476"/>
      <c r="C11" s="476"/>
      <c r="D11" s="471"/>
      <c r="E11" s="476"/>
      <c r="F11" s="476"/>
      <c r="G11" s="471"/>
    </row>
    <row r="12" spans="1:7" ht="15.75">
      <c r="A12" s="251" t="s">
        <v>563</v>
      </c>
      <c r="B12" s="476"/>
      <c r="C12" s="476"/>
      <c r="D12" s="472"/>
      <c r="E12" s="476"/>
      <c r="F12" s="476"/>
      <c r="G12" s="472"/>
    </row>
    <row r="13" spans="1:7" ht="15.75">
      <c r="A13" s="249" t="s">
        <v>564</v>
      </c>
      <c r="B13" s="250">
        <f>SUM(B14:B18)</f>
        <v>136661</v>
      </c>
      <c r="C13" s="250">
        <f>SUM(C14:C18)</f>
        <v>1345</v>
      </c>
      <c r="D13" s="250">
        <f t="shared" ref="D13:D19" si="0">B13+C13</f>
        <v>138006</v>
      </c>
      <c r="E13" s="250">
        <v>179689</v>
      </c>
      <c r="F13" s="250"/>
      <c r="G13" s="250">
        <f t="shared" ref="G13:G19" si="1">E13+F13</f>
        <v>179689</v>
      </c>
    </row>
    <row r="14" spans="1:7" ht="15.75">
      <c r="A14" s="249" t="s">
        <v>565</v>
      </c>
      <c r="B14" s="250">
        <v>410</v>
      </c>
      <c r="C14" s="250"/>
      <c r="D14" s="250">
        <f t="shared" si="0"/>
        <v>410</v>
      </c>
      <c r="E14" s="250">
        <v>288</v>
      </c>
      <c r="F14" s="250"/>
      <c r="G14" s="250">
        <f t="shared" si="1"/>
        <v>288</v>
      </c>
    </row>
    <row r="15" spans="1:7" ht="15.75">
      <c r="A15" s="249" t="s">
        <v>566</v>
      </c>
      <c r="B15" s="250">
        <v>53873</v>
      </c>
      <c r="C15" s="250">
        <f>2000-655</f>
        <v>1345</v>
      </c>
      <c r="D15" s="250">
        <f t="shared" si="0"/>
        <v>55218</v>
      </c>
      <c r="E15" s="250">
        <v>66324</v>
      </c>
      <c r="F15" s="250"/>
      <c r="G15" s="250">
        <f t="shared" si="1"/>
        <v>66324</v>
      </c>
    </row>
    <row r="16" spans="1:7" ht="15.75">
      <c r="A16" s="249" t="s">
        <v>567</v>
      </c>
      <c r="B16" s="250">
        <v>38</v>
      </c>
      <c r="C16" s="250"/>
      <c r="D16" s="250">
        <f t="shared" si="0"/>
        <v>38</v>
      </c>
      <c r="E16" s="250">
        <v>38</v>
      </c>
      <c r="F16" s="250"/>
      <c r="G16" s="250">
        <f t="shared" si="1"/>
        <v>38</v>
      </c>
    </row>
    <row r="17" spans="1:7" ht="15.75">
      <c r="A17" s="249" t="s">
        <v>568</v>
      </c>
      <c r="B17" s="250">
        <v>60713</v>
      </c>
      <c r="C17" s="250"/>
      <c r="D17" s="250">
        <f t="shared" si="0"/>
        <v>60713</v>
      </c>
      <c r="E17" s="250">
        <v>104750</v>
      </c>
      <c r="F17" s="250"/>
      <c r="G17" s="250">
        <f t="shared" si="1"/>
        <v>104750</v>
      </c>
    </row>
    <row r="18" spans="1:7" ht="15.75">
      <c r="A18" s="249" t="s">
        <v>569</v>
      </c>
      <c r="B18" s="250">
        <v>21627</v>
      </c>
      <c r="C18" s="250"/>
      <c r="D18" s="250">
        <f t="shared" si="0"/>
        <v>21627</v>
      </c>
      <c r="E18" s="250">
        <v>8289</v>
      </c>
      <c r="F18" s="250"/>
      <c r="G18" s="250">
        <f t="shared" si="1"/>
        <v>8289</v>
      </c>
    </row>
    <row r="19" spans="1:7" ht="15.75">
      <c r="A19" s="252" t="s">
        <v>271</v>
      </c>
      <c r="B19" s="250">
        <f>B13+B6</f>
        <v>4108417</v>
      </c>
      <c r="C19" s="250">
        <f>C13+C6</f>
        <v>7027</v>
      </c>
      <c r="D19" s="250">
        <f t="shared" si="0"/>
        <v>4115444</v>
      </c>
      <c r="E19" s="250">
        <v>4329299</v>
      </c>
      <c r="F19" s="250">
        <f>F13+F6</f>
        <v>0</v>
      </c>
      <c r="G19" s="250">
        <f t="shared" si="1"/>
        <v>4329299</v>
      </c>
    </row>
    <row r="20" spans="1:7">
      <c r="A20" s="253" t="s">
        <v>158</v>
      </c>
    </row>
    <row r="21" spans="1:7">
      <c r="A21" s="473" t="s">
        <v>570</v>
      </c>
      <c r="B21" s="241" t="s">
        <v>549</v>
      </c>
      <c r="C21" s="242" t="s">
        <v>161</v>
      </c>
      <c r="D21" s="243" t="s">
        <v>549</v>
      </c>
      <c r="E21" s="242" t="s">
        <v>550</v>
      </c>
      <c r="F21" s="243" t="s">
        <v>161</v>
      </c>
      <c r="G21" s="242" t="s">
        <v>550</v>
      </c>
    </row>
    <row r="22" spans="1:7">
      <c r="A22" s="473"/>
      <c r="B22" s="244" t="s">
        <v>551</v>
      </c>
      <c r="C22" s="245" t="s">
        <v>165</v>
      </c>
      <c r="D22" s="246" t="s">
        <v>552</v>
      </c>
      <c r="E22" s="245" t="s">
        <v>551</v>
      </c>
      <c r="F22" s="246" t="s">
        <v>165</v>
      </c>
      <c r="G22" s="245" t="s">
        <v>552</v>
      </c>
    </row>
    <row r="23" spans="1:7">
      <c r="A23" s="473"/>
      <c r="B23" s="244" t="s">
        <v>553</v>
      </c>
      <c r="C23" s="245" t="s">
        <v>554</v>
      </c>
      <c r="D23" s="246" t="s">
        <v>555</v>
      </c>
      <c r="E23" s="245" t="s">
        <v>553</v>
      </c>
      <c r="F23" s="246" t="s">
        <v>554</v>
      </c>
      <c r="G23" s="245" t="s">
        <v>555</v>
      </c>
    </row>
    <row r="24" spans="1:7">
      <c r="A24" s="473"/>
      <c r="B24" s="244" t="s">
        <v>556</v>
      </c>
      <c r="C24" s="248"/>
      <c r="D24" s="246" t="s">
        <v>553</v>
      </c>
      <c r="E24" s="248"/>
      <c r="F24" s="247"/>
      <c r="G24" s="245" t="s">
        <v>553</v>
      </c>
    </row>
    <row r="25" spans="1:7">
      <c r="A25" s="473"/>
      <c r="B25" s="254"/>
      <c r="C25" s="255"/>
      <c r="D25" s="256" t="s">
        <v>556</v>
      </c>
      <c r="E25" s="255"/>
      <c r="F25" s="257"/>
      <c r="G25" s="258" t="s">
        <v>556</v>
      </c>
    </row>
    <row r="26" spans="1:7" ht="15.75">
      <c r="A26" s="249" t="s">
        <v>571</v>
      </c>
      <c r="B26" s="250">
        <f>B27+B28</f>
        <v>4012555</v>
      </c>
      <c r="C26" s="250">
        <f>C27+C28</f>
        <v>7023</v>
      </c>
      <c r="D26" s="250">
        <f t="shared" ref="D26:D37" si="2">B26+C26</f>
        <v>4019578</v>
      </c>
      <c r="E26" s="250">
        <v>4202829</v>
      </c>
      <c r="F26" s="250"/>
      <c r="G26" s="250">
        <f t="shared" ref="G26:G37" si="3">E26+F26</f>
        <v>4202829</v>
      </c>
    </row>
    <row r="27" spans="1:7" ht="15.75">
      <c r="A27" s="249" t="s">
        <v>572</v>
      </c>
      <c r="B27" s="250">
        <v>40231</v>
      </c>
      <c r="C27" s="250"/>
      <c r="D27" s="250">
        <f t="shared" si="2"/>
        <v>40231</v>
      </c>
      <c r="E27" s="250">
        <v>40231</v>
      </c>
      <c r="F27" s="250"/>
      <c r="G27" s="250">
        <f t="shared" si="3"/>
        <v>40231</v>
      </c>
    </row>
    <row r="28" spans="1:7" ht="15.75">
      <c r="A28" s="249" t="s">
        <v>573</v>
      </c>
      <c r="B28" s="250">
        <v>3972324</v>
      </c>
      <c r="C28" s="250">
        <f>7027-4</f>
        <v>7023</v>
      </c>
      <c r="D28" s="250">
        <f t="shared" si="2"/>
        <v>3979347</v>
      </c>
      <c r="E28" s="250">
        <v>4162598</v>
      </c>
      <c r="F28" s="250"/>
      <c r="G28" s="250">
        <f t="shared" si="3"/>
        <v>4162598</v>
      </c>
    </row>
    <row r="29" spans="1:7" ht="15.75">
      <c r="A29" s="249" t="s">
        <v>574</v>
      </c>
      <c r="B29" s="250">
        <v>0</v>
      </c>
      <c r="C29" s="250"/>
      <c r="D29" s="250">
        <f t="shared" si="2"/>
        <v>0</v>
      </c>
      <c r="E29" s="250">
        <v>0</v>
      </c>
      <c r="F29" s="250"/>
      <c r="G29" s="250">
        <f t="shared" si="3"/>
        <v>0</v>
      </c>
    </row>
    <row r="30" spans="1:7" ht="15.75">
      <c r="A30" s="249" t="s">
        <v>575</v>
      </c>
      <c r="B30" s="250">
        <f>B31+B32</f>
        <v>60204</v>
      </c>
      <c r="C30" s="250">
        <f>C31+C32</f>
        <v>0</v>
      </c>
      <c r="D30" s="250">
        <f t="shared" si="2"/>
        <v>60204</v>
      </c>
      <c r="E30" s="250">
        <v>112140</v>
      </c>
      <c r="F30" s="250">
        <f>F31+F32</f>
        <v>0</v>
      </c>
      <c r="G30" s="250">
        <f t="shared" si="3"/>
        <v>112140</v>
      </c>
    </row>
    <row r="31" spans="1:7" ht="15.75">
      <c r="A31" s="249" t="s">
        <v>576</v>
      </c>
      <c r="B31" s="250">
        <v>60204</v>
      </c>
      <c r="C31" s="250"/>
      <c r="D31" s="250">
        <f t="shared" si="2"/>
        <v>60204</v>
      </c>
      <c r="E31" s="250">
        <v>112140</v>
      </c>
      <c r="F31" s="250"/>
      <c r="G31" s="250">
        <f t="shared" si="3"/>
        <v>112140</v>
      </c>
    </row>
    <row r="32" spans="1:7" ht="15.75">
      <c r="A32" s="249" t="s">
        <v>577</v>
      </c>
      <c r="B32" s="250">
        <v>0</v>
      </c>
      <c r="C32" s="250"/>
      <c r="D32" s="250">
        <f t="shared" si="2"/>
        <v>0</v>
      </c>
      <c r="E32" s="250">
        <v>0</v>
      </c>
      <c r="F32" s="250"/>
      <c r="G32" s="250">
        <f t="shared" si="3"/>
        <v>0</v>
      </c>
    </row>
    <row r="33" spans="1:7" ht="15.75">
      <c r="A33" s="249" t="s">
        <v>578</v>
      </c>
      <c r="B33" s="250">
        <f>B34+B35+B36</f>
        <v>35658</v>
      </c>
      <c r="C33" s="250">
        <f>C34+C35+C36</f>
        <v>4</v>
      </c>
      <c r="D33" s="250">
        <f t="shared" si="2"/>
        <v>35662</v>
      </c>
      <c r="E33" s="250">
        <v>14330</v>
      </c>
      <c r="F33" s="250"/>
      <c r="G33" s="250">
        <f t="shared" si="3"/>
        <v>14330</v>
      </c>
    </row>
    <row r="34" spans="1:7" ht="15.75">
      <c r="A34" s="249" t="s">
        <v>579</v>
      </c>
      <c r="B34" s="250">
        <v>0</v>
      </c>
      <c r="C34" s="250"/>
      <c r="D34" s="250">
        <f t="shared" si="2"/>
        <v>0</v>
      </c>
      <c r="E34" s="250">
        <v>0</v>
      </c>
      <c r="F34" s="250"/>
      <c r="G34" s="250">
        <f t="shared" si="3"/>
        <v>0</v>
      </c>
    </row>
    <row r="35" spans="1:7" ht="15.75">
      <c r="A35" s="249" t="s">
        <v>580</v>
      </c>
      <c r="B35" s="250">
        <v>13484</v>
      </c>
      <c r="C35" s="250">
        <v>4</v>
      </c>
      <c r="D35" s="250">
        <f t="shared" si="2"/>
        <v>13488</v>
      </c>
      <c r="E35" s="250">
        <v>13993</v>
      </c>
      <c r="F35" s="250"/>
      <c r="G35" s="250">
        <f t="shared" si="3"/>
        <v>13993</v>
      </c>
    </row>
    <row r="36" spans="1:7" ht="15.75">
      <c r="A36" s="249" t="s">
        <v>581</v>
      </c>
      <c r="B36" s="250">
        <v>22174</v>
      </c>
      <c r="C36" s="250"/>
      <c r="D36" s="250">
        <f t="shared" si="2"/>
        <v>22174</v>
      </c>
      <c r="E36" s="250">
        <v>937</v>
      </c>
      <c r="F36" s="250"/>
      <c r="G36" s="250">
        <f t="shared" si="3"/>
        <v>937</v>
      </c>
    </row>
    <row r="37" spans="1:7" ht="15.75">
      <c r="A37" s="252" t="s">
        <v>272</v>
      </c>
      <c r="B37" s="250">
        <f>B26+B30+B33</f>
        <v>4108417</v>
      </c>
      <c r="C37" s="250">
        <f>C26+C30+C33</f>
        <v>7027</v>
      </c>
      <c r="D37" s="250">
        <f t="shared" si="2"/>
        <v>4115444</v>
      </c>
      <c r="E37" s="250">
        <f>E26+E30+E33</f>
        <v>4329299</v>
      </c>
      <c r="F37" s="250">
        <f>F26+F30+F33</f>
        <v>0</v>
      </c>
      <c r="G37" s="250">
        <f t="shared" si="3"/>
        <v>4329299</v>
      </c>
    </row>
  </sheetData>
  <mergeCells count="8">
    <mergeCell ref="G10:G12"/>
    <mergeCell ref="A21:A25"/>
    <mergeCell ref="A1:A5"/>
    <mergeCell ref="B10:B12"/>
    <mergeCell ref="C10:C12"/>
    <mergeCell ref="D10:D12"/>
    <mergeCell ref="E10:E12"/>
    <mergeCell ref="F10:F12"/>
  </mergeCells>
  <phoneticPr fontId="7" type="noConversion"/>
  <printOptions horizontalCentered="1"/>
  <pageMargins left="0.39370078740157483" right="0.31496062992125984" top="0.47244094488188981" bottom="0.19685039370078741" header="0.11811023622047245" footer="0.11811023622047245"/>
  <pageSetup paperSize="9" orientation="landscape" horizontalDpi="300" r:id="rId1"/>
  <headerFooter alignWithMargins="0">
    <oddHeader>&amp;CAuditált egyszerűsített éves költségvetési beszámoló 2013.
Egyszerűsített mérleg&amp;R24.sz.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F43"/>
  <sheetViews>
    <sheetView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"/>
  <cols>
    <col min="1" max="1" width="68.7109375" style="275" customWidth="1"/>
    <col min="2" max="2" width="14.42578125" style="369" customWidth="1"/>
    <col min="3" max="3" width="18.140625" style="369" customWidth="1"/>
    <col min="4" max="4" width="17.42578125" style="369" customWidth="1"/>
    <col min="5" max="5" width="17.5703125" style="369" customWidth="1"/>
    <col min="6" max="6" width="18.140625" style="369" customWidth="1"/>
    <col min="7" max="16384" width="9.140625" style="275"/>
  </cols>
  <sheetData>
    <row r="1" spans="1:6">
      <c r="A1" s="363" t="s">
        <v>245</v>
      </c>
      <c r="B1" s="382"/>
      <c r="C1" s="382"/>
      <c r="D1" s="382"/>
      <c r="E1" s="382"/>
      <c r="F1" s="382"/>
    </row>
    <row r="2" spans="1:6">
      <c r="A2" s="363" t="s">
        <v>247</v>
      </c>
      <c r="B2" s="382"/>
      <c r="C2" s="382"/>
      <c r="D2" s="382"/>
      <c r="E2" s="382"/>
      <c r="F2" s="382"/>
    </row>
    <row r="4" spans="1:6" ht="45">
      <c r="A4" s="290" t="s">
        <v>629</v>
      </c>
      <c r="B4" s="260" t="s">
        <v>540</v>
      </c>
      <c r="C4" s="97" t="s">
        <v>534</v>
      </c>
      <c r="D4" s="97" t="s">
        <v>806</v>
      </c>
      <c r="E4" s="97" t="s">
        <v>541</v>
      </c>
      <c r="F4" s="388" t="s">
        <v>630</v>
      </c>
    </row>
    <row r="5" spans="1:6" ht="30">
      <c r="A5" s="286" t="s">
        <v>468</v>
      </c>
      <c r="B5" s="344">
        <v>0</v>
      </c>
      <c r="C5" s="389"/>
      <c r="D5" s="389"/>
      <c r="E5" s="389"/>
      <c r="F5" s="389">
        <f>E5+D5+C5+B5</f>
        <v>0</v>
      </c>
    </row>
    <row r="6" spans="1:6" ht="30">
      <c r="A6" s="286" t="s">
        <v>475</v>
      </c>
      <c r="B6" s="344">
        <v>250</v>
      </c>
      <c r="C6" s="389">
        <v>169</v>
      </c>
      <c r="D6" s="389">
        <v>135</v>
      </c>
      <c r="E6" s="389">
        <v>103092</v>
      </c>
      <c r="F6" s="389">
        <f t="shared" ref="F6:F43" si="0">E6+D6+C6+B6</f>
        <v>103646</v>
      </c>
    </row>
    <row r="7" spans="1:6">
      <c r="A7" s="286" t="s">
        <v>476</v>
      </c>
      <c r="B7" s="344">
        <v>31</v>
      </c>
      <c r="C7" s="389">
        <v>24</v>
      </c>
      <c r="D7" s="389">
        <v>115</v>
      </c>
      <c r="E7" s="389">
        <v>29</v>
      </c>
      <c r="F7" s="389">
        <f t="shared" si="0"/>
        <v>199</v>
      </c>
    </row>
    <row r="8" spans="1:6">
      <c r="A8" s="323" t="s">
        <v>477</v>
      </c>
      <c r="B8" s="390">
        <v>281</v>
      </c>
      <c r="C8" s="389">
        <v>193</v>
      </c>
      <c r="D8" s="389">
        <v>250</v>
      </c>
      <c r="E8" s="389">
        <v>103121</v>
      </c>
      <c r="F8" s="389">
        <f t="shared" si="0"/>
        <v>103845</v>
      </c>
    </row>
    <row r="9" spans="1:6">
      <c r="A9" s="286" t="s">
        <v>478</v>
      </c>
      <c r="B9" s="344"/>
      <c r="C9" s="389"/>
      <c r="D9" s="389"/>
      <c r="E9" s="389">
        <v>38</v>
      </c>
      <c r="F9" s="389">
        <f t="shared" si="0"/>
        <v>38</v>
      </c>
    </row>
    <row r="10" spans="1:6" ht="30">
      <c r="A10" s="286" t="s">
        <v>479</v>
      </c>
      <c r="B10" s="344"/>
      <c r="C10" s="389"/>
      <c r="D10" s="389"/>
      <c r="E10" s="389"/>
      <c r="F10" s="389">
        <f t="shared" si="0"/>
        <v>0</v>
      </c>
    </row>
    <row r="11" spans="1:6">
      <c r="A11" s="323" t="s">
        <v>480</v>
      </c>
      <c r="B11" s="390"/>
      <c r="C11" s="389"/>
      <c r="D11" s="389"/>
      <c r="E11" s="389">
        <v>38</v>
      </c>
      <c r="F11" s="389">
        <f t="shared" si="0"/>
        <v>38</v>
      </c>
    </row>
    <row r="12" spans="1:6">
      <c r="A12" s="286" t="s">
        <v>481</v>
      </c>
      <c r="B12" s="344"/>
      <c r="C12" s="389"/>
      <c r="D12" s="389">
        <v>31</v>
      </c>
      <c r="E12" s="389"/>
      <c r="F12" s="389">
        <f t="shared" si="0"/>
        <v>31</v>
      </c>
    </row>
    <row r="13" spans="1:6">
      <c r="A13" s="286" t="s">
        <v>482</v>
      </c>
      <c r="B13" s="344">
        <v>2710</v>
      </c>
      <c r="C13" s="389">
        <v>381</v>
      </c>
      <c r="D13" s="389">
        <v>1353</v>
      </c>
      <c r="E13" s="389">
        <v>3814</v>
      </c>
      <c r="F13" s="389">
        <f t="shared" si="0"/>
        <v>8258</v>
      </c>
    </row>
    <row r="14" spans="1:6">
      <c r="A14" s="286" t="s">
        <v>483</v>
      </c>
      <c r="B14" s="344"/>
      <c r="C14" s="389"/>
      <c r="D14" s="389"/>
      <c r="E14" s="389"/>
      <c r="F14" s="389">
        <f t="shared" si="0"/>
        <v>0</v>
      </c>
    </row>
    <row r="15" spans="1:6">
      <c r="A15" s="286" t="s">
        <v>484</v>
      </c>
      <c r="B15" s="344">
        <v>2710</v>
      </c>
      <c r="C15" s="389">
        <v>381</v>
      </c>
      <c r="D15" s="389">
        <v>1384</v>
      </c>
      <c r="E15" s="389">
        <v>3814</v>
      </c>
      <c r="F15" s="389">
        <f t="shared" si="0"/>
        <v>8289</v>
      </c>
    </row>
    <row r="16" spans="1:6">
      <c r="A16" s="286" t="s">
        <v>485</v>
      </c>
      <c r="B16" s="344"/>
      <c r="C16" s="389"/>
      <c r="D16" s="389"/>
      <c r="E16" s="389"/>
      <c r="F16" s="389">
        <f t="shared" si="0"/>
        <v>0</v>
      </c>
    </row>
    <row r="17" spans="1:6">
      <c r="A17" s="286" t="s">
        <v>486</v>
      </c>
      <c r="B17" s="344"/>
      <c r="C17" s="389"/>
      <c r="D17" s="389"/>
      <c r="E17" s="389">
        <v>32</v>
      </c>
      <c r="F17" s="389">
        <f t="shared" si="0"/>
        <v>32</v>
      </c>
    </row>
    <row r="18" spans="1:6" ht="30">
      <c r="A18" s="286" t="s">
        <v>487</v>
      </c>
      <c r="B18" s="344"/>
      <c r="C18" s="389"/>
      <c r="D18" s="389"/>
      <c r="E18" s="389"/>
      <c r="F18" s="389">
        <f t="shared" si="0"/>
        <v>0</v>
      </c>
    </row>
    <row r="19" spans="1:6">
      <c r="A19" s="286" t="s">
        <v>488</v>
      </c>
      <c r="B19" s="344"/>
      <c r="C19" s="389"/>
      <c r="D19" s="389"/>
      <c r="E19" s="389">
        <v>32</v>
      </c>
      <c r="F19" s="389">
        <f t="shared" si="0"/>
        <v>32</v>
      </c>
    </row>
    <row r="20" spans="1:6" ht="30">
      <c r="A20" s="323" t="s">
        <v>489</v>
      </c>
      <c r="B20" s="390">
        <v>2710</v>
      </c>
      <c r="C20" s="389">
        <v>381</v>
      </c>
      <c r="D20" s="389">
        <v>1384</v>
      </c>
      <c r="E20" s="389">
        <v>3782</v>
      </c>
      <c r="F20" s="389">
        <f t="shared" si="0"/>
        <v>8257</v>
      </c>
    </row>
    <row r="21" spans="1:6" ht="30">
      <c r="A21" s="286" t="s">
        <v>490</v>
      </c>
      <c r="B21" s="344"/>
      <c r="C21" s="389"/>
      <c r="D21" s="389"/>
      <c r="E21" s="389">
        <v>19626</v>
      </c>
      <c r="F21" s="389">
        <f t="shared" si="0"/>
        <v>19626</v>
      </c>
    </row>
    <row r="22" spans="1:6" ht="30">
      <c r="A22" s="286" t="s">
        <v>491</v>
      </c>
      <c r="B22" s="344"/>
      <c r="C22" s="389"/>
      <c r="D22" s="389"/>
      <c r="E22" s="389"/>
      <c r="F22" s="389">
        <f t="shared" si="0"/>
        <v>0</v>
      </c>
    </row>
    <row r="23" spans="1:6" ht="30">
      <c r="A23" s="323" t="s">
        <v>492</v>
      </c>
      <c r="B23" s="390"/>
      <c r="C23" s="389"/>
      <c r="D23" s="389"/>
      <c r="E23" s="389">
        <v>19626</v>
      </c>
      <c r="F23" s="389">
        <f t="shared" si="0"/>
        <v>19626</v>
      </c>
    </row>
    <row r="24" spans="1:6" ht="30">
      <c r="A24" s="323" t="s">
        <v>493</v>
      </c>
      <c r="B24" s="390"/>
      <c r="C24" s="389"/>
      <c r="D24" s="389"/>
      <c r="E24" s="389"/>
      <c r="F24" s="389">
        <f t="shared" si="0"/>
        <v>0</v>
      </c>
    </row>
    <row r="25" spans="1:6">
      <c r="A25" s="287" t="s">
        <v>494</v>
      </c>
      <c r="B25" s="345">
        <v>2991</v>
      </c>
      <c r="C25" s="391">
        <v>574</v>
      </c>
      <c r="D25" s="391">
        <v>1634</v>
      </c>
      <c r="E25" s="391">
        <v>87015</v>
      </c>
      <c r="F25" s="392">
        <f t="shared" si="0"/>
        <v>92214</v>
      </c>
    </row>
    <row r="26" spans="1:6" ht="30">
      <c r="A26" s="286" t="s">
        <v>495</v>
      </c>
      <c r="B26" s="344"/>
      <c r="C26" s="389"/>
      <c r="D26" s="389"/>
      <c r="E26" s="389"/>
      <c r="F26" s="389">
        <f t="shared" si="0"/>
        <v>0</v>
      </c>
    </row>
    <row r="27" spans="1:6">
      <c r="A27" s="286" t="s">
        <v>496</v>
      </c>
      <c r="B27" s="344"/>
      <c r="C27" s="389"/>
      <c r="D27" s="389"/>
      <c r="E27" s="389">
        <v>-4142</v>
      </c>
      <c r="F27" s="389">
        <f t="shared" si="0"/>
        <v>-4142</v>
      </c>
    </row>
    <row r="28" spans="1:6" ht="30">
      <c r="A28" s="286" t="s">
        <v>497</v>
      </c>
      <c r="B28" s="344"/>
      <c r="C28" s="389"/>
      <c r="D28" s="389"/>
      <c r="E28" s="389"/>
      <c r="F28" s="389">
        <f t="shared" si="0"/>
        <v>0</v>
      </c>
    </row>
    <row r="29" spans="1:6">
      <c r="A29" s="286" t="s">
        <v>498</v>
      </c>
      <c r="B29" s="344"/>
      <c r="C29" s="389"/>
      <c r="D29" s="389"/>
      <c r="E29" s="389"/>
      <c r="F29" s="389">
        <f t="shared" si="0"/>
        <v>0</v>
      </c>
    </row>
    <row r="30" spans="1:6">
      <c r="A30" s="323" t="s">
        <v>499</v>
      </c>
      <c r="B30" s="390"/>
      <c r="C30" s="389"/>
      <c r="D30" s="389"/>
      <c r="E30" s="389">
        <v>-4142</v>
      </c>
      <c r="F30" s="389">
        <f t="shared" si="0"/>
        <v>-4142</v>
      </c>
    </row>
    <row r="31" spans="1:6">
      <c r="A31" s="323" t="s">
        <v>500</v>
      </c>
      <c r="B31" s="390"/>
      <c r="C31" s="389"/>
      <c r="D31" s="389"/>
      <c r="E31" s="389"/>
      <c r="F31" s="389">
        <f t="shared" si="0"/>
        <v>0</v>
      </c>
    </row>
    <row r="32" spans="1:6">
      <c r="A32" s="287" t="s">
        <v>501</v>
      </c>
      <c r="B32" s="345">
        <v>2991</v>
      </c>
      <c r="C32" s="391">
        <v>574</v>
      </c>
      <c r="D32" s="391">
        <v>1634</v>
      </c>
      <c r="E32" s="391">
        <v>8273</v>
      </c>
      <c r="F32" s="392">
        <f t="shared" si="0"/>
        <v>13472</v>
      </c>
    </row>
    <row r="33" spans="1:6" ht="30">
      <c r="A33" s="286" t="s">
        <v>502</v>
      </c>
      <c r="B33" s="344"/>
      <c r="C33" s="389"/>
      <c r="D33" s="389"/>
      <c r="E33" s="389"/>
      <c r="F33" s="389">
        <f t="shared" si="0"/>
        <v>0</v>
      </c>
    </row>
    <row r="34" spans="1:6" ht="30">
      <c r="A34" s="286" t="s">
        <v>503</v>
      </c>
      <c r="B34" s="344"/>
      <c r="C34" s="389"/>
      <c r="D34" s="389"/>
      <c r="E34" s="389"/>
      <c r="F34" s="389">
        <f t="shared" si="0"/>
        <v>0</v>
      </c>
    </row>
    <row r="35" spans="1:6">
      <c r="A35" s="287" t="s">
        <v>504</v>
      </c>
      <c r="B35" s="345">
        <v>2991</v>
      </c>
      <c r="C35" s="391">
        <v>574</v>
      </c>
      <c r="D35" s="391">
        <v>1634</v>
      </c>
      <c r="E35" s="391">
        <v>82873</v>
      </c>
      <c r="F35" s="392">
        <f t="shared" si="0"/>
        <v>88072</v>
      </c>
    </row>
    <row r="36" spans="1:6">
      <c r="A36" s="286" t="s">
        <v>505</v>
      </c>
      <c r="B36" s="389"/>
      <c r="C36" s="389"/>
      <c r="D36" s="389"/>
      <c r="E36" s="389"/>
      <c r="F36" s="389">
        <f t="shared" si="0"/>
        <v>0</v>
      </c>
    </row>
    <row r="37" spans="1:6" ht="30">
      <c r="A37" s="286" t="s">
        <v>506</v>
      </c>
      <c r="B37" s="344"/>
      <c r="C37" s="389"/>
      <c r="D37" s="389"/>
      <c r="E37" s="389"/>
      <c r="F37" s="389">
        <f t="shared" si="0"/>
        <v>0</v>
      </c>
    </row>
    <row r="38" spans="1:6">
      <c r="A38" s="286" t="s">
        <v>507</v>
      </c>
      <c r="B38" s="344"/>
      <c r="C38" s="389"/>
      <c r="D38" s="389"/>
      <c r="E38" s="389">
        <v>3595</v>
      </c>
      <c r="F38" s="389">
        <f t="shared" si="0"/>
        <v>3595</v>
      </c>
    </row>
    <row r="39" spans="1:6" ht="30">
      <c r="A39" s="286" t="s">
        <v>508</v>
      </c>
      <c r="B39" s="344"/>
      <c r="C39" s="389"/>
      <c r="D39" s="389"/>
      <c r="E39" s="389"/>
      <c r="F39" s="389">
        <f t="shared" si="0"/>
        <v>0</v>
      </c>
    </row>
    <row r="40" spans="1:6">
      <c r="A40" s="286" t="s">
        <v>509</v>
      </c>
      <c r="B40" s="344"/>
      <c r="C40" s="389"/>
      <c r="D40" s="389"/>
      <c r="E40" s="389">
        <v>3595</v>
      </c>
      <c r="F40" s="389">
        <f t="shared" si="0"/>
        <v>3595</v>
      </c>
    </row>
    <row r="41" spans="1:6">
      <c r="A41" s="286" t="s">
        <v>510</v>
      </c>
      <c r="B41" s="344">
        <v>2991</v>
      </c>
      <c r="C41" s="389">
        <v>574</v>
      </c>
      <c r="D41" s="389">
        <v>1634</v>
      </c>
      <c r="E41" s="389">
        <v>79278</v>
      </c>
      <c r="F41" s="389">
        <f t="shared" si="0"/>
        <v>84477</v>
      </c>
    </row>
    <row r="42" spans="1:6">
      <c r="A42" s="286" t="s">
        <v>511</v>
      </c>
      <c r="B42" s="344">
        <v>2991</v>
      </c>
      <c r="C42" s="389">
        <v>574</v>
      </c>
      <c r="D42" s="389">
        <v>1634</v>
      </c>
      <c r="E42" s="389">
        <v>79278</v>
      </c>
      <c r="F42" s="389">
        <f t="shared" si="0"/>
        <v>84477</v>
      </c>
    </row>
    <row r="43" spans="1:6">
      <c r="A43" s="286" t="s">
        <v>512</v>
      </c>
      <c r="B43" s="344"/>
      <c r="C43" s="389"/>
      <c r="D43" s="389"/>
      <c r="E43" s="389"/>
      <c r="F43" s="389">
        <f t="shared" si="0"/>
        <v>0</v>
      </c>
    </row>
  </sheetData>
  <phoneticPr fontId="32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F55"/>
  <sheetViews>
    <sheetView workbookViewId="0">
      <selection activeCell="A2" sqref="A2"/>
    </sheetView>
  </sheetViews>
  <sheetFormatPr defaultRowHeight="15"/>
  <cols>
    <col min="1" max="1" width="64" style="275" customWidth="1"/>
    <col min="2" max="2" width="12.85546875" style="369" customWidth="1"/>
    <col min="3" max="3" width="18.28515625" style="369" customWidth="1"/>
    <col min="4" max="4" width="19" style="369" customWidth="1"/>
    <col min="5" max="5" width="16.5703125" style="369" customWidth="1"/>
    <col min="6" max="6" width="17.85546875" style="387" customWidth="1"/>
    <col min="7" max="16384" width="9.140625" style="275"/>
  </cols>
  <sheetData>
    <row r="1" spans="1:6">
      <c r="A1" s="363" t="s">
        <v>208</v>
      </c>
      <c r="B1" s="382"/>
      <c r="C1" s="382"/>
      <c r="D1" s="382"/>
      <c r="E1" s="382"/>
    </row>
    <row r="2" spans="1:6">
      <c r="A2" s="363" t="s">
        <v>246</v>
      </c>
      <c r="B2" s="382"/>
      <c r="C2" s="382"/>
      <c r="D2" s="382"/>
      <c r="E2" s="382"/>
    </row>
    <row r="3" spans="1:6">
      <c r="B3" s="387"/>
      <c r="C3" s="387"/>
      <c r="D3" s="387"/>
      <c r="E3" s="387"/>
    </row>
    <row r="4" spans="1:6" ht="24.75" customHeight="1">
      <c r="A4" s="277"/>
      <c r="B4" s="382"/>
      <c r="C4" s="382"/>
      <c r="D4" s="382"/>
      <c r="E4" s="382"/>
    </row>
    <row r="5" spans="1:6">
      <c r="A5" s="288"/>
      <c r="B5" s="382"/>
      <c r="C5" s="382"/>
      <c r="D5" s="382"/>
      <c r="E5" s="382"/>
    </row>
    <row r="6" spans="1:6">
      <c r="A6" s="288"/>
      <c r="B6" s="382"/>
      <c r="C6" s="382"/>
      <c r="D6" s="382"/>
      <c r="E6" s="382"/>
    </row>
    <row r="7" spans="1:6" ht="45">
      <c r="A7" s="393" t="s">
        <v>629</v>
      </c>
      <c r="B7" s="394" t="s">
        <v>540</v>
      </c>
      <c r="C7" s="394" t="s">
        <v>534</v>
      </c>
      <c r="D7" s="394" t="s">
        <v>806</v>
      </c>
      <c r="E7" s="394" t="s">
        <v>541</v>
      </c>
      <c r="F7" s="395" t="s">
        <v>630</v>
      </c>
    </row>
    <row r="8" spans="1:6">
      <c r="A8" s="287" t="s">
        <v>494</v>
      </c>
      <c r="B8" s="345">
        <v>2991</v>
      </c>
      <c r="C8" s="391">
        <v>574</v>
      </c>
      <c r="D8" s="391">
        <v>1634</v>
      </c>
      <c r="E8" s="391">
        <v>87015</v>
      </c>
      <c r="F8" s="397">
        <v>92214</v>
      </c>
    </row>
    <row r="9" spans="1:6" ht="30">
      <c r="A9" s="286" t="s">
        <v>495</v>
      </c>
      <c r="B9" s="344"/>
      <c r="C9" s="389"/>
      <c r="D9" s="389"/>
      <c r="E9" s="389"/>
      <c r="F9" s="398"/>
    </row>
    <row r="10" spans="1:6">
      <c r="A10" s="286" t="s">
        <v>496</v>
      </c>
      <c r="B10" s="344"/>
      <c r="C10" s="389"/>
      <c r="D10" s="389"/>
      <c r="E10" s="389">
        <v>-4142</v>
      </c>
      <c r="F10" s="398">
        <v>-4142</v>
      </c>
    </row>
    <row r="11" spans="1:6" ht="30">
      <c r="A11" s="286" t="s">
        <v>497</v>
      </c>
      <c r="B11" s="344"/>
      <c r="C11" s="389"/>
      <c r="D11" s="389"/>
      <c r="E11" s="389"/>
      <c r="F11" s="398"/>
    </row>
    <row r="12" spans="1:6">
      <c r="A12" s="286" t="s">
        <v>498</v>
      </c>
      <c r="B12" s="344"/>
      <c r="C12" s="389"/>
      <c r="D12" s="389"/>
      <c r="E12" s="389"/>
      <c r="F12" s="398"/>
    </row>
    <row r="13" spans="1:6">
      <c r="A13" s="323" t="s">
        <v>499</v>
      </c>
      <c r="B13" s="390"/>
      <c r="C13" s="389"/>
      <c r="D13" s="389"/>
      <c r="E13" s="389">
        <v>-4142</v>
      </c>
      <c r="F13" s="398">
        <v>-4142</v>
      </c>
    </row>
    <row r="14" spans="1:6">
      <c r="A14" s="323" t="s">
        <v>500</v>
      </c>
      <c r="B14" s="390"/>
      <c r="C14" s="389"/>
      <c r="D14" s="389"/>
      <c r="E14" s="389"/>
      <c r="F14" s="398"/>
    </row>
    <row r="15" spans="1:6">
      <c r="A15" s="287" t="s">
        <v>501</v>
      </c>
      <c r="B15" s="345">
        <v>2991</v>
      </c>
      <c r="C15" s="391">
        <v>574</v>
      </c>
      <c r="D15" s="391">
        <v>1634</v>
      </c>
      <c r="E15" s="391">
        <v>8273</v>
      </c>
      <c r="F15" s="397">
        <v>13472</v>
      </c>
    </row>
    <row r="16" spans="1:6" ht="30">
      <c r="A16" s="286" t="s">
        <v>502</v>
      </c>
      <c r="B16" s="344"/>
      <c r="C16" s="389"/>
      <c r="D16" s="389"/>
      <c r="E16" s="389"/>
      <c r="F16" s="398"/>
    </row>
    <row r="17" spans="1:6" ht="30">
      <c r="A17" s="286" t="s">
        <v>503</v>
      </c>
      <c r="B17" s="344"/>
      <c r="C17" s="389"/>
      <c r="D17" s="389"/>
      <c r="E17" s="389"/>
      <c r="F17" s="398"/>
    </row>
    <row r="18" spans="1:6">
      <c r="A18" s="287" t="s">
        <v>504</v>
      </c>
      <c r="B18" s="345">
        <v>2991</v>
      </c>
      <c r="C18" s="391">
        <v>574</v>
      </c>
      <c r="D18" s="391">
        <v>1634</v>
      </c>
      <c r="E18" s="391">
        <v>82873</v>
      </c>
      <c r="F18" s="397">
        <v>88072</v>
      </c>
    </row>
    <row r="19" spans="1:6">
      <c r="A19" s="286" t="s">
        <v>505</v>
      </c>
      <c r="B19" s="389"/>
      <c r="C19" s="389"/>
      <c r="D19" s="389"/>
      <c r="E19" s="389"/>
      <c r="F19" s="398"/>
    </row>
    <row r="20" spans="1:6" ht="30">
      <c r="A20" s="286" t="s">
        <v>506</v>
      </c>
      <c r="B20" s="344"/>
      <c r="C20" s="389"/>
      <c r="D20" s="389"/>
      <c r="E20" s="389"/>
      <c r="F20" s="398"/>
    </row>
    <row r="21" spans="1:6">
      <c r="A21" s="286" t="s">
        <v>507</v>
      </c>
      <c r="B21" s="344"/>
      <c r="C21" s="389"/>
      <c r="D21" s="389"/>
      <c r="E21" s="389">
        <v>3595</v>
      </c>
      <c r="F21" s="398">
        <v>3595</v>
      </c>
    </row>
    <row r="22" spans="1:6" ht="30">
      <c r="A22" s="286" t="s">
        <v>508</v>
      </c>
      <c r="B22" s="344"/>
      <c r="C22" s="389"/>
      <c r="D22" s="389"/>
      <c r="E22" s="389"/>
      <c r="F22" s="398"/>
    </row>
    <row r="23" spans="1:6" ht="30">
      <c r="A23" s="286" t="s">
        <v>509</v>
      </c>
      <c r="B23" s="344"/>
      <c r="C23" s="389"/>
      <c r="D23" s="389"/>
      <c r="E23" s="389">
        <v>3595</v>
      </c>
      <c r="F23" s="398">
        <v>3595</v>
      </c>
    </row>
    <row r="24" spans="1:6">
      <c r="A24" s="286" t="s">
        <v>510</v>
      </c>
      <c r="B24" s="344">
        <v>2991</v>
      </c>
      <c r="C24" s="389">
        <v>574</v>
      </c>
      <c r="D24" s="389">
        <v>1634</v>
      </c>
      <c r="E24" s="389">
        <v>79278</v>
      </c>
      <c r="F24" s="398">
        <v>84477</v>
      </c>
    </row>
    <row r="25" spans="1:6">
      <c r="A25" s="286" t="s">
        <v>511</v>
      </c>
      <c r="B25" s="344">
        <v>2991</v>
      </c>
      <c r="C25" s="389">
        <v>574</v>
      </c>
      <c r="D25" s="389">
        <v>1634</v>
      </c>
      <c r="E25" s="389">
        <v>79278</v>
      </c>
      <c r="F25" s="398">
        <v>84477</v>
      </c>
    </row>
    <row r="26" spans="1:6">
      <c r="A26" s="286" t="s">
        <v>512</v>
      </c>
      <c r="B26" s="344"/>
      <c r="C26" s="389"/>
      <c r="D26" s="389"/>
      <c r="E26" s="389"/>
      <c r="F26" s="398"/>
    </row>
    <row r="28" spans="1:6" ht="50.25" customHeight="1">
      <c r="A28" s="323" t="s">
        <v>513</v>
      </c>
      <c r="B28" s="394" t="s">
        <v>540</v>
      </c>
      <c r="C28" s="394" t="s">
        <v>534</v>
      </c>
      <c r="D28" s="394" t="s">
        <v>806</v>
      </c>
      <c r="E28" s="394" t="s">
        <v>541</v>
      </c>
      <c r="F28" s="395" t="s">
        <v>630</v>
      </c>
    </row>
    <row r="29" spans="1:6">
      <c r="A29" s="324" t="s">
        <v>514</v>
      </c>
      <c r="B29" s="389"/>
      <c r="C29" s="389"/>
      <c r="D29" s="389"/>
      <c r="E29" s="389"/>
      <c r="F29" s="398"/>
    </row>
    <row r="30" spans="1:6">
      <c r="A30" s="318" t="s">
        <v>515</v>
      </c>
      <c r="B30" s="389"/>
      <c r="C30" s="389"/>
      <c r="D30" s="389"/>
      <c r="E30" s="389"/>
      <c r="F30" s="398"/>
    </row>
    <row r="31" spans="1:6">
      <c r="A31" s="320" t="s">
        <v>694</v>
      </c>
      <c r="B31" s="399"/>
      <c r="C31" s="399"/>
      <c r="D31" s="399"/>
      <c r="E31" s="399"/>
      <c r="F31" s="400"/>
    </row>
    <row r="32" spans="1:6">
      <c r="A32" s="276"/>
      <c r="B32" s="401"/>
      <c r="C32" s="401"/>
      <c r="D32" s="401"/>
      <c r="E32" s="401"/>
      <c r="F32" s="402"/>
    </row>
    <row r="33" spans="1:6">
      <c r="A33" s="276"/>
      <c r="B33" s="401"/>
      <c r="C33" s="401"/>
      <c r="D33" s="401"/>
      <c r="E33" s="401"/>
      <c r="F33" s="402"/>
    </row>
    <row r="34" spans="1:6" ht="45">
      <c r="A34" s="323" t="s">
        <v>516</v>
      </c>
      <c r="B34" s="394" t="s">
        <v>540</v>
      </c>
      <c r="C34" s="394" t="s">
        <v>534</v>
      </c>
      <c r="D34" s="394" t="s">
        <v>806</v>
      </c>
      <c r="E34" s="394" t="s">
        <v>541</v>
      </c>
      <c r="F34" s="395" t="s">
        <v>630</v>
      </c>
    </row>
    <row r="35" spans="1:6" ht="30">
      <c r="A35" s="325" t="s">
        <v>508</v>
      </c>
      <c r="B35" s="389"/>
      <c r="C35" s="389"/>
      <c r="D35" s="389"/>
      <c r="E35" s="389">
        <v>3595</v>
      </c>
      <c r="F35" s="398">
        <v>3595</v>
      </c>
    </row>
    <row r="36" spans="1:6">
      <c r="A36" s="286" t="s">
        <v>517</v>
      </c>
      <c r="B36" s="389"/>
      <c r="C36" s="389"/>
      <c r="D36" s="389"/>
      <c r="E36" s="389"/>
      <c r="F36" s="398"/>
    </row>
    <row r="37" spans="1:6">
      <c r="A37" s="286" t="s">
        <v>518</v>
      </c>
      <c r="B37" s="389"/>
      <c r="C37" s="389"/>
      <c r="D37" s="389"/>
      <c r="E37" s="389"/>
      <c r="F37" s="398"/>
    </row>
    <row r="38" spans="1:6">
      <c r="A38" s="286" t="s">
        <v>519</v>
      </c>
      <c r="B38" s="389"/>
      <c r="C38" s="389"/>
      <c r="D38" s="389"/>
      <c r="E38" s="389"/>
      <c r="F38" s="398"/>
    </row>
    <row r="39" spans="1:6">
      <c r="A39" s="286" t="s">
        <v>210</v>
      </c>
      <c r="B39" s="389"/>
      <c r="C39" s="389"/>
      <c r="D39" s="389"/>
      <c r="E39" s="389">
        <v>3595</v>
      </c>
      <c r="F39" s="398">
        <v>3595</v>
      </c>
    </row>
    <row r="40" spans="1:6">
      <c r="A40" s="286"/>
      <c r="B40" s="389"/>
      <c r="C40" s="389"/>
      <c r="D40" s="389"/>
      <c r="E40" s="389"/>
      <c r="F40" s="398"/>
    </row>
    <row r="41" spans="1:6">
      <c r="A41" s="286"/>
      <c r="B41" s="389"/>
      <c r="C41" s="389"/>
      <c r="D41" s="389"/>
      <c r="E41" s="389"/>
      <c r="F41" s="398"/>
    </row>
    <row r="42" spans="1:6">
      <c r="A42" s="286"/>
      <c r="B42" s="389"/>
      <c r="C42" s="389"/>
      <c r="D42" s="389"/>
      <c r="E42" s="389"/>
      <c r="F42" s="398"/>
    </row>
    <row r="43" spans="1:6">
      <c r="A43" s="286"/>
      <c r="B43" s="389"/>
      <c r="C43" s="389"/>
      <c r="D43" s="389"/>
      <c r="E43" s="389"/>
      <c r="F43" s="398"/>
    </row>
    <row r="44" spans="1:6">
      <c r="A44" s="286"/>
      <c r="B44" s="389"/>
      <c r="C44" s="389"/>
      <c r="D44" s="389"/>
      <c r="E44" s="389"/>
      <c r="F44" s="398"/>
    </row>
    <row r="45" spans="1:6" ht="30">
      <c r="A45" s="325" t="s">
        <v>509</v>
      </c>
      <c r="B45" s="389"/>
      <c r="C45" s="389"/>
      <c r="D45" s="389"/>
      <c r="E45" s="389"/>
      <c r="F45" s="398"/>
    </row>
    <row r="46" spans="1:6">
      <c r="A46" s="318" t="s">
        <v>521</v>
      </c>
      <c r="B46" s="389"/>
      <c r="C46" s="389"/>
      <c r="D46" s="389"/>
      <c r="E46" s="389"/>
      <c r="F46" s="398"/>
    </row>
    <row r="47" spans="1:6">
      <c r="A47" s="318" t="s">
        <v>522</v>
      </c>
      <c r="B47" s="389"/>
      <c r="C47" s="389"/>
      <c r="D47" s="389"/>
      <c r="E47" s="389"/>
      <c r="F47" s="398"/>
    </row>
    <row r="48" spans="1:6">
      <c r="A48" s="286" t="s">
        <v>518</v>
      </c>
      <c r="B48" s="389"/>
      <c r="C48" s="389"/>
      <c r="D48" s="389"/>
      <c r="E48" s="389"/>
      <c r="F48" s="398"/>
    </row>
    <row r="49" spans="1:6">
      <c r="A49" s="286" t="s">
        <v>520</v>
      </c>
      <c r="B49" s="389"/>
      <c r="C49" s="389"/>
      <c r="D49" s="389"/>
      <c r="E49" s="389"/>
      <c r="F49" s="398"/>
    </row>
    <row r="50" spans="1:6">
      <c r="A50" s="318"/>
      <c r="B50" s="389"/>
      <c r="C50" s="389"/>
      <c r="D50" s="389"/>
      <c r="E50" s="389"/>
      <c r="F50" s="398"/>
    </row>
    <row r="51" spans="1:6">
      <c r="A51" s="318"/>
      <c r="B51" s="389"/>
      <c r="C51" s="389"/>
      <c r="D51" s="389"/>
      <c r="E51" s="389"/>
      <c r="F51" s="398"/>
    </row>
    <row r="52" spans="1:6">
      <c r="A52" s="318"/>
      <c r="B52" s="389"/>
      <c r="C52" s="389"/>
      <c r="D52" s="389"/>
      <c r="E52" s="389"/>
      <c r="F52" s="398"/>
    </row>
    <row r="53" spans="1:6">
      <c r="A53" s="318"/>
      <c r="B53" s="389"/>
      <c r="C53" s="389"/>
      <c r="D53" s="389"/>
      <c r="E53" s="389"/>
      <c r="F53" s="398"/>
    </row>
    <row r="54" spans="1:6">
      <c r="A54" s="326"/>
      <c r="B54" s="380"/>
      <c r="C54" s="380"/>
      <c r="D54" s="380"/>
      <c r="E54" s="380"/>
      <c r="F54" s="357"/>
    </row>
    <row r="55" spans="1:6">
      <c r="A55" s="326"/>
      <c r="B55" s="380"/>
      <c r="C55" s="380"/>
      <c r="D55" s="380"/>
      <c r="E55" s="380"/>
      <c r="F55" s="357"/>
    </row>
  </sheetData>
  <phoneticPr fontId="32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23"/>
  <sheetViews>
    <sheetView workbookViewId="0">
      <selection activeCell="H3" sqref="H3:H5"/>
    </sheetView>
  </sheetViews>
  <sheetFormatPr defaultRowHeight="12.75"/>
  <cols>
    <col min="1" max="1" width="6.7109375" customWidth="1"/>
    <col min="2" max="2" width="37.28515625" customWidth="1"/>
    <col min="3" max="3" width="10.7109375" customWidth="1"/>
    <col min="4" max="4" width="8.85546875" customWidth="1"/>
    <col min="5" max="5" width="13.140625" bestFit="1" customWidth="1"/>
    <col min="6" max="6" width="11.140625" customWidth="1"/>
    <col min="8" max="8" width="14" customWidth="1"/>
  </cols>
  <sheetData>
    <row r="1" spans="1:8" ht="12.75" customHeight="1">
      <c r="A1" s="363" t="s">
        <v>209</v>
      </c>
      <c r="B1" s="363"/>
    </row>
    <row r="2" spans="1:8">
      <c r="A2" s="363" t="s">
        <v>259</v>
      </c>
      <c r="B2" s="363"/>
    </row>
    <row r="3" spans="1:8" ht="24" customHeight="1">
      <c r="A3" s="478" t="s">
        <v>159</v>
      </c>
      <c r="B3" s="478" t="s">
        <v>872</v>
      </c>
      <c r="C3" s="478" t="s">
        <v>160</v>
      </c>
      <c r="D3" s="235" t="s">
        <v>161</v>
      </c>
      <c r="E3" s="478" t="s">
        <v>162</v>
      </c>
      <c r="F3" s="478" t="s">
        <v>163</v>
      </c>
      <c r="G3" s="235" t="s">
        <v>161</v>
      </c>
      <c r="H3" s="478" t="s">
        <v>164</v>
      </c>
    </row>
    <row r="4" spans="1:8" ht="24" customHeight="1">
      <c r="A4" s="478"/>
      <c r="B4" s="478"/>
      <c r="C4" s="478"/>
      <c r="D4" s="235" t="s">
        <v>165</v>
      </c>
      <c r="E4" s="478"/>
      <c r="F4" s="478"/>
      <c r="G4" s="235" t="s">
        <v>165</v>
      </c>
      <c r="H4" s="478"/>
    </row>
    <row r="5" spans="1:8" ht="24" customHeight="1">
      <c r="A5" s="478"/>
      <c r="B5" s="478"/>
      <c r="C5" s="478"/>
      <c r="D5" s="235" t="s">
        <v>193</v>
      </c>
      <c r="E5" s="478"/>
      <c r="F5" s="478"/>
      <c r="G5" s="235" t="s">
        <v>193</v>
      </c>
      <c r="H5" s="478"/>
    </row>
    <row r="6" spans="1:8" ht="15.75">
      <c r="A6" s="236" t="s">
        <v>166</v>
      </c>
      <c r="B6" s="237" t="s">
        <v>167</v>
      </c>
      <c r="C6" s="403">
        <f>59696+21+120+75+111</f>
        <v>60023</v>
      </c>
      <c r="D6" s="403"/>
      <c r="E6" s="403">
        <f>111+75+120+21+59696</f>
        <v>60023</v>
      </c>
      <c r="F6" s="403">
        <v>103845</v>
      </c>
      <c r="G6" s="403"/>
      <c r="H6" s="403">
        <v>103845</v>
      </c>
    </row>
    <row r="7" spans="1:8" ht="31.5">
      <c r="A7" s="236" t="s">
        <v>168</v>
      </c>
      <c r="B7" s="237" t="s">
        <v>169</v>
      </c>
      <c r="C7" s="403">
        <v>38</v>
      </c>
      <c r="D7" s="403"/>
      <c r="E7" s="403">
        <v>38</v>
      </c>
      <c r="F7" s="403">
        <v>38</v>
      </c>
      <c r="G7" s="403"/>
      <c r="H7" s="403">
        <v>38</v>
      </c>
    </row>
    <row r="8" spans="1:8" ht="47.25">
      <c r="A8" s="236" t="s">
        <v>170</v>
      </c>
      <c r="B8" s="237" t="s">
        <v>194</v>
      </c>
      <c r="C8" s="403">
        <f>-2682+1667+30+839+289</f>
        <v>143</v>
      </c>
      <c r="D8" s="403"/>
      <c r="E8" s="403">
        <f>289+839+30+1667-2682</f>
        <v>143</v>
      </c>
      <c r="F8" s="403">
        <v>8257</v>
      </c>
      <c r="G8" s="403"/>
      <c r="H8" s="403">
        <v>8257</v>
      </c>
    </row>
    <row r="9" spans="1:8" ht="31.5">
      <c r="A9" s="236" t="s">
        <v>171</v>
      </c>
      <c r="B9" s="237" t="s">
        <v>172</v>
      </c>
      <c r="C9" s="403">
        <f>19926</f>
        <v>19926</v>
      </c>
      <c r="D9" s="403"/>
      <c r="E9" s="403">
        <v>19926</v>
      </c>
      <c r="F9" s="403">
        <f>19926</f>
        <v>19926</v>
      </c>
      <c r="G9" s="403"/>
      <c r="H9" s="403">
        <v>19926</v>
      </c>
    </row>
    <row r="10" spans="1:8" ht="31.5">
      <c r="A10" s="236" t="s">
        <v>173</v>
      </c>
      <c r="B10" s="237" t="s">
        <v>174</v>
      </c>
      <c r="C10" s="403">
        <v>0</v>
      </c>
      <c r="D10" s="403"/>
      <c r="E10" s="403">
        <v>0</v>
      </c>
      <c r="F10" s="403">
        <v>0</v>
      </c>
      <c r="G10" s="403"/>
      <c r="H10" s="403">
        <v>0</v>
      </c>
    </row>
    <row r="11" spans="1:8" ht="31.5">
      <c r="A11" s="236" t="s">
        <v>175</v>
      </c>
      <c r="B11" s="237" t="s">
        <v>195</v>
      </c>
      <c r="C11" s="403">
        <f>37126+1688+150+914+400</f>
        <v>40278</v>
      </c>
      <c r="D11" s="403"/>
      <c r="E11" s="403">
        <f>400+914+150+1688+37126</f>
        <v>40278</v>
      </c>
      <c r="F11" s="403">
        <v>92214</v>
      </c>
      <c r="G11" s="403"/>
      <c r="H11" s="403">
        <v>92214</v>
      </c>
    </row>
    <row r="12" spans="1:8" ht="31.5">
      <c r="A12" s="236" t="s">
        <v>176</v>
      </c>
      <c r="B12" s="237" t="s">
        <v>177</v>
      </c>
      <c r="C12" s="403">
        <v>-1833</v>
      </c>
      <c r="D12" s="403"/>
      <c r="E12" s="403">
        <v>-1833</v>
      </c>
      <c r="F12" s="403">
        <v>-4142</v>
      </c>
      <c r="G12" s="403"/>
      <c r="H12" s="403">
        <v>-4142</v>
      </c>
    </row>
    <row r="13" spans="1:8" ht="15.75">
      <c r="A13" s="236" t="s">
        <v>178</v>
      </c>
      <c r="B13" s="237" t="s">
        <v>196</v>
      </c>
      <c r="C13" s="403">
        <v>0</v>
      </c>
      <c r="D13" s="403"/>
      <c r="E13" s="403">
        <v>0</v>
      </c>
      <c r="F13" s="403">
        <v>0</v>
      </c>
      <c r="G13" s="403"/>
      <c r="H13" s="403">
        <v>0</v>
      </c>
    </row>
    <row r="14" spans="1:8" ht="15.75">
      <c r="A14" s="236" t="s">
        <v>179</v>
      </c>
      <c r="B14" s="237" t="s">
        <v>197</v>
      </c>
      <c r="C14" s="403">
        <f>35293+1688+150+914+400</f>
        <v>38445</v>
      </c>
      <c r="D14" s="403"/>
      <c r="E14" s="403">
        <f>400+914+150+1688+35293</f>
        <v>38445</v>
      </c>
      <c r="F14" s="403">
        <v>13472</v>
      </c>
      <c r="G14" s="403"/>
      <c r="H14" s="403">
        <v>13472</v>
      </c>
    </row>
    <row r="15" spans="1:8" ht="31.5">
      <c r="A15" s="479" t="s">
        <v>180</v>
      </c>
      <c r="B15" s="237" t="s">
        <v>181</v>
      </c>
      <c r="C15" s="477">
        <v>0</v>
      </c>
      <c r="D15" s="477"/>
      <c r="E15" s="477">
        <v>0</v>
      </c>
      <c r="F15" s="477">
        <v>0</v>
      </c>
      <c r="G15" s="477"/>
      <c r="H15" s="477">
        <v>0</v>
      </c>
    </row>
    <row r="16" spans="1:8" ht="15.75">
      <c r="A16" s="479"/>
      <c r="B16" s="237" t="s">
        <v>182</v>
      </c>
      <c r="C16" s="477"/>
      <c r="D16" s="477"/>
      <c r="E16" s="477"/>
      <c r="F16" s="477"/>
      <c r="G16" s="477"/>
      <c r="H16" s="477"/>
    </row>
    <row r="17" spans="1:8" ht="31.5">
      <c r="A17" s="479" t="s">
        <v>183</v>
      </c>
      <c r="B17" s="237" t="s">
        <v>184</v>
      </c>
      <c r="C17" s="477">
        <v>0</v>
      </c>
      <c r="D17" s="477"/>
      <c r="E17" s="477">
        <v>0</v>
      </c>
      <c r="F17" s="477">
        <v>0</v>
      </c>
      <c r="G17" s="477"/>
      <c r="H17" s="477">
        <v>0</v>
      </c>
    </row>
    <row r="18" spans="1:8" ht="15.75">
      <c r="A18" s="479"/>
      <c r="B18" s="237" t="s">
        <v>198</v>
      </c>
      <c r="C18" s="477"/>
      <c r="D18" s="477"/>
      <c r="E18" s="477"/>
      <c r="F18" s="477"/>
      <c r="G18" s="477"/>
      <c r="H18" s="477"/>
    </row>
    <row r="19" spans="1:8" ht="15.75">
      <c r="A19" s="236" t="s">
        <v>185</v>
      </c>
      <c r="B19" s="237" t="s">
        <v>262</v>
      </c>
      <c r="C19" s="403">
        <f>35293+1688+150+914+400</f>
        <v>38445</v>
      </c>
      <c r="D19" s="403"/>
      <c r="E19" s="403">
        <f>400+914+150+1688+35293</f>
        <v>38445</v>
      </c>
      <c r="F19" s="403">
        <v>88072</v>
      </c>
      <c r="G19" s="403"/>
      <c r="H19" s="403">
        <v>88072</v>
      </c>
    </row>
    <row r="20" spans="1:8" ht="15.75">
      <c r="A20" s="479" t="s">
        <v>186</v>
      </c>
      <c r="B20" s="237" t="s">
        <v>187</v>
      </c>
      <c r="C20" s="477">
        <v>0</v>
      </c>
      <c r="D20" s="477"/>
      <c r="E20" s="477">
        <v>0</v>
      </c>
      <c r="F20" s="477">
        <v>0</v>
      </c>
      <c r="G20" s="477"/>
      <c r="H20" s="477">
        <v>0</v>
      </c>
    </row>
    <row r="21" spans="1:8" ht="31.5">
      <c r="A21" s="479"/>
      <c r="B21" s="237" t="s">
        <v>188</v>
      </c>
      <c r="C21" s="477"/>
      <c r="D21" s="477"/>
      <c r="E21" s="477"/>
      <c r="F21" s="477"/>
      <c r="G21" s="477"/>
      <c r="H21" s="477"/>
    </row>
    <row r="22" spans="1:8" ht="31.5">
      <c r="A22" s="236" t="s">
        <v>189</v>
      </c>
      <c r="B22" s="237" t="s">
        <v>190</v>
      </c>
      <c r="C22" s="403"/>
      <c r="D22" s="403"/>
      <c r="E22" s="403"/>
      <c r="F22" s="403">
        <v>3595</v>
      </c>
      <c r="G22" s="403"/>
      <c r="H22" s="403">
        <v>3595</v>
      </c>
    </row>
    <row r="23" spans="1:8" ht="15.75">
      <c r="A23" s="236" t="s">
        <v>191</v>
      </c>
      <c r="B23" s="237" t="s">
        <v>192</v>
      </c>
      <c r="C23" s="403">
        <f>35293+1688+150+914+400</f>
        <v>38445</v>
      </c>
      <c r="D23" s="403"/>
      <c r="E23" s="403">
        <f>35293+1688+150+914+400</f>
        <v>38445</v>
      </c>
      <c r="F23" s="403">
        <v>84477</v>
      </c>
      <c r="G23" s="403"/>
      <c r="H23" s="403">
        <v>84477</v>
      </c>
    </row>
  </sheetData>
  <mergeCells count="27">
    <mergeCell ref="A15:A16"/>
    <mergeCell ref="A20:A21"/>
    <mergeCell ref="C20:C21"/>
    <mergeCell ref="C3:C5"/>
    <mergeCell ref="E3:E5"/>
    <mergeCell ref="C15:C16"/>
    <mergeCell ref="E15:E16"/>
    <mergeCell ref="D15:D16"/>
    <mergeCell ref="F15:F16"/>
    <mergeCell ref="F17:F18"/>
    <mergeCell ref="A3:A5"/>
    <mergeCell ref="B3:B5"/>
    <mergeCell ref="F3:F5"/>
    <mergeCell ref="A17:A18"/>
    <mergeCell ref="C17:C18"/>
    <mergeCell ref="D17:D18"/>
    <mergeCell ref="E17:E18"/>
    <mergeCell ref="G15:G16"/>
    <mergeCell ref="H3:H5"/>
    <mergeCell ref="H15:H16"/>
    <mergeCell ref="D20:D21"/>
    <mergeCell ref="E20:E21"/>
    <mergeCell ref="G17:G18"/>
    <mergeCell ref="F20:F21"/>
    <mergeCell ref="G20:G21"/>
    <mergeCell ref="H20:H21"/>
    <mergeCell ref="H17:H18"/>
  </mergeCells>
  <phoneticPr fontId="7" type="noConversion"/>
  <printOptions horizontalCentered="1"/>
  <pageMargins left="0.27559055118110237" right="0.15748031496062992" top="1.2204724409448819" bottom="0.35433070866141736" header="0.62992125984251968" footer="0.19685039370078741"/>
  <pageSetup paperSize="9" scale="90" orientation="portrait" r:id="rId1"/>
  <headerFooter alignWithMargins="0">
    <oddHeader xml:space="preserve">&amp;CEgyszerűsített éves költségvetési beszámoló
Egyszerűsített pénzmaradvány-kimutatás 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E17"/>
  <sheetViews>
    <sheetView workbookViewId="0">
      <selection activeCell="A3" sqref="A3"/>
    </sheetView>
  </sheetViews>
  <sheetFormatPr defaultRowHeight="15"/>
  <cols>
    <col min="1" max="1" width="52.42578125" style="275" customWidth="1"/>
    <col min="2" max="2" width="20" style="275" bestFit="1" customWidth="1"/>
    <col min="3" max="3" width="18" style="275" customWidth="1"/>
    <col min="4" max="4" width="20.7109375" style="275" customWidth="1"/>
    <col min="5" max="5" width="21.140625" style="275" customWidth="1"/>
    <col min="6" max="16384" width="9.140625" style="275"/>
  </cols>
  <sheetData>
    <row r="1" spans="1:5" ht="33" customHeight="1">
      <c r="A1" s="363" t="s">
        <v>211</v>
      </c>
      <c r="B1" s="285"/>
      <c r="C1" s="285"/>
      <c r="D1" s="285"/>
      <c r="E1" s="285"/>
    </row>
    <row r="2" spans="1:5">
      <c r="A2" s="363" t="s">
        <v>260</v>
      </c>
      <c r="B2" s="288"/>
      <c r="C2" s="288"/>
      <c r="D2" s="288"/>
      <c r="E2" s="288"/>
    </row>
    <row r="3" spans="1:5" ht="19.5" customHeight="1">
      <c r="A3" s="277"/>
      <c r="B3" s="278"/>
      <c r="C3" s="278"/>
      <c r="D3" s="278"/>
      <c r="E3" s="278"/>
    </row>
    <row r="4" spans="1:5" ht="68.25" customHeight="1">
      <c r="A4" s="277"/>
      <c r="B4" s="285"/>
      <c r="C4" s="285"/>
      <c r="D4" s="285"/>
      <c r="E4" s="285"/>
    </row>
    <row r="6" spans="1:5" ht="51" customHeight="1">
      <c r="A6" s="316" t="s">
        <v>523</v>
      </c>
      <c r="B6" s="279" t="s">
        <v>524</v>
      </c>
      <c r="C6" s="279" t="s">
        <v>525</v>
      </c>
      <c r="D6" s="279" t="s">
        <v>526</v>
      </c>
      <c r="E6" s="279" t="s">
        <v>527</v>
      </c>
    </row>
    <row r="7" spans="1:5">
      <c r="A7" s="318" t="s">
        <v>212</v>
      </c>
      <c r="B7" s="396">
        <v>1</v>
      </c>
      <c r="C7" s="318">
        <v>53960</v>
      </c>
      <c r="D7" s="318">
        <v>53960</v>
      </c>
      <c r="E7" s="318">
        <v>0</v>
      </c>
    </row>
    <row r="8" spans="1:5">
      <c r="A8" s="318"/>
      <c r="B8" s="318"/>
      <c r="C8" s="318"/>
      <c r="D8" s="318"/>
      <c r="E8" s="318"/>
    </row>
    <row r="9" spans="1:5">
      <c r="A9" s="318"/>
      <c r="B9" s="318"/>
      <c r="C9" s="318"/>
      <c r="D9" s="318"/>
      <c r="E9" s="318"/>
    </row>
    <row r="10" spans="1:5">
      <c r="A10" s="318"/>
      <c r="B10" s="318"/>
      <c r="C10" s="318"/>
      <c r="D10" s="318"/>
      <c r="E10" s="318"/>
    </row>
    <row r="11" spans="1:5">
      <c r="A11" s="318"/>
      <c r="B11" s="318"/>
      <c r="C11" s="318"/>
      <c r="D11" s="318"/>
      <c r="E11" s="318"/>
    </row>
    <row r="12" spans="1:5">
      <c r="A12" s="318"/>
      <c r="B12" s="318"/>
      <c r="C12" s="318"/>
      <c r="D12" s="318"/>
      <c r="E12" s="318"/>
    </row>
    <row r="13" spans="1:5">
      <c r="A13" s="318"/>
      <c r="B13" s="318"/>
      <c r="C13" s="318"/>
      <c r="D13" s="318"/>
      <c r="E13" s="318"/>
    </row>
    <row r="14" spans="1:5">
      <c r="A14" s="318"/>
      <c r="B14" s="318"/>
      <c r="C14" s="318"/>
      <c r="D14" s="318"/>
      <c r="E14" s="318"/>
    </row>
    <row r="15" spans="1:5">
      <c r="A15" s="318"/>
      <c r="B15" s="318"/>
      <c r="C15" s="318"/>
      <c r="D15" s="318"/>
      <c r="E15" s="318"/>
    </row>
    <row r="16" spans="1:5">
      <c r="A16" s="318"/>
      <c r="B16" s="318"/>
      <c r="C16" s="318"/>
      <c r="D16" s="318"/>
      <c r="E16" s="318"/>
    </row>
    <row r="17" spans="1:5">
      <c r="A17" s="318"/>
      <c r="B17" s="318"/>
      <c r="C17" s="318"/>
      <c r="D17" s="318"/>
      <c r="E17" s="318"/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AC84"/>
  <sheetViews>
    <sheetView zoomScale="80" workbookViewId="0">
      <pane xSplit="1" ySplit="4" topLeftCell="Z20" activePane="bottomRight" state="frozen"/>
      <selection pane="topRight" activeCell="B1" sqref="B1"/>
      <selection pane="bottomLeft" activeCell="A5" sqref="A5"/>
      <selection pane="bottomRight" activeCell="AC33" sqref="AC33:AC34"/>
    </sheetView>
  </sheetViews>
  <sheetFormatPr defaultRowHeight="12.75"/>
  <cols>
    <col min="1" max="1" width="91.140625" customWidth="1"/>
    <col min="2" max="2" width="16.5703125" style="95" customWidth="1"/>
    <col min="3" max="5" width="15.5703125" style="95" customWidth="1"/>
    <col min="6" max="6" width="18" style="95" customWidth="1"/>
    <col min="7" max="7" width="18.7109375" style="95" customWidth="1"/>
    <col min="8" max="10" width="16.42578125" style="95" customWidth="1"/>
    <col min="11" max="14" width="18.140625" style="95" customWidth="1"/>
    <col min="15" max="18" width="17.7109375" style="95" customWidth="1"/>
    <col min="19" max="22" width="19.7109375" style="95" customWidth="1"/>
    <col min="23" max="26" width="22.42578125" style="95" customWidth="1"/>
    <col min="27" max="27" width="19.85546875" style="95" customWidth="1"/>
    <col min="28" max="28" width="19.5703125" style="95" customWidth="1"/>
    <col min="29" max="29" width="20.5703125" style="95" customWidth="1"/>
  </cols>
  <sheetData>
    <row r="1" spans="1:29" ht="15">
      <c r="A1" s="211" t="s">
        <v>840</v>
      </c>
      <c r="B1" s="327"/>
    </row>
    <row r="2" spans="1:29" ht="15.75">
      <c r="A2" s="212" t="s">
        <v>218</v>
      </c>
      <c r="B2" s="328"/>
    </row>
    <row r="3" spans="1:29" ht="15">
      <c r="A3" s="2"/>
      <c r="B3" s="100"/>
    </row>
    <row r="4" spans="1:29" ht="105">
      <c r="A4" s="259" t="s">
        <v>629</v>
      </c>
      <c r="B4" s="260" t="s">
        <v>528</v>
      </c>
      <c r="C4" s="260" t="s">
        <v>38</v>
      </c>
      <c r="D4" s="260" t="s">
        <v>39</v>
      </c>
      <c r="E4" s="260" t="s">
        <v>40</v>
      </c>
      <c r="F4" s="260" t="s">
        <v>535</v>
      </c>
      <c r="G4" s="260" t="s">
        <v>41</v>
      </c>
      <c r="H4" s="260" t="s">
        <v>42</v>
      </c>
      <c r="I4" s="260" t="s">
        <v>43</v>
      </c>
      <c r="J4" s="260" t="s">
        <v>536</v>
      </c>
      <c r="K4" s="260" t="s">
        <v>45</v>
      </c>
      <c r="L4" s="260" t="s">
        <v>46</v>
      </c>
      <c r="M4" s="260" t="s">
        <v>47</v>
      </c>
      <c r="N4" s="260" t="s">
        <v>531</v>
      </c>
      <c r="O4" s="260" t="s">
        <v>48</v>
      </c>
      <c r="P4" s="260" t="s">
        <v>49</v>
      </c>
      <c r="Q4" s="260" t="s">
        <v>50</v>
      </c>
      <c r="R4" s="99" t="s">
        <v>537</v>
      </c>
      <c r="S4" s="99" t="s">
        <v>51</v>
      </c>
      <c r="T4" s="99" t="s">
        <v>52</v>
      </c>
      <c r="U4" s="99" t="s">
        <v>53</v>
      </c>
      <c r="V4" s="260" t="s">
        <v>538</v>
      </c>
      <c r="W4" s="260" t="s">
        <v>54</v>
      </c>
      <c r="X4" s="260" t="s">
        <v>55</v>
      </c>
      <c r="Y4" s="97" t="s">
        <v>56</v>
      </c>
      <c r="Z4" s="99" t="s">
        <v>533</v>
      </c>
      <c r="AA4" s="99" t="s">
        <v>57</v>
      </c>
      <c r="AB4" s="99" t="s">
        <v>58</v>
      </c>
      <c r="AC4" s="99" t="s">
        <v>59</v>
      </c>
    </row>
    <row r="5" spans="1:29" ht="16.5">
      <c r="A5" s="9" t="s">
        <v>616</v>
      </c>
      <c r="B5" s="32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>
        <v>200548</v>
      </c>
      <c r="O5" s="90">
        <f ca="1">'16. helyi adók'!B31</f>
        <v>116350</v>
      </c>
      <c r="P5" s="90">
        <v>134850</v>
      </c>
      <c r="Q5" s="90">
        <v>168791</v>
      </c>
      <c r="R5" s="90">
        <f>B5+F5+J5+N5</f>
        <v>200548</v>
      </c>
      <c r="S5" s="90">
        <f t="shared" ref="S5:S14" si="0">O5+K5+G5+C5</f>
        <v>116350</v>
      </c>
      <c r="T5" s="90">
        <f>P5+L5+H5+D5</f>
        <v>134850</v>
      </c>
      <c r="U5" s="90">
        <f>Q5+M5+I5+E5</f>
        <v>168791</v>
      </c>
      <c r="V5" s="90"/>
      <c r="W5" s="90"/>
      <c r="X5" s="90"/>
      <c r="Y5" s="90"/>
      <c r="Z5" s="90">
        <f>R5-V5</f>
        <v>200548</v>
      </c>
      <c r="AA5" s="90">
        <f>S5-W5</f>
        <v>116350</v>
      </c>
      <c r="AB5" s="90">
        <f>T5-X5</f>
        <v>134850</v>
      </c>
      <c r="AC5" s="90">
        <f>U5-Y5</f>
        <v>168791</v>
      </c>
    </row>
    <row r="6" spans="1:29" ht="16.5">
      <c r="A6" s="13" t="s">
        <v>595</v>
      </c>
      <c r="B6" s="330">
        <v>608</v>
      </c>
      <c r="C6" s="90"/>
      <c r="D6" s="90"/>
      <c r="E6" s="90">
        <v>849</v>
      </c>
      <c r="F6" s="90">
        <v>631</v>
      </c>
      <c r="G6" s="90">
        <f ca="1">'3. szakfeladatok'!I7</f>
        <v>1223</v>
      </c>
      <c r="H6" s="90">
        <f ca="1">'3. szakfeladatok'!J7</f>
        <v>1223</v>
      </c>
      <c r="I6" s="90">
        <f ca="1">'3. szakfeladatok'!K7</f>
        <v>1118.8140000000001</v>
      </c>
      <c r="J6" s="90">
        <v>200</v>
      </c>
      <c r="K6" s="90">
        <f ca="1">'3. szakfeladatok'!I6</f>
        <v>250</v>
      </c>
      <c r="L6" s="90">
        <v>250</v>
      </c>
      <c r="M6" s="90">
        <v>1264</v>
      </c>
      <c r="N6" s="90">
        <v>72073</v>
      </c>
      <c r="O6" s="90">
        <f ca="1">SUM('3. szakfeladatok'!I8:I34)</f>
        <v>101894</v>
      </c>
      <c r="P6" s="90">
        <f ca="1">SUM('3. szakfeladatok'!J8:J34)</f>
        <v>133307</v>
      </c>
      <c r="Q6" s="90">
        <f ca="1">SUM('3. szakfeladatok'!K8:K34)</f>
        <v>115531.12400000001</v>
      </c>
      <c r="R6" s="90">
        <f t="shared" ref="R6:R32" si="1">B6+F6+J6+N6</f>
        <v>73512</v>
      </c>
      <c r="S6" s="90">
        <f>O6+K6+G6+C6</f>
        <v>103367</v>
      </c>
      <c r="T6" s="90">
        <f t="shared" ref="T6:T14" si="2">P6+L6+H6+D6</f>
        <v>134780</v>
      </c>
      <c r="U6" s="90">
        <f t="shared" ref="U6:U14" si="3">Q6+M6+I6+E6</f>
        <v>118762.93800000001</v>
      </c>
      <c r="V6" s="90"/>
      <c r="W6" s="90"/>
      <c r="X6" s="90"/>
      <c r="Y6" s="90"/>
      <c r="Z6" s="90">
        <f t="shared" ref="Z6:Z32" si="4">R6-V6</f>
        <v>73512</v>
      </c>
      <c r="AA6" s="90">
        <f t="shared" ref="AA6:AA14" si="5">S6-W6</f>
        <v>103367</v>
      </c>
      <c r="AB6" s="90">
        <f t="shared" ref="AB6:AB14" si="6">T6-X6</f>
        <v>134780</v>
      </c>
      <c r="AC6" s="90">
        <f t="shared" ref="AC6:AC14" si="7">U6-Y6</f>
        <v>118762.93800000001</v>
      </c>
    </row>
    <row r="7" spans="1:29" ht="16.5">
      <c r="A7" s="13" t="s">
        <v>617</v>
      </c>
      <c r="B7" s="33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>
        <v>34107</v>
      </c>
      <c r="O7" s="90"/>
      <c r="P7" s="90"/>
      <c r="Q7" s="90"/>
      <c r="R7" s="90">
        <f t="shared" si="1"/>
        <v>34107</v>
      </c>
      <c r="S7" s="90">
        <f>O7+K7+G7+C7</f>
        <v>0</v>
      </c>
      <c r="T7" s="90">
        <f t="shared" si="2"/>
        <v>0</v>
      </c>
      <c r="U7" s="90">
        <f t="shared" si="3"/>
        <v>0</v>
      </c>
      <c r="V7" s="90"/>
      <c r="W7" s="90"/>
      <c r="X7" s="90"/>
      <c r="Y7" s="90"/>
      <c r="Z7" s="90">
        <f t="shared" si="4"/>
        <v>34107</v>
      </c>
      <c r="AA7" s="90">
        <f t="shared" si="5"/>
        <v>0</v>
      </c>
      <c r="AB7" s="90">
        <f t="shared" si="6"/>
        <v>0</v>
      </c>
      <c r="AC7" s="90">
        <f t="shared" si="7"/>
        <v>0</v>
      </c>
    </row>
    <row r="8" spans="1:29" ht="16.5">
      <c r="A8" s="13" t="s">
        <v>584</v>
      </c>
      <c r="B8" s="33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>
        <v>44424</v>
      </c>
      <c r="P8" s="90">
        <v>44424</v>
      </c>
      <c r="Q8" s="90">
        <v>0</v>
      </c>
      <c r="R8" s="90">
        <f t="shared" si="1"/>
        <v>0</v>
      </c>
      <c r="S8" s="90">
        <f>O8+K8+G8+C8</f>
        <v>44424</v>
      </c>
      <c r="T8" s="90">
        <f t="shared" si="2"/>
        <v>44424</v>
      </c>
      <c r="U8" s="90">
        <f t="shared" si="3"/>
        <v>0</v>
      </c>
      <c r="V8" s="90"/>
      <c r="W8" s="90"/>
      <c r="X8" s="90"/>
      <c r="Y8" s="90"/>
      <c r="Z8" s="90">
        <f t="shared" si="4"/>
        <v>0</v>
      </c>
      <c r="AA8" s="90">
        <f t="shared" si="5"/>
        <v>44424</v>
      </c>
      <c r="AB8" s="90">
        <f t="shared" si="6"/>
        <v>44424</v>
      </c>
      <c r="AC8" s="90">
        <f t="shared" si="7"/>
        <v>0</v>
      </c>
    </row>
    <row r="9" spans="1:29" ht="48">
      <c r="A9" s="13" t="s">
        <v>582</v>
      </c>
      <c r="B9" s="33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>
        <v>192228</v>
      </c>
      <c r="O9" s="90">
        <f ca="1">SUM('3. szakfeladatok'!O8:O34)</f>
        <v>122981</v>
      </c>
      <c r="P9" s="90">
        <f ca="1">SUM('3. szakfeladatok'!P8:P34)</f>
        <v>203907</v>
      </c>
      <c r="Q9" s="90">
        <f ca="1">SUM('3. szakfeladatok'!Q8:Q34)</f>
        <v>190100</v>
      </c>
      <c r="R9" s="90">
        <f t="shared" si="1"/>
        <v>192228</v>
      </c>
      <c r="S9" s="90">
        <f>O9+K9+G9+C9</f>
        <v>122981</v>
      </c>
      <c r="T9" s="90">
        <f t="shared" si="2"/>
        <v>203907</v>
      </c>
      <c r="U9" s="90">
        <f t="shared" si="3"/>
        <v>190100</v>
      </c>
      <c r="V9" s="90"/>
      <c r="W9" s="90"/>
      <c r="X9" s="90"/>
      <c r="Y9" s="90"/>
      <c r="Z9" s="90">
        <f t="shared" si="4"/>
        <v>192228</v>
      </c>
      <c r="AA9" s="90">
        <f t="shared" si="5"/>
        <v>122981</v>
      </c>
      <c r="AB9" s="90">
        <f t="shared" si="6"/>
        <v>203907</v>
      </c>
      <c r="AC9" s="90">
        <f t="shared" si="7"/>
        <v>190100</v>
      </c>
    </row>
    <row r="10" spans="1:29" ht="16.5">
      <c r="A10" s="10" t="s">
        <v>586</v>
      </c>
      <c r="B10" s="331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>
        <f t="shared" si="1"/>
        <v>0</v>
      </c>
      <c r="S10" s="90">
        <f>O10+K10+G10+C10</f>
        <v>0</v>
      </c>
      <c r="T10" s="90">
        <f t="shared" si="2"/>
        <v>0</v>
      </c>
      <c r="U10" s="90">
        <f t="shared" si="3"/>
        <v>0</v>
      </c>
      <c r="V10" s="90"/>
      <c r="W10" s="90"/>
      <c r="X10" s="90"/>
      <c r="Y10" s="90"/>
      <c r="Z10" s="90">
        <f t="shared" si="4"/>
        <v>0</v>
      </c>
      <c r="AA10" s="90">
        <f t="shared" si="5"/>
        <v>0</v>
      </c>
      <c r="AB10" s="90">
        <f t="shared" si="6"/>
        <v>0</v>
      </c>
      <c r="AC10" s="90">
        <f t="shared" si="7"/>
        <v>0</v>
      </c>
    </row>
    <row r="11" spans="1:29" ht="16.5">
      <c r="A11" s="5" t="s">
        <v>621</v>
      </c>
      <c r="B11" s="332"/>
      <c r="C11" s="152">
        <f>SUM(C5:C10)</f>
        <v>0</v>
      </c>
      <c r="D11" s="152"/>
      <c r="E11" s="152"/>
      <c r="F11" s="152"/>
      <c r="G11" s="152">
        <f t="shared" ref="G11:Q11" si="8">SUM(G5:G10)</f>
        <v>1223</v>
      </c>
      <c r="H11" s="152">
        <f t="shared" si="8"/>
        <v>1223</v>
      </c>
      <c r="I11" s="152">
        <f t="shared" si="8"/>
        <v>1118.8140000000001</v>
      </c>
      <c r="J11" s="152"/>
      <c r="K11" s="152">
        <f t="shared" si="8"/>
        <v>250</v>
      </c>
      <c r="L11" s="152">
        <f t="shared" si="8"/>
        <v>250</v>
      </c>
      <c r="M11" s="152">
        <f t="shared" si="8"/>
        <v>1264</v>
      </c>
      <c r="N11" s="152">
        <f t="shared" si="8"/>
        <v>498956</v>
      </c>
      <c r="O11" s="152">
        <f t="shared" si="8"/>
        <v>385649</v>
      </c>
      <c r="P11" s="152">
        <f t="shared" si="8"/>
        <v>516488</v>
      </c>
      <c r="Q11" s="152">
        <f t="shared" si="8"/>
        <v>474422.12400000001</v>
      </c>
      <c r="R11" s="153">
        <f t="shared" si="1"/>
        <v>498956</v>
      </c>
      <c r="S11" s="153">
        <f t="shared" si="0"/>
        <v>387122</v>
      </c>
      <c r="T11" s="153">
        <f t="shared" si="2"/>
        <v>517961</v>
      </c>
      <c r="U11" s="153">
        <f t="shared" si="3"/>
        <v>476804.93800000002</v>
      </c>
      <c r="V11" s="153"/>
      <c r="W11" s="153"/>
      <c r="X11" s="153"/>
      <c r="Y11" s="153"/>
      <c r="Z11" s="153">
        <f t="shared" si="4"/>
        <v>498956</v>
      </c>
      <c r="AA11" s="153">
        <f t="shared" si="5"/>
        <v>387122</v>
      </c>
      <c r="AB11" s="153">
        <f t="shared" si="6"/>
        <v>517961</v>
      </c>
      <c r="AC11" s="153">
        <f t="shared" si="7"/>
        <v>476804.93800000002</v>
      </c>
    </row>
    <row r="12" spans="1:29" ht="16.5">
      <c r="A12" s="8" t="s">
        <v>592</v>
      </c>
      <c r="B12" s="333">
        <v>46713</v>
      </c>
      <c r="C12" s="105">
        <f ca="1">'1. kiadások össz'!C17-'2. bevételek össz'!C13</f>
        <v>47651</v>
      </c>
      <c r="D12" s="105">
        <f ca="1">'1. kiadások össz'!D17-'2. bevételek össz'!D13</f>
        <v>52663.542000000001</v>
      </c>
      <c r="E12" s="105">
        <v>51638</v>
      </c>
      <c r="F12" s="105">
        <f ca="1">19425-456</f>
        <v>18969</v>
      </c>
      <c r="G12" s="105">
        <f ca="1">'1. kiadások össz'!G17-'2. bevételek össz'!G13-G11</f>
        <v>23731</v>
      </c>
      <c r="H12" s="105">
        <f ca="1">'1. kiadások össz'!H17-'2. bevételek össz'!H13-H11</f>
        <v>24578.414000000001</v>
      </c>
      <c r="I12" s="105">
        <v>22913</v>
      </c>
      <c r="J12" s="105">
        <f ca="1">64537-846</f>
        <v>63691</v>
      </c>
      <c r="K12" s="105">
        <f ca="1">'1. kiadások össz'!K17-'2. bevételek össz'!K13-K11</f>
        <v>55504</v>
      </c>
      <c r="L12" s="105">
        <v>63399</v>
      </c>
      <c r="M12" s="105">
        <v>56053</v>
      </c>
      <c r="N12" s="105"/>
      <c r="O12" s="105"/>
      <c r="P12" s="105"/>
      <c r="Q12" s="105"/>
      <c r="R12" s="105">
        <f t="shared" si="1"/>
        <v>129373</v>
      </c>
      <c r="S12" s="105">
        <f t="shared" si="0"/>
        <v>126886</v>
      </c>
      <c r="T12" s="105">
        <f t="shared" si="2"/>
        <v>140640.95600000001</v>
      </c>
      <c r="U12" s="105">
        <f t="shared" si="3"/>
        <v>130604</v>
      </c>
      <c r="V12" s="105">
        <f ca="1">S12</f>
        <v>126886</v>
      </c>
      <c r="W12" s="105">
        <f ca="1">K12+G12+C12</f>
        <v>126886</v>
      </c>
      <c r="X12" s="105">
        <f>L12+H12+D12</f>
        <v>140640.95600000001</v>
      </c>
      <c r="Y12" s="105">
        <f>M12+I12+E12</f>
        <v>130604</v>
      </c>
      <c r="Z12" s="105">
        <f t="shared" si="4"/>
        <v>2487</v>
      </c>
      <c r="AA12" s="105">
        <f t="shared" si="5"/>
        <v>0</v>
      </c>
      <c r="AB12" s="105">
        <f t="shared" si="6"/>
        <v>0</v>
      </c>
      <c r="AC12" s="105">
        <f t="shared" si="7"/>
        <v>0</v>
      </c>
    </row>
    <row r="13" spans="1:29" ht="19.5" customHeight="1">
      <c r="A13" s="154" t="s">
        <v>619</v>
      </c>
      <c r="B13" s="334"/>
      <c r="C13" s="90">
        <v>75</v>
      </c>
      <c r="D13" s="90">
        <v>75</v>
      </c>
      <c r="E13" s="90"/>
      <c r="F13" s="90"/>
      <c r="G13" s="90">
        <v>120</v>
      </c>
      <c r="H13" s="90">
        <v>120</v>
      </c>
      <c r="I13" s="90"/>
      <c r="J13" s="90"/>
      <c r="K13" s="90">
        <v>111</v>
      </c>
      <c r="L13" s="90">
        <v>111</v>
      </c>
      <c r="M13" s="90">
        <v>0</v>
      </c>
      <c r="N13" s="90"/>
      <c r="O13" s="90">
        <v>23897</v>
      </c>
      <c r="P13" s="90">
        <v>23897</v>
      </c>
      <c r="Q13" s="90">
        <v>0</v>
      </c>
      <c r="R13" s="90">
        <f t="shared" si="1"/>
        <v>0</v>
      </c>
      <c r="S13" s="90">
        <f t="shared" si="0"/>
        <v>24203</v>
      </c>
      <c r="T13" s="90">
        <f t="shared" si="2"/>
        <v>24203</v>
      </c>
      <c r="U13" s="90">
        <f t="shared" si="3"/>
        <v>0</v>
      </c>
      <c r="V13" s="90"/>
      <c r="W13" s="90"/>
      <c r="X13" s="90"/>
      <c r="Y13" s="90"/>
      <c r="Z13" s="90">
        <f t="shared" si="4"/>
        <v>0</v>
      </c>
      <c r="AA13" s="90">
        <f t="shared" si="5"/>
        <v>24203</v>
      </c>
      <c r="AB13" s="90">
        <f t="shared" si="6"/>
        <v>24203</v>
      </c>
      <c r="AC13" s="90">
        <f t="shared" si="7"/>
        <v>0</v>
      </c>
    </row>
    <row r="14" spans="1:29" ht="27.75" customHeight="1">
      <c r="A14" s="43" t="s">
        <v>879</v>
      </c>
      <c r="B14" s="92">
        <f>SUM(B11,B13+B12)+B6</f>
        <v>47321</v>
      </c>
      <c r="C14" s="92">
        <f ca="1">SUM(C11,C13+C12)</f>
        <v>47726</v>
      </c>
      <c r="D14" s="92">
        <f ca="1">SUM(D11,D13+D12)</f>
        <v>52738.542000000001</v>
      </c>
      <c r="E14" s="92">
        <f ca="1">SUM(E11,E13+E12+E6)</f>
        <v>52487</v>
      </c>
      <c r="F14" s="92">
        <f ca="1">F12+F6</f>
        <v>19600</v>
      </c>
      <c r="G14" s="92">
        <f t="shared" ref="G14:Q14" si="9">SUM(G11,G13+G12)</f>
        <v>25074</v>
      </c>
      <c r="H14" s="92">
        <f t="shared" si="9"/>
        <v>25921.414000000001</v>
      </c>
      <c r="I14" s="92">
        <f t="shared" si="9"/>
        <v>24031.813999999998</v>
      </c>
      <c r="J14" s="92">
        <f ca="1">J12+J6</f>
        <v>63891</v>
      </c>
      <c r="K14" s="92">
        <f t="shared" si="9"/>
        <v>55865</v>
      </c>
      <c r="L14" s="92">
        <f t="shared" si="9"/>
        <v>63760</v>
      </c>
      <c r="M14" s="92">
        <f t="shared" si="9"/>
        <v>57317</v>
      </c>
      <c r="N14" s="92">
        <f t="shared" si="9"/>
        <v>498956</v>
      </c>
      <c r="O14" s="92">
        <f t="shared" si="9"/>
        <v>409546</v>
      </c>
      <c r="P14" s="92">
        <f t="shared" si="9"/>
        <v>540385</v>
      </c>
      <c r="Q14" s="92">
        <f t="shared" si="9"/>
        <v>474422.12400000001</v>
      </c>
      <c r="R14" s="93">
        <f t="shared" si="1"/>
        <v>629768</v>
      </c>
      <c r="S14" s="93">
        <f t="shared" si="0"/>
        <v>538211</v>
      </c>
      <c r="T14" s="93">
        <f t="shared" si="2"/>
        <v>682804.95600000001</v>
      </c>
      <c r="U14" s="93">
        <f t="shared" si="3"/>
        <v>608257.93800000008</v>
      </c>
      <c r="V14" s="93"/>
      <c r="W14" s="92">
        <f ca="1">SUM(W11,W13+W12)</f>
        <v>126886</v>
      </c>
      <c r="X14" s="92">
        <f>SUM(X11,X13+X12)</f>
        <v>140640.95600000001</v>
      </c>
      <c r="Y14" s="92">
        <f>SUM(Y11,Y13+Y12)</f>
        <v>130604</v>
      </c>
      <c r="Z14" s="93">
        <f t="shared" si="4"/>
        <v>629768</v>
      </c>
      <c r="AA14" s="93">
        <f t="shared" si="5"/>
        <v>411325</v>
      </c>
      <c r="AB14" s="93">
        <f t="shared" si="6"/>
        <v>542164</v>
      </c>
      <c r="AC14" s="93">
        <f t="shared" si="7"/>
        <v>477653.93800000008</v>
      </c>
    </row>
    <row r="15" spans="1:29" ht="27.75" customHeight="1">
      <c r="A15" s="11" t="s">
        <v>624</v>
      </c>
      <c r="B15" s="336"/>
      <c r="C15" s="150">
        <f ca="1">C14-'1. kiadások össz'!C17</f>
        <v>0</v>
      </c>
      <c r="D15" s="150"/>
      <c r="E15" s="150"/>
      <c r="F15" s="150"/>
      <c r="G15" s="150">
        <f ca="1">G14-'1. kiadások össz'!G17</f>
        <v>0</v>
      </c>
      <c r="H15" s="150">
        <f ca="1">H14-'1. kiadások össz'!H17</f>
        <v>0</v>
      </c>
      <c r="I15" s="150">
        <f ca="1">I14-'1. kiadások össz'!I17</f>
        <v>424.20899999999892</v>
      </c>
      <c r="J15" s="150"/>
      <c r="K15" s="150">
        <f ca="1">K14-'1. kiadások össz'!K17</f>
        <v>0</v>
      </c>
      <c r="L15" s="150">
        <f ca="1">L14-'1. kiadások össz'!L17</f>
        <v>0.14400000000023283</v>
      </c>
      <c r="M15" s="150">
        <f ca="1">M14-'1. kiadások össz'!M17</f>
        <v>1235.0720000000001</v>
      </c>
      <c r="N15" s="150"/>
      <c r="O15" s="150">
        <f ca="1">O14-'1. kiadások össz'!O17</f>
        <v>0</v>
      </c>
      <c r="P15" s="150">
        <f ca="1">P14-'1. kiadások össz'!P17</f>
        <v>13800.469000000041</v>
      </c>
      <c r="Q15" s="150">
        <f ca="1">Q14-'1. kiadások össz'!Q17</f>
        <v>63885.552000000025</v>
      </c>
      <c r="R15" s="150">
        <f t="shared" si="1"/>
        <v>0</v>
      </c>
      <c r="S15" s="150">
        <f ca="1">S14-'1. kiadások össz'!S17</f>
        <v>0</v>
      </c>
      <c r="T15" s="150">
        <f ca="1">T14-'1. kiadások össz'!T17</f>
        <v>13799.613000000012</v>
      </c>
      <c r="U15" s="150">
        <f ca="1">U14-'1. kiadások össz'!U17</f>
        <v>67620.499000000069</v>
      </c>
      <c r="V15" s="150"/>
      <c r="W15" s="150">
        <f ca="1">W14-'1. kiadások össz'!W17</f>
        <v>0</v>
      </c>
      <c r="X15" s="150"/>
      <c r="Y15" s="150"/>
      <c r="Z15" s="150">
        <f t="shared" si="4"/>
        <v>0</v>
      </c>
      <c r="AA15" s="150">
        <f ca="1">AA14-'1. kiadások össz'!AA17</f>
        <v>0</v>
      </c>
      <c r="AB15" s="150">
        <f ca="1">AB14-'1. kiadások össz'!AB17</f>
        <v>13199.657000000007</v>
      </c>
      <c r="AC15" s="150">
        <f ca="1">AC14-'1. kiadások össz'!AC17</f>
        <v>67019.499000000069</v>
      </c>
    </row>
    <row r="16" spans="1:29" ht="27.75" customHeight="1">
      <c r="A16" s="18" t="s">
        <v>625</v>
      </c>
      <c r="B16" s="337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>
        <f t="shared" si="1"/>
        <v>0</v>
      </c>
      <c r="S16" s="105">
        <f t="shared" ref="S16:U17" si="10">O16+K16+G16+C16</f>
        <v>0</v>
      </c>
      <c r="T16" s="105">
        <f t="shared" si="10"/>
        <v>0</v>
      </c>
      <c r="U16" s="105">
        <f t="shared" si="10"/>
        <v>0</v>
      </c>
      <c r="V16" s="105"/>
      <c r="W16" s="105"/>
      <c r="X16" s="105"/>
      <c r="Y16" s="105"/>
      <c r="Z16" s="105">
        <f t="shared" si="4"/>
        <v>0</v>
      </c>
      <c r="AA16" s="105">
        <f t="shared" ref="AA16:AC17" si="11">S16-W16</f>
        <v>0</v>
      </c>
      <c r="AB16" s="105">
        <f t="shared" si="11"/>
        <v>0</v>
      </c>
      <c r="AC16" s="105">
        <f t="shared" si="11"/>
        <v>0</v>
      </c>
    </row>
    <row r="17" spans="1:29" s="149" customFormat="1" ht="16.5">
      <c r="A17" s="13" t="s">
        <v>618</v>
      </c>
      <c r="B17" s="330"/>
      <c r="C17" s="130"/>
      <c r="D17" s="130"/>
      <c r="E17" s="130">
        <v>600</v>
      </c>
      <c r="F17" s="130"/>
      <c r="G17" s="130"/>
      <c r="H17" s="130"/>
      <c r="I17" s="130"/>
      <c r="J17" s="130"/>
      <c r="K17" s="130"/>
      <c r="L17" s="130"/>
      <c r="M17" s="130"/>
      <c r="N17" s="130">
        <v>76352</v>
      </c>
      <c r="O17" s="130">
        <v>73391</v>
      </c>
      <c r="P17" s="130">
        <v>73391</v>
      </c>
      <c r="Q17" s="130">
        <v>47563</v>
      </c>
      <c r="R17" s="90">
        <f t="shared" si="1"/>
        <v>76352</v>
      </c>
      <c r="S17" s="90">
        <f t="shared" si="10"/>
        <v>73391</v>
      </c>
      <c r="T17" s="90">
        <f t="shared" si="10"/>
        <v>73391</v>
      </c>
      <c r="U17" s="90">
        <f t="shared" si="10"/>
        <v>48163</v>
      </c>
      <c r="V17" s="90"/>
      <c r="W17" s="130"/>
      <c r="X17" s="130"/>
      <c r="Y17" s="130"/>
      <c r="Z17" s="90">
        <f t="shared" si="4"/>
        <v>76352</v>
      </c>
      <c r="AA17" s="130">
        <f t="shared" si="11"/>
        <v>73391</v>
      </c>
      <c r="AB17" s="130">
        <f t="shared" si="11"/>
        <v>73391</v>
      </c>
      <c r="AC17" s="130">
        <f t="shared" si="11"/>
        <v>48163</v>
      </c>
    </row>
    <row r="18" spans="1:29" ht="16.5">
      <c r="A18" s="13" t="s">
        <v>597</v>
      </c>
      <c r="B18" s="33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>
        <f t="shared" si="1"/>
        <v>0</v>
      </c>
      <c r="S18" s="90">
        <f t="shared" ref="S18:S23" si="12">O18+K18+G18+C18</f>
        <v>0</v>
      </c>
      <c r="T18" s="90">
        <f t="shared" ref="T18:T26" si="13">P18+L18+H18+D18</f>
        <v>0</v>
      </c>
      <c r="U18" s="90">
        <f t="shared" ref="U18:U26" si="14">Q18+M18+I18+E18</f>
        <v>0</v>
      </c>
      <c r="V18" s="90"/>
      <c r="W18" s="90"/>
      <c r="X18" s="90"/>
      <c r="Y18" s="90"/>
      <c r="Z18" s="90">
        <f t="shared" si="4"/>
        <v>0</v>
      </c>
      <c r="AA18" s="130">
        <f t="shared" ref="AA18:AA23" si="15">S18-W18</f>
        <v>0</v>
      </c>
      <c r="AB18" s="130">
        <f t="shared" ref="AB18:AB26" si="16">T18-X18</f>
        <v>0</v>
      </c>
      <c r="AC18" s="130">
        <f t="shared" ref="AC18:AC26" si="17">U18-Y18</f>
        <v>0</v>
      </c>
    </row>
    <row r="19" spans="1:29" ht="16.5">
      <c r="A19" s="13" t="s">
        <v>773</v>
      </c>
      <c r="B19" s="33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>
        <f t="shared" si="1"/>
        <v>0</v>
      </c>
      <c r="S19" s="90">
        <f t="shared" si="12"/>
        <v>0</v>
      </c>
      <c r="T19" s="90">
        <f t="shared" si="13"/>
        <v>0</v>
      </c>
      <c r="U19" s="90">
        <f t="shared" si="14"/>
        <v>0</v>
      </c>
      <c r="V19" s="90"/>
      <c r="W19" s="90"/>
      <c r="X19" s="90"/>
      <c r="Y19" s="90"/>
      <c r="Z19" s="90">
        <f t="shared" si="4"/>
        <v>0</v>
      </c>
      <c r="AA19" s="130">
        <f t="shared" si="15"/>
        <v>0</v>
      </c>
      <c r="AB19" s="130">
        <f t="shared" si="16"/>
        <v>0</v>
      </c>
      <c r="AC19" s="130">
        <f t="shared" si="17"/>
        <v>0</v>
      </c>
    </row>
    <row r="20" spans="1:29" ht="32.25">
      <c r="A20" s="13" t="s">
        <v>585</v>
      </c>
      <c r="B20" s="33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>
        <v>148860</v>
      </c>
      <c r="P20" s="90">
        <v>148860</v>
      </c>
      <c r="Q20" s="90">
        <v>0</v>
      </c>
      <c r="R20" s="90">
        <f t="shared" si="1"/>
        <v>0</v>
      </c>
      <c r="S20" s="90">
        <f t="shared" si="12"/>
        <v>148860</v>
      </c>
      <c r="T20" s="90">
        <f t="shared" si="13"/>
        <v>148860</v>
      </c>
      <c r="U20" s="90">
        <f t="shared" si="14"/>
        <v>0</v>
      </c>
      <c r="V20" s="90"/>
      <c r="W20" s="90"/>
      <c r="X20" s="90"/>
      <c r="Y20" s="90"/>
      <c r="Z20" s="90">
        <f t="shared" si="4"/>
        <v>0</v>
      </c>
      <c r="AA20" s="130">
        <f t="shared" si="15"/>
        <v>148860</v>
      </c>
      <c r="AB20" s="130">
        <f t="shared" si="16"/>
        <v>148860</v>
      </c>
      <c r="AC20" s="130">
        <f t="shared" si="17"/>
        <v>0</v>
      </c>
    </row>
    <row r="21" spans="1:29" ht="32.25">
      <c r="A21" s="13" t="s">
        <v>590</v>
      </c>
      <c r="B21" s="33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>
        <f t="shared" si="1"/>
        <v>0</v>
      </c>
      <c r="S21" s="90">
        <f t="shared" si="12"/>
        <v>0</v>
      </c>
      <c r="T21" s="90">
        <f t="shared" si="13"/>
        <v>0</v>
      </c>
      <c r="U21" s="90">
        <f t="shared" si="14"/>
        <v>0</v>
      </c>
      <c r="V21" s="90"/>
      <c r="W21" s="90"/>
      <c r="X21" s="90"/>
      <c r="Y21" s="90"/>
      <c r="Z21" s="90">
        <f t="shared" si="4"/>
        <v>0</v>
      </c>
      <c r="AA21" s="130">
        <f t="shared" si="15"/>
        <v>0</v>
      </c>
      <c r="AB21" s="130">
        <f t="shared" si="16"/>
        <v>0</v>
      </c>
      <c r="AC21" s="130">
        <f t="shared" si="17"/>
        <v>0</v>
      </c>
    </row>
    <row r="22" spans="1:29" ht="16.5">
      <c r="A22" s="9" t="s">
        <v>583</v>
      </c>
      <c r="B22" s="32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>
        <f t="shared" si="1"/>
        <v>0</v>
      </c>
      <c r="S22" s="90">
        <f t="shared" si="12"/>
        <v>0</v>
      </c>
      <c r="T22" s="90">
        <f t="shared" si="13"/>
        <v>0</v>
      </c>
      <c r="U22" s="90">
        <f t="shared" si="14"/>
        <v>0</v>
      </c>
      <c r="V22" s="90"/>
      <c r="W22" s="90"/>
      <c r="X22" s="90"/>
      <c r="Y22" s="90"/>
      <c r="Z22" s="90">
        <f t="shared" si="4"/>
        <v>0</v>
      </c>
      <c r="AA22" s="130">
        <f t="shared" si="15"/>
        <v>0</v>
      </c>
      <c r="AB22" s="130">
        <f t="shared" si="16"/>
        <v>0</v>
      </c>
      <c r="AC22" s="130">
        <f t="shared" si="17"/>
        <v>0</v>
      </c>
    </row>
    <row r="23" spans="1:29" ht="16.5">
      <c r="A23" s="10" t="s">
        <v>587</v>
      </c>
      <c r="B23" s="331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>
        <f t="shared" si="1"/>
        <v>0</v>
      </c>
      <c r="S23" s="90">
        <f t="shared" si="12"/>
        <v>0</v>
      </c>
      <c r="T23" s="90">
        <f t="shared" si="13"/>
        <v>0</v>
      </c>
      <c r="U23" s="90">
        <f t="shared" si="14"/>
        <v>0</v>
      </c>
      <c r="V23" s="90"/>
      <c r="W23" s="90"/>
      <c r="X23" s="90"/>
      <c r="Y23" s="90"/>
      <c r="Z23" s="90">
        <f t="shared" si="4"/>
        <v>0</v>
      </c>
      <c r="AA23" s="130">
        <f t="shared" si="15"/>
        <v>0</v>
      </c>
      <c r="AB23" s="130">
        <f t="shared" si="16"/>
        <v>0</v>
      </c>
      <c r="AC23" s="130">
        <f t="shared" si="17"/>
        <v>0</v>
      </c>
    </row>
    <row r="24" spans="1:29" ht="16.5">
      <c r="A24" s="5" t="s">
        <v>620</v>
      </c>
      <c r="B24" s="152">
        <f>SUM(B17:B23)</f>
        <v>0</v>
      </c>
      <c r="C24" s="152">
        <f>SUM(C17:C23)</f>
        <v>0</v>
      </c>
      <c r="D24" s="152"/>
      <c r="E24" s="152"/>
      <c r="F24" s="152"/>
      <c r="G24" s="152">
        <f>SUM(G17:G23)</f>
        <v>0</v>
      </c>
      <c r="H24" s="152"/>
      <c r="I24" s="152"/>
      <c r="J24" s="152"/>
      <c r="K24" s="152">
        <f t="shared" ref="K24:Q24" si="18">SUM(K17:K23)</f>
        <v>0</v>
      </c>
      <c r="L24" s="152">
        <f t="shared" si="18"/>
        <v>0</v>
      </c>
      <c r="M24" s="152">
        <f t="shared" si="18"/>
        <v>0</v>
      </c>
      <c r="N24" s="152"/>
      <c r="O24" s="152">
        <f t="shared" si="18"/>
        <v>222251</v>
      </c>
      <c r="P24" s="152">
        <f t="shared" si="18"/>
        <v>222251</v>
      </c>
      <c r="Q24" s="152">
        <f t="shared" si="18"/>
        <v>47563</v>
      </c>
      <c r="R24" s="153">
        <f t="shared" si="1"/>
        <v>0</v>
      </c>
      <c r="S24" s="153">
        <f t="shared" ref="S24:S29" si="19">O24+K24+G24+C24</f>
        <v>222251</v>
      </c>
      <c r="T24" s="153">
        <f t="shared" si="13"/>
        <v>222251</v>
      </c>
      <c r="U24" s="153">
        <f t="shared" si="14"/>
        <v>47563</v>
      </c>
      <c r="V24" s="153"/>
      <c r="W24" s="153"/>
      <c r="X24" s="153"/>
      <c r="Y24" s="153"/>
      <c r="Z24" s="153">
        <f t="shared" si="4"/>
        <v>0</v>
      </c>
      <c r="AA24" s="153">
        <f t="shared" ref="AA24:AA29" si="20">S24-W24</f>
        <v>222251</v>
      </c>
      <c r="AB24" s="153">
        <f t="shared" si="16"/>
        <v>222251</v>
      </c>
      <c r="AC24" s="153">
        <f t="shared" si="17"/>
        <v>47563</v>
      </c>
    </row>
    <row r="25" spans="1:29" ht="16.5">
      <c r="A25" s="8" t="s">
        <v>593</v>
      </c>
      <c r="B25" s="333">
        <v>0</v>
      </c>
      <c r="C25" s="105">
        <f ca="1">'1. kiadások össz'!C32-'2. bevételek össz'!C12-'2. bevételek össz'!C13</f>
        <v>1524</v>
      </c>
      <c r="D25" s="105">
        <v>924</v>
      </c>
      <c r="E25" s="105">
        <v>0</v>
      </c>
      <c r="F25" s="105">
        <v>456</v>
      </c>
      <c r="G25" s="105">
        <v>4826</v>
      </c>
      <c r="H25" s="105">
        <v>4826</v>
      </c>
      <c r="I25" s="105">
        <v>962</v>
      </c>
      <c r="J25" s="105">
        <v>846</v>
      </c>
      <c r="K25" s="105">
        <f ca="1">'1. kiadások össz'!K18</f>
        <v>635</v>
      </c>
      <c r="L25" s="105">
        <v>635</v>
      </c>
      <c r="M25" s="105">
        <v>120</v>
      </c>
      <c r="N25" s="105"/>
      <c r="O25" s="105"/>
      <c r="P25" s="105"/>
      <c r="Q25" s="105"/>
      <c r="R25" s="105">
        <f t="shared" si="1"/>
        <v>1302</v>
      </c>
      <c r="S25" s="105">
        <f t="shared" si="19"/>
        <v>6985</v>
      </c>
      <c r="T25" s="105">
        <f t="shared" si="13"/>
        <v>6385</v>
      </c>
      <c r="U25" s="105">
        <f t="shared" si="14"/>
        <v>1082</v>
      </c>
      <c r="V25" s="105">
        <f>S25</f>
        <v>6985</v>
      </c>
      <c r="W25" s="105">
        <v>6985</v>
      </c>
      <c r="X25" s="105">
        <v>6385</v>
      </c>
      <c r="Y25" s="105">
        <f ca="1">'1. kiadások össz'!Y32-'2. bevételek össz'!Y12-'2. bevételek össz'!Y13</f>
        <v>1080.8299999999872</v>
      </c>
      <c r="Z25" s="105">
        <f t="shared" si="4"/>
        <v>-5683</v>
      </c>
      <c r="AA25" s="105">
        <f t="shared" si="20"/>
        <v>0</v>
      </c>
      <c r="AB25" s="105">
        <f t="shared" si="16"/>
        <v>0</v>
      </c>
      <c r="AC25" s="105">
        <f t="shared" si="17"/>
        <v>1.1700000000128057</v>
      </c>
    </row>
    <row r="26" spans="1:29" ht="20.25" customHeight="1">
      <c r="A26" s="155" t="s">
        <v>623</v>
      </c>
      <c r="B26" s="338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>
        <v>36490</v>
      </c>
      <c r="P26" s="90">
        <v>36490</v>
      </c>
      <c r="Q26" s="90">
        <v>0</v>
      </c>
      <c r="R26" s="90">
        <f t="shared" si="1"/>
        <v>0</v>
      </c>
      <c r="S26" s="90">
        <f t="shared" si="19"/>
        <v>36490</v>
      </c>
      <c r="T26" s="90">
        <f t="shared" si="13"/>
        <v>36490</v>
      </c>
      <c r="U26" s="90">
        <f t="shared" si="14"/>
        <v>0</v>
      </c>
      <c r="V26" s="90"/>
      <c r="W26" s="90"/>
      <c r="X26" s="90"/>
      <c r="Y26" s="90"/>
      <c r="Z26" s="90">
        <f t="shared" si="4"/>
        <v>0</v>
      </c>
      <c r="AA26" s="90">
        <f t="shared" si="20"/>
        <v>36490</v>
      </c>
      <c r="AB26" s="90">
        <f t="shared" si="16"/>
        <v>36490</v>
      </c>
      <c r="AC26" s="90">
        <f t="shared" si="17"/>
        <v>0</v>
      </c>
    </row>
    <row r="27" spans="1:29" ht="16.5">
      <c r="A27" s="14" t="s">
        <v>596</v>
      </c>
      <c r="B27" s="33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>
        <f t="shared" si="1"/>
        <v>0</v>
      </c>
      <c r="S27" s="90">
        <f t="shared" si="19"/>
        <v>0</v>
      </c>
      <c r="T27" s="90">
        <f t="shared" ref="T27:U29" si="21">P27+L27+H27+D27</f>
        <v>0</v>
      </c>
      <c r="U27" s="90">
        <f t="shared" si="21"/>
        <v>0</v>
      </c>
      <c r="V27" s="90"/>
      <c r="W27" s="90"/>
      <c r="X27" s="90"/>
      <c r="Y27" s="90"/>
      <c r="Z27" s="90">
        <f t="shared" si="4"/>
        <v>0</v>
      </c>
      <c r="AA27" s="90">
        <f t="shared" si="20"/>
        <v>0</v>
      </c>
      <c r="AB27" s="90">
        <f t="shared" ref="AB27:AC29" si="22">T27-X27</f>
        <v>0</v>
      </c>
      <c r="AC27" s="90">
        <f t="shared" si="22"/>
        <v>0</v>
      </c>
    </row>
    <row r="28" spans="1:29" ht="16.5">
      <c r="A28" s="14" t="s">
        <v>622</v>
      </c>
      <c r="B28" s="33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>
        <v>50000</v>
      </c>
      <c r="P28" s="90">
        <v>50000</v>
      </c>
      <c r="Q28" s="90"/>
      <c r="R28" s="90">
        <f t="shared" si="1"/>
        <v>0</v>
      </c>
      <c r="S28" s="90">
        <f t="shared" si="19"/>
        <v>50000</v>
      </c>
      <c r="T28" s="90">
        <f t="shared" si="21"/>
        <v>50000</v>
      </c>
      <c r="U28" s="90">
        <f t="shared" si="21"/>
        <v>0</v>
      </c>
      <c r="V28" s="90"/>
      <c r="W28" s="90"/>
      <c r="X28" s="90"/>
      <c r="Y28" s="90"/>
      <c r="Z28" s="90">
        <f t="shared" si="4"/>
        <v>0</v>
      </c>
      <c r="AA28" s="90">
        <f t="shared" si="20"/>
        <v>50000</v>
      </c>
      <c r="AB28" s="90">
        <f t="shared" si="22"/>
        <v>50000</v>
      </c>
      <c r="AC28" s="90">
        <f t="shared" si="22"/>
        <v>0</v>
      </c>
    </row>
    <row r="29" spans="1:29" ht="30" customHeight="1">
      <c r="A29" s="43" t="s">
        <v>589</v>
      </c>
      <c r="B29" s="335">
        <v>0</v>
      </c>
      <c r="C29" s="92">
        <f>SUM(C24,C26,C27,C28+C25)</f>
        <v>1524</v>
      </c>
      <c r="D29" s="92">
        <f>SUM(D24,D26,D27,D28+D25)</f>
        <v>924</v>
      </c>
      <c r="E29" s="92">
        <f>SUM(E24,E26,E27,E28+E25+E17)</f>
        <v>600</v>
      </c>
      <c r="F29" s="92">
        <f t="shared" ref="F29:Q29" si="23">SUM(F24,F26,F27,F28+F25)</f>
        <v>456</v>
      </c>
      <c r="G29" s="92">
        <f t="shared" si="23"/>
        <v>4826</v>
      </c>
      <c r="H29" s="92">
        <f t="shared" si="23"/>
        <v>4826</v>
      </c>
      <c r="I29" s="92">
        <f t="shared" si="23"/>
        <v>962</v>
      </c>
      <c r="J29" s="92">
        <f t="shared" si="23"/>
        <v>846</v>
      </c>
      <c r="K29" s="92">
        <f t="shared" si="23"/>
        <v>635</v>
      </c>
      <c r="L29" s="92">
        <f t="shared" si="23"/>
        <v>635</v>
      </c>
      <c r="M29" s="92">
        <f t="shared" si="23"/>
        <v>120</v>
      </c>
      <c r="N29" s="92">
        <f>SUM(N17:N28)</f>
        <v>76352</v>
      </c>
      <c r="O29" s="92">
        <f t="shared" si="23"/>
        <v>308741</v>
      </c>
      <c r="P29" s="92">
        <f t="shared" si="23"/>
        <v>308741</v>
      </c>
      <c r="Q29" s="92">
        <f t="shared" si="23"/>
        <v>47563</v>
      </c>
      <c r="R29" s="93">
        <f t="shared" si="1"/>
        <v>77654</v>
      </c>
      <c r="S29" s="93">
        <f t="shared" si="19"/>
        <v>315726</v>
      </c>
      <c r="T29" s="93">
        <f t="shared" si="21"/>
        <v>315126</v>
      </c>
      <c r="U29" s="93">
        <f t="shared" si="21"/>
        <v>49245</v>
      </c>
      <c r="V29" s="93"/>
      <c r="W29" s="92">
        <f>SUM(W24,W26,W27,W28+W25)</f>
        <v>6985</v>
      </c>
      <c r="X29" s="92">
        <f>SUM(X24,X26,X27,X28+X25)</f>
        <v>6385</v>
      </c>
      <c r="Y29" s="92">
        <f>SUM(Y24,Y26,Y27,Y28+Y25)</f>
        <v>1080.8299999999872</v>
      </c>
      <c r="Z29" s="93">
        <f t="shared" si="4"/>
        <v>77654</v>
      </c>
      <c r="AA29" s="93">
        <f t="shared" si="20"/>
        <v>308741</v>
      </c>
      <c r="AB29" s="93">
        <f t="shared" si="22"/>
        <v>308741</v>
      </c>
      <c r="AC29" s="93">
        <f t="shared" si="22"/>
        <v>48164.170000000013</v>
      </c>
    </row>
    <row r="30" spans="1:29" ht="16.5">
      <c r="A30" s="11" t="s">
        <v>626</v>
      </c>
      <c r="B30" s="336"/>
      <c r="C30" s="150">
        <f ca="1">C29-'1. kiadások össz'!C31</f>
        <v>0</v>
      </c>
      <c r="D30" s="150">
        <f ca="1">D29-'1. kiadások össz'!D31</f>
        <v>0</v>
      </c>
      <c r="E30" s="150">
        <f ca="1">E29-'1. kiadások össz'!E31</f>
        <v>-0.10000000000002274</v>
      </c>
      <c r="F30" s="150"/>
      <c r="G30" s="150">
        <f ca="1">G29-'1. kiadások össz'!G31</f>
        <v>0</v>
      </c>
      <c r="H30" s="150"/>
      <c r="I30" s="150"/>
      <c r="J30" s="150"/>
      <c r="K30" s="150">
        <f ca="1">K29-'1. kiadások össz'!K31</f>
        <v>0</v>
      </c>
      <c r="L30" s="150">
        <f ca="1">L29-'1. kiadások össz'!L31</f>
        <v>0</v>
      </c>
      <c r="M30" s="150">
        <f ca="1">M29-'1. kiadások össz'!M31</f>
        <v>0</v>
      </c>
      <c r="N30" s="150"/>
      <c r="O30" s="150">
        <f ca="1">O29-'1. kiadások össz'!O31</f>
        <v>0</v>
      </c>
      <c r="P30" s="150"/>
      <c r="Q30" s="150"/>
      <c r="R30" s="150">
        <f t="shared" si="1"/>
        <v>0</v>
      </c>
      <c r="S30" s="150">
        <f ca="1">S29-'1. kiadások össz'!S31</f>
        <v>0</v>
      </c>
      <c r="T30" s="150">
        <f ca="1">T29-'1. kiadások össz'!T31</f>
        <v>-13800</v>
      </c>
      <c r="U30" s="150">
        <f ca="1">U29-'1. kiadások össz'!U31</f>
        <v>-12315.591</v>
      </c>
      <c r="V30" s="150"/>
      <c r="W30" s="150">
        <f ca="1">W29-'1. kiadások össz'!W31</f>
        <v>0</v>
      </c>
      <c r="X30" s="150">
        <f ca="1">X29-'1. kiadások össz'!X31</f>
        <v>-600</v>
      </c>
      <c r="Y30" s="150">
        <f ca="1">Y29-'1. kiadások össz'!Y31</f>
        <v>-601.00000000001273</v>
      </c>
      <c r="Z30" s="150">
        <f t="shared" si="4"/>
        <v>0</v>
      </c>
      <c r="AA30" s="150">
        <f ca="1">AA29-'1. kiadások össz'!AA31</f>
        <v>0</v>
      </c>
      <c r="AB30" s="150">
        <f ca="1">AB29-'1. kiadások össz'!AB31</f>
        <v>-13200</v>
      </c>
      <c r="AC30" s="150">
        <f ca="1">AC29-'1. kiadások össz'!AC31</f>
        <v>-11714.590999999986</v>
      </c>
    </row>
    <row r="31" spans="1:29" ht="16.5">
      <c r="A31" s="18" t="s">
        <v>627</v>
      </c>
      <c r="B31" s="337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>
        <f t="shared" si="1"/>
        <v>0</v>
      </c>
      <c r="S31" s="105">
        <f t="shared" ref="S31:U34" si="24">O31+K31+G31+C31</f>
        <v>0</v>
      </c>
      <c r="T31" s="105">
        <f t="shared" si="24"/>
        <v>0</v>
      </c>
      <c r="U31" s="105">
        <f t="shared" si="24"/>
        <v>0</v>
      </c>
      <c r="V31" s="105"/>
      <c r="W31" s="105"/>
      <c r="X31" s="105"/>
      <c r="Y31" s="105"/>
      <c r="Z31" s="105">
        <f t="shared" si="4"/>
        <v>0</v>
      </c>
      <c r="AA31" s="105">
        <f t="shared" ref="AA31:AC34" si="25">S31-W31</f>
        <v>0</v>
      </c>
      <c r="AB31" s="105">
        <f t="shared" si="25"/>
        <v>0</v>
      </c>
      <c r="AC31" s="105">
        <f t="shared" si="25"/>
        <v>0</v>
      </c>
    </row>
    <row r="32" spans="1:29" ht="30.75" customHeight="1">
      <c r="A32" s="16" t="s">
        <v>628</v>
      </c>
      <c r="B32" s="94">
        <f t="shared" ref="B32:M32" si="26">SUM(B14,B29)</f>
        <v>47321</v>
      </c>
      <c r="C32" s="94">
        <f t="shared" si="26"/>
        <v>49250</v>
      </c>
      <c r="D32" s="94">
        <f t="shared" si="26"/>
        <v>53662.542000000001</v>
      </c>
      <c r="E32" s="94">
        <f t="shared" si="26"/>
        <v>53087</v>
      </c>
      <c r="F32" s="94">
        <f t="shared" si="26"/>
        <v>20056</v>
      </c>
      <c r="G32" s="94">
        <f t="shared" si="26"/>
        <v>29900</v>
      </c>
      <c r="H32" s="94">
        <f t="shared" si="26"/>
        <v>30747.414000000001</v>
      </c>
      <c r="I32" s="94">
        <f t="shared" si="26"/>
        <v>24993.813999999998</v>
      </c>
      <c r="J32" s="94">
        <f t="shared" si="26"/>
        <v>64737</v>
      </c>
      <c r="K32" s="94">
        <f t="shared" si="26"/>
        <v>56500</v>
      </c>
      <c r="L32" s="94">
        <f t="shared" si="26"/>
        <v>64395</v>
      </c>
      <c r="M32" s="94">
        <f t="shared" si="26"/>
        <v>57437</v>
      </c>
      <c r="N32" s="94">
        <f>SUM(N14,N29)</f>
        <v>575308</v>
      </c>
      <c r="O32" s="94">
        <f>SUM(O14,O29)</f>
        <v>718287</v>
      </c>
      <c r="P32" s="94">
        <f>SUM(P14,P29)</f>
        <v>849126</v>
      </c>
      <c r="Q32" s="94">
        <f>SUM(Q14,Q29)</f>
        <v>521985.12400000001</v>
      </c>
      <c r="R32" s="90">
        <f t="shared" si="1"/>
        <v>707422</v>
      </c>
      <c r="S32" s="90">
        <f t="shared" si="24"/>
        <v>853937</v>
      </c>
      <c r="T32" s="90">
        <f t="shared" si="24"/>
        <v>997930.95600000001</v>
      </c>
      <c r="U32" s="90">
        <f t="shared" si="24"/>
        <v>657502.93800000008</v>
      </c>
      <c r="V32" s="90">
        <f>V25+V12</f>
        <v>133871</v>
      </c>
      <c r="W32" s="94">
        <f>SUM(W14,W29)</f>
        <v>133871</v>
      </c>
      <c r="X32" s="94">
        <f>SUM(X14,X29)</f>
        <v>147025.95600000001</v>
      </c>
      <c r="Y32" s="94">
        <f>SUM(Y14,Y29)</f>
        <v>131684.82999999999</v>
      </c>
      <c r="Z32" s="90">
        <f t="shared" si="4"/>
        <v>573551</v>
      </c>
      <c r="AA32" s="90">
        <f t="shared" si="25"/>
        <v>720066</v>
      </c>
      <c r="AB32" s="90">
        <f t="shared" si="25"/>
        <v>850905</v>
      </c>
      <c r="AC32" s="90">
        <f t="shared" si="25"/>
        <v>525818.10800000012</v>
      </c>
    </row>
    <row r="33" spans="1:29" ht="16.5">
      <c r="A33" s="10" t="s">
        <v>880</v>
      </c>
      <c r="B33" s="331"/>
      <c r="C33" s="151">
        <v>0</v>
      </c>
      <c r="D33" s="151"/>
      <c r="E33" s="151"/>
      <c r="F33" s="151"/>
      <c r="G33" s="151">
        <v>0</v>
      </c>
      <c r="H33" s="151"/>
      <c r="I33" s="151"/>
      <c r="J33" s="151"/>
      <c r="K33" s="151">
        <v>0</v>
      </c>
      <c r="L33" s="151"/>
      <c r="M33" s="151"/>
      <c r="N33" s="151"/>
      <c r="O33" s="151">
        <v>9</v>
      </c>
      <c r="P33" s="151">
        <v>9</v>
      </c>
      <c r="Q33" s="151">
        <v>25</v>
      </c>
      <c r="R33" s="151"/>
      <c r="S33" s="90">
        <f>O33+K33+G33+C33</f>
        <v>9</v>
      </c>
      <c r="T33" s="90">
        <f t="shared" si="24"/>
        <v>9</v>
      </c>
      <c r="U33" s="90">
        <f t="shared" si="24"/>
        <v>25</v>
      </c>
      <c r="V33" s="90"/>
      <c r="W33" s="94">
        <f>SUM(W15,W30)</f>
        <v>0</v>
      </c>
      <c r="X33" s="94"/>
      <c r="Y33" s="94"/>
      <c r="Z33" s="94"/>
      <c r="AA33" s="90">
        <f t="shared" si="25"/>
        <v>9</v>
      </c>
      <c r="AB33" s="90">
        <f t="shared" si="25"/>
        <v>9</v>
      </c>
      <c r="AC33" s="90">
        <f t="shared" si="25"/>
        <v>25</v>
      </c>
    </row>
    <row r="34" spans="1:29" ht="16.5">
      <c r="A34" s="10" t="s">
        <v>881</v>
      </c>
      <c r="B34" s="331"/>
      <c r="C34" s="151">
        <v>16</v>
      </c>
      <c r="D34" s="151">
        <v>16</v>
      </c>
      <c r="E34" s="151">
        <v>18</v>
      </c>
      <c r="F34" s="151"/>
      <c r="G34" s="151">
        <v>5</v>
      </c>
      <c r="H34" s="151">
        <v>5</v>
      </c>
      <c r="I34" s="151">
        <v>5</v>
      </c>
      <c r="J34" s="151"/>
      <c r="K34" s="151">
        <v>9</v>
      </c>
      <c r="L34" s="151">
        <v>9</v>
      </c>
      <c r="M34" s="151">
        <v>9</v>
      </c>
      <c r="N34" s="151"/>
      <c r="O34" s="151">
        <v>27</v>
      </c>
      <c r="P34" s="151">
        <v>27</v>
      </c>
      <c r="Q34" s="151">
        <v>20</v>
      </c>
      <c r="R34" s="151"/>
      <c r="S34" s="90">
        <f>O34+K34+G34+C34</f>
        <v>57</v>
      </c>
      <c r="T34" s="90">
        <f t="shared" si="24"/>
        <v>57</v>
      </c>
      <c r="U34" s="90">
        <f t="shared" si="24"/>
        <v>52</v>
      </c>
      <c r="V34" s="90"/>
      <c r="W34" s="94">
        <f>SUM(W16,W31)</f>
        <v>0</v>
      </c>
      <c r="X34" s="94"/>
      <c r="Y34" s="94"/>
      <c r="Z34" s="94"/>
      <c r="AA34" s="90">
        <f t="shared" si="25"/>
        <v>57</v>
      </c>
      <c r="AB34" s="90">
        <f t="shared" si="25"/>
        <v>57</v>
      </c>
      <c r="AC34" s="90">
        <f t="shared" si="25"/>
        <v>52</v>
      </c>
    </row>
    <row r="35" spans="1:29" ht="15.75">
      <c r="A35" s="1"/>
      <c r="B35" s="340"/>
    </row>
    <row r="36" spans="1:29" ht="15.75">
      <c r="A36" s="1"/>
      <c r="B36" s="340"/>
    </row>
    <row r="37" spans="1:29" ht="15.75">
      <c r="A37" s="1"/>
      <c r="B37" s="340"/>
    </row>
    <row r="38" spans="1:29" ht="15.75">
      <c r="A38" s="1"/>
      <c r="B38" s="340"/>
    </row>
    <row r="39" spans="1:29" ht="15.75">
      <c r="A39" s="1"/>
      <c r="B39" s="340"/>
    </row>
    <row r="40" spans="1:29" ht="15.75">
      <c r="A40" s="1"/>
      <c r="B40" s="340"/>
    </row>
    <row r="41" spans="1:29" ht="15.75">
      <c r="A41" s="1"/>
      <c r="B41" s="340"/>
    </row>
    <row r="42" spans="1:29" ht="15.75">
      <c r="A42" s="1"/>
      <c r="B42" s="340"/>
    </row>
    <row r="43" spans="1:29" ht="15.75">
      <c r="A43" s="1"/>
      <c r="B43" s="340"/>
    </row>
    <row r="44" spans="1:29" ht="15.75">
      <c r="A44" s="1"/>
      <c r="B44" s="340"/>
    </row>
    <row r="45" spans="1:29" ht="15.75">
      <c r="A45" s="1"/>
      <c r="B45" s="340"/>
    </row>
    <row r="46" spans="1:29" ht="15.75">
      <c r="A46" s="1"/>
      <c r="B46" s="340"/>
    </row>
    <row r="47" spans="1:29" ht="15.75">
      <c r="A47" s="1"/>
      <c r="B47" s="340"/>
    </row>
    <row r="48" spans="1:29" ht="15.75">
      <c r="A48" s="1"/>
      <c r="B48" s="340"/>
    </row>
    <row r="49" spans="1:2" ht="15.75">
      <c r="A49" s="1"/>
      <c r="B49" s="340"/>
    </row>
    <row r="50" spans="1:2" ht="15">
      <c r="A50" s="2"/>
      <c r="B50" s="100"/>
    </row>
    <row r="51" spans="1:2" ht="15">
      <c r="A51" s="2"/>
      <c r="B51" s="100"/>
    </row>
    <row r="52" spans="1:2" ht="15">
      <c r="A52" s="2"/>
      <c r="B52" s="100"/>
    </row>
    <row r="53" spans="1:2" ht="15">
      <c r="A53" s="2"/>
      <c r="B53" s="100"/>
    </row>
    <row r="54" spans="1:2" ht="15">
      <c r="A54" s="2"/>
      <c r="B54" s="100"/>
    </row>
    <row r="55" spans="1:2" ht="15">
      <c r="A55" s="2"/>
      <c r="B55" s="100"/>
    </row>
    <row r="56" spans="1:2" ht="15">
      <c r="A56" s="2"/>
      <c r="B56" s="100"/>
    </row>
    <row r="57" spans="1:2" ht="15">
      <c r="A57" s="2"/>
      <c r="B57" s="100"/>
    </row>
    <row r="58" spans="1:2" ht="15">
      <c r="A58" s="2"/>
      <c r="B58" s="100"/>
    </row>
    <row r="59" spans="1:2" ht="15">
      <c r="A59" s="2"/>
      <c r="B59" s="100"/>
    </row>
    <row r="60" spans="1:2" ht="15">
      <c r="A60" s="2"/>
      <c r="B60" s="100"/>
    </row>
    <row r="61" spans="1:2" ht="15">
      <c r="A61" s="2"/>
      <c r="B61" s="100"/>
    </row>
    <row r="62" spans="1:2" ht="15">
      <c r="A62" s="2"/>
      <c r="B62" s="100"/>
    </row>
    <row r="63" spans="1:2" ht="15">
      <c r="A63" s="2"/>
      <c r="B63" s="100"/>
    </row>
    <row r="64" spans="1:2" ht="15">
      <c r="A64" s="2"/>
      <c r="B64" s="100"/>
    </row>
    <row r="65" spans="1:2" ht="15">
      <c r="A65" s="2"/>
      <c r="B65" s="100"/>
    </row>
    <row r="66" spans="1:2" ht="15">
      <c r="A66" s="2"/>
      <c r="B66" s="100"/>
    </row>
    <row r="67" spans="1:2" ht="15">
      <c r="A67" s="2"/>
      <c r="B67" s="100"/>
    </row>
    <row r="68" spans="1:2" ht="15">
      <c r="A68" s="2"/>
      <c r="B68" s="100"/>
    </row>
    <row r="69" spans="1:2" ht="15">
      <c r="A69" s="2"/>
      <c r="B69" s="100"/>
    </row>
    <row r="70" spans="1:2" ht="15">
      <c r="A70" s="2"/>
      <c r="B70" s="100"/>
    </row>
    <row r="71" spans="1:2" ht="15">
      <c r="A71" s="2"/>
      <c r="B71" s="100"/>
    </row>
    <row r="72" spans="1:2" ht="15">
      <c r="A72" s="2"/>
      <c r="B72" s="100"/>
    </row>
    <row r="73" spans="1:2" ht="15">
      <c r="A73" s="2"/>
      <c r="B73" s="100"/>
    </row>
    <row r="74" spans="1:2" ht="15">
      <c r="A74" s="2"/>
      <c r="B74" s="100"/>
    </row>
    <row r="75" spans="1:2" ht="15">
      <c r="A75" s="2"/>
      <c r="B75" s="100"/>
    </row>
    <row r="76" spans="1:2" ht="15">
      <c r="A76" s="2"/>
      <c r="B76" s="100"/>
    </row>
    <row r="77" spans="1:2" ht="15">
      <c r="A77" s="2"/>
      <c r="B77" s="100"/>
    </row>
    <row r="78" spans="1:2" ht="15">
      <c r="A78" s="2"/>
      <c r="B78" s="100"/>
    </row>
    <row r="79" spans="1:2" ht="15">
      <c r="A79" s="2"/>
      <c r="B79" s="100"/>
    </row>
    <row r="80" spans="1:2" ht="15">
      <c r="A80" s="2"/>
      <c r="B80" s="100"/>
    </row>
    <row r="81" spans="1:2" ht="15">
      <c r="A81" s="2"/>
      <c r="B81" s="100"/>
    </row>
    <row r="82" spans="1:2" ht="15">
      <c r="A82" s="2"/>
      <c r="B82" s="100"/>
    </row>
    <row r="83" spans="1:2" ht="15">
      <c r="A83" s="2"/>
      <c r="B83" s="100"/>
    </row>
    <row r="84" spans="1:2" ht="15">
      <c r="A84" s="2"/>
      <c r="B84" s="100"/>
    </row>
  </sheetData>
  <phoneticPr fontId="7" type="noConversion"/>
  <pageMargins left="7.0000000000000007E-2" right="7.0000000000000007E-2" top="1" bottom="1" header="0.5" footer="0.5"/>
  <pageSetup paperSize="8" scale="22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G21"/>
  <sheetViews>
    <sheetView zoomScaleNormal="75" zoomScaleSheetLayoutView="100" workbookViewId="0">
      <pane xSplit="1" ySplit="3" topLeftCell="B4" activePane="bottomRight" state="frozen"/>
      <selection activeCell="B2" sqref="B2"/>
      <selection pane="topRight" activeCell="B2" sqref="B2"/>
      <selection pane="bottomLeft" activeCell="B2" sqref="B2"/>
      <selection pane="bottomRight" activeCell="A2" sqref="A2"/>
    </sheetView>
  </sheetViews>
  <sheetFormatPr defaultRowHeight="11.25"/>
  <cols>
    <col min="1" max="1" width="41.140625" style="118" customWidth="1"/>
    <col min="2" max="3" width="13.140625" style="119" customWidth="1"/>
    <col min="4" max="7" width="13.7109375" style="110" customWidth="1"/>
    <col min="8" max="16384" width="9.140625" style="110"/>
  </cols>
  <sheetData>
    <row r="1" spans="1:7">
      <c r="A1" s="408" t="s">
        <v>261</v>
      </c>
    </row>
    <row r="2" spans="1:7">
      <c r="A2" s="408" t="s">
        <v>249</v>
      </c>
    </row>
    <row r="3" spans="1:7" s="108" customFormat="1" ht="63.75">
      <c r="A3" s="106"/>
      <c r="B3" s="107" t="s">
        <v>805</v>
      </c>
      <c r="C3" s="107" t="s">
        <v>806</v>
      </c>
      <c r="D3" s="107" t="s">
        <v>804</v>
      </c>
      <c r="E3" s="107" t="s">
        <v>153</v>
      </c>
      <c r="F3" s="107" t="s">
        <v>152</v>
      </c>
      <c r="G3" s="107" t="s">
        <v>154</v>
      </c>
    </row>
    <row r="4" spans="1:7">
      <c r="A4" s="106" t="s">
        <v>855</v>
      </c>
      <c r="B4" s="109"/>
      <c r="C4" s="109"/>
      <c r="D4" s="109"/>
      <c r="E4" s="109">
        <v>1900000</v>
      </c>
      <c r="F4" s="109">
        <v>1900000</v>
      </c>
      <c r="G4" s="109">
        <f>(100+250+70+70+100+100+430+250+200+125+125+80)*1000</f>
        <v>1900000</v>
      </c>
    </row>
    <row r="5" spans="1:7">
      <c r="A5" s="111" t="s">
        <v>856</v>
      </c>
      <c r="B5" s="79"/>
      <c r="C5" s="79"/>
      <c r="D5" s="79"/>
      <c r="E5" s="109">
        <f>250000+150000</f>
        <v>400000</v>
      </c>
      <c r="F5" s="109">
        <v>400000</v>
      </c>
      <c r="G5" s="109">
        <v>300000</v>
      </c>
    </row>
    <row r="6" spans="1:7">
      <c r="A6" s="106" t="s">
        <v>857</v>
      </c>
      <c r="B6" s="109"/>
      <c r="C6" s="109"/>
      <c r="D6" s="109"/>
      <c r="E6" s="109">
        <v>150000</v>
      </c>
      <c r="F6" s="109">
        <v>150000</v>
      </c>
      <c r="G6" s="109">
        <v>40000</v>
      </c>
    </row>
    <row r="7" spans="1:7">
      <c r="A7" s="106" t="s">
        <v>858</v>
      </c>
      <c r="B7" s="109"/>
      <c r="C7" s="109"/>
      <c r="D7" s="109"/>
      <c r="E7" s="109">
        <v>683000</v>
      </c>
      <c r="F7" s="109">
        <v>683000</v>
      </c>
      <c r="G7" s="109">
        <f>540050+108010</f>
        <v>648060</v>
      </c>
    </row>
    <row r="8" spans="1:7">
      <c r="A8" s="111" t="s">
        <v>859</v>
      </c>
      <c r="B8" s="79"/>
      <c r="C8" s="79"/>
      <c r="D8" s="79"/>
      <c r="E8" s="109">
        <v>614000</v>
      </c>
      <c r="F8" s="109">
        <v>614000</v>
      </c>
      <c r="G8" s="109">
        <v>0</v>
      </c>
    </row>
    <row r="9" spans="1:7">
      <c r="A9" s="111" t="s">
        <v>860</v>
      </c>
      <c r="B9" s="79"/>
      <c r="C9" s="79"/>
      <c r="D9" s="79"/>
      <c r="E9" s="109">
        <v>1500000</v>
      </c>
      <c r="F9" s="109">
        <v>1500000</v>
      </c>
      <c r="G9" s="109">
        <v>300000</v>
      </c>
    </row>
    <row r="10" spans="1:7">
      <c r="A10" s="106" t="s">
        <v>861</v>
      </c>
      <c r="B10" s="109"/>
      <c r="C10" s="109"/>
      <c r="D10" s="109"/>
      <c r="E10" s="109">
        <v>300000</v>
      </c>
      <c r="F10" s="109">
        <v>300000</v>
      </c>
      <c r="G10" s="109">
        <v>0</v>
      </c>
    </row>
    <row r="11" spans="1:7">
      <c r="A11" s="106" t="s">
        <v>862</v>
      </c>
      <c r="B11" s="109"/>
      <c r="C11" s="109"/>
      <c r="D11" s="109"/>
      <c r="E11" s="109">
        <v>1200000</v>
      </c>
      <c r="F11" s="109">
        <v>1200000</v>
      </c>
      <c r="G11" s="109">
        <v>1200000</v>
      </c>
    </row>
    <row r="12" spans="1:7">
      <c r="A12" s="106" t="s">
        <v>863</v>
      </c>
      <c r="B12" s="109"/>
      <c r="C12" s="109"/>
      <c r="D12" s="109"/>
      <c r="E12" s="109">
        <v>1551000</v>
      </c>
      <c r="F12" s="109">
        <v>1551000</v>
      </c>
      <c r="G12" s="109">
        <v>0</v>
      </c>
    </row>
    <row r="13" spans="1:7">
      <c r="A13" s="112" t="s">
        <v>864</v>
      </c>
      <c r="B13" s="113"/>
      <c r="C13" s="113"/>
      <c r="D13" s="113"/>
      <c r="E13" s="114">
        <v>5000000</v>
      </c>
      <c r="F13" s="114">
        <v>5000000</v>
      </c>
      <c r="G13" s="114">
        <v>0</v>
      </c>
    </row>
    <row r="14" spans="1:7">
      <c r="A14" s="111" t="s">
        <v>865</v>
      </c>
      <c r="B14" s="79"/>
      <c r="C14" s="79"/>
      <c r="D14" s="79"/>
      <c r="E14" s="109">
        <f>180000-150000</f>
        <v>30000</v>
      </c>
      <c r="F14" s="109">
        <v>30000</v>
      </c>
      <c r="G14" s="109">
        <v>0</v>
      </c>
    </row>
    <row r="15" spans="1:7">
      <c r="A15" s="106" t="s">
        <v>866</v>
      </c>
      <c r="B15" s="109"/>
      <c r="C15" s="109"/>
      <c r="D15" s="109"/>
      <c r="E15" s="109">
        <v>600000</v>
      </c>
      <c r="F15" s="109">
        <v>600000</v>
      </c>
      <c r="G15" s="109">
        <v>600000</v>
      </c>
    </row>
    <row r="16" spans="1:7">
      <c r="A16" s="106" t="s">
        <v>867</v>
      </c>
      <c r="B16" s="109"/>
      <c r="C16" s="109"/>
      <c r="D16" s="109"/>
      <c r="E16" s="109">
        <v>3000000</v>
      </c>
      <c r="F16" s="109">
        <v>3000000</v>
      </c>
      <c r="G16" s="109">
        <v>247000</v>
      </c>
    </row>
    <row r="17" spans="1:7">
      <c r="A17" s="106" t="s">
        <v>878</v>
      </c>
      <c r="B17" s="109"/>
      <c r="C17" s="109"/>
      <c r="D17" s="109"/>
      <c r="E17" s="109">
        <v>1000000</v>
      </c>
      <c r="F17" s="109">
        <v>1000000</v>
      </c>
      <c r="G17" s="109">
        <v>675000</v>
      </c>
    </row>
    <row r="18" spans="1:7" s="117" customFormat="1" ht="10.5">
      <c r="A18" s="115" t="s">
        <v>868</v>
      </c>
      <c r="B18" s="116"/>
      <c r="C18" s="116"/>
      <c r="D18" s="116"/>
      <c r="E18" s="116">
        <f>SUM(E4:E17)</f>
        <v>17928000</v>
      </c>
      <c r="F18" s="116">
        <f>SUM(F4:F17)</f>
        <v>17928000</v>
      </c>
      <c r="G18" s="116">
        <f>SUM(G4:G17)</f>
        <v>5910060</v>
      </c>
    </row>
    <row r="19" spans="1:7">
      <c r="A19" s="106" t="s">
        <v>644</v>
      </c>
      <c r="B19" s="109"/>
      <c r="C19" s="109"/>
      <c r="D19" s="109"/>
      <c r="E19" s="109"/>
      <c r="F19" s="109">
        <v>2503000</v>
      </c>
      <c r="G19" s="109">
        <v>3240000</v>
      </c>
    </row>
    <row r="20" spans="1:7" s="117" customFormat="1" ht="35.25" customHeight="1">
      <c r="A20" s="115" t="s">
        <v>869</v>
      </c>
      <c r="B20" s="116"/>
      <c r="C20" s="116"/>
      <c r="D20" s="116"/>
      <c r="E20" s="116">
        <v>0</v>
      </c>
      <c r="F20" s="116"/>
      <c r="G20" s="116"/>
    </row>
    <row r="21" spans="1:7" s="117" customFormat="1" ht="40.5" customHeight="1">
      <c r="A21" s="115" t="s">
        <v>870</v>
      </c>
      <c r="B21" s="116"/>
      <c r="C21" s="116"/>
      <c r="D21" s="116"/>
      <c r="E21" s="116">
        <f>E20+E18</f>
        <v>17928000</v>
      </c>
      <c r="F21" s="116"/>
      <c r="G21" s="116"/>
    </row>
  </sheetData>
  <phoneticPr fontId="46" type="noConversion"/>
  <printOptions horizontalCentered="1" gridLines="1"/>
  <pageMargins left="0.27559055118110237" right="0.27559055118110237" top="0.74803149606299213" bottom="0.43307086614173229" header="0.31496062992125984" footer="0.19685039370078741"/>
  <pageSetup paperSize="9" scale="94" orientation="landscape" r:id="rId1"/>
  <headerFooter alignWithMargins="0">
    <oddHeader xml:space="preserve">&amp;R
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E19"/>
  <sheetViews>
    <sheetView topLeftCell="B1" zoomScaleNormal="75" zoomScaleSheetLayoutView="100" workbookViewId="0">
      <selection activeCell="C9" sqref="C9"/>
    </sheetView>
  </sheetViews>
  <sheetFormatPr defaultColWidth="10.28515625" defaultRowHeight="12.75" customHeight="1"/>
  <cols>
    <col min="1" max="1" width="22.7109375" style="129" hidden="1" customWidth="1"/>
    <col min="2" max="2" width="32" style="121" bestFit="1" customWidth="1"/>
    <col min="3" max="3" width="12.140625" style="121" customWidth="1"/>
    <col min="4" max="4" width="13.85546875" style="121" customWidth="1"/>
    <col min="5" max="5" width="15.7109375" style="121" customWidth="1"/>
    <col min="6" max="16384" width="10.28515625" style="121"/>
  </cols>
  <sheetData>
    <row r="1" spans="1:5" ht="12.75" customHeight="1">
      <c r="B1" s="409" t="s">
        <v>248</v>
      </c>
    </row>
    <row r="2" spans="1:5" ht="12.75" customHeight="1">
      <c r="B2" s="409" t="s">
        <v>250</v>
      </c>
    </row>
    <row r="4" spans="1:5" ht="28.5" customHeight="1">
      <c r="A4" s="120" t="s">
        <v>871</v>
      </c>
      <c r="B4" s="120" t="s">
        <v>872</v>
      </c>
      <c r="C4" s="234" t="s">
        <v>155</v>
      </c>
      <c r="D4" s="234" t="s">
        <v>156</v>
      </c>
      <c r="E4" s="234" t="s">
        <v>157</v>
      </c>
    </row>
    <row r="5" spans="1:5" ht="15" customHeight="1">
      <c r="A5" s="122">
        <v>562912</v>
      </c>
      <c r="B5" s="123" t="s">
        <v>821</v>
      </c>
      <c r="C5" s="124">
        <v>1500000</v>
      </c>
      <c r="D5" s="270">
        <v>1609000</v>
      </c>
      <c r="E5" s="270">
        <v>1609000</v>
      </c>
    </row>
    <row r="6" spans="1:5" ht="15" customHeight="1">
      <c r="A6" s="122">
        <v>562913</v>
      </c>
      <c r="B6" s="123" t="s">
        <v>822</v>
      </c>
      <c r="C6" s="124">
        <v>2500000</v>
      </c>
      <c r="D6" s="270">
        <v>4058000</v>
      </c>
      <c r="E6" s="270">
        <v>4056000</v>
      </c>
    </row>
    <row r="7" spans="1:5" ht="15" customHeight="1">
      <c r="A7" s="122">
        <v>882111</v>
      </c>
      <c r="B7" s="123" t="s">
        <v>826</v>
      </c>
      <c r="C7" s="124">
        <v>3900000</v>
      </c>
      <c r="D7" s="270">
        <v>4600000</v>
      </c>
      <c r="E7" s="270">
        <v>4395000</v>
      </c>
    </row>
    <row r="8" spans="1:5" ht="15" customHeight="1">
      <c r="A8" s="122">
        <v>882115</v>
      </c>
      <c r="B8" s="123" t="s">
        <v>827</v>
      </c>
      <c r="C8" s="124">
        <v>566000</v>
      </c>
      <c r="D8" s="270">
        <v>655000</v>
      </c>
      <c r="E8" s="270">
        <v>656000</v>
      </c>
    </row>
    <row r="9" spans="1:5" ht="15" customHeight="1">
      <c r="A9" s="122">
        <v>882118</v>
      </c>
      <c r="B9" s="123" t="s">
        <v>828</v>
      </c>
      <c r="C9" s="124">
        <v>700000</v>
      </c>
      <c r="D9" s="270">
        <v>700000</v>
      </c>
      <c r="E9" s="270">
        <v>131000</v>
      </c>
    </row>
    <row r="10" spans="1:5" ht="15" customHeight="1">
      <c r="A10" s="122">
        <v>882121</v>
      </c>
      <c r="B10" s="123" t="s">
        <v>829</v>
      </c>
      <c r="C10" s="124">
        <v>150000</v>
      </c>
      <c r="D10" s="270">
        <v>230000</v>
      </c>
      <c r="E10" s="270">
        <v>236000</v>
      </c>
    </row>
    <row r="11" spans="1:5" ht="15" customHeight="1">
      <c r="A11" s="122">
        <v>882122</v>
      </c>
      <c r="B11" s="123" t="s">
        <v>830</v>
      </c>
      <c r="C11" s="124">
        <v>1000000</v>
      </c>
      <c r="D11" s="270">
        <v>1000000</v>
      </c>
      <c r="E11" s="270">
        <v>1065000</v>
      </c>
    </row>
    <row r="12" spans="1:5" ht="15" customHeight="1">
      <c r="A12" s="122">
        <v>882123</v>
      </c>
      <c r="B12" s="123" t="s">
        <v>831</v>
      </c>
      <c r="C12" s="124">
        <v>500000</v>
      </c>
      <c r="D12" s="270">
        <v>500000</v>
      </c>
      <c r="E12" s="270">
        <v>180000</v>
      </c>
    </row>
    <row r="13" spans="1:5" ht="15" customHeight="1">
      <c r="A13" s="122">
        <v>882124</v>
      </c>
      <c r="B13" s="123" t="s">
        <v>832</v>
      </c>
      <c r="C13" s="124">
        <v>700000</v>
      </c>
      <c r="D13" s="270">
        <v>700000</v>
      </c>
      <c r="E13" s="270">
        <v>0</v>
      </c>
    </row>
    <row r="14" spans="1:5" ht="15" customHeight="1">
      <c r="A14" s="122">
        <v>882125</v>
      </c>
      <c r="B14" s="123" t="s">
        <v>833</v>
      </c>
      <c r="C14" s="124">
        <v>30000</v>
      </c>
      <c r="D14" s="270">
        <v>0</v>
      </c>
      <c r="E14" s="270">
        <v>0</v>
      </c>
    </row>
    <row r="15" spans="1:5" ht="15" customHeight="1">
      <c r="A15" s="122">
        <v>882129</v>
      </c>
      <c r="B15" s="123" t="s">
        <v>834</v>
      </c>
      <c r="C15" s="124">
        <v>2800000</v>
      </c>
      <c r="D15" s="270">
        <v>5300000</v>
      </c>
      <c r="E15" s="270">
        <v>946000</v>
      </c>
    </row>
    <row r="16" spans="1:5" ht="15" customHeight="1">
      <c r="A16" s="122">
        <v>882203</v>
      </c>
      <c r="B16" s="123" t="s">
        <v>835</v>
      </c>
      <c r="C16" s="124">
        <v>150000</v>
      </c>
      <c r="D16" s="270">
        <v>70000</v>
      </c>
      <c r="E16" s="270">
        <v>0</v>
      </c>
    </row>
    <row r="17" spans="1:5" ht="15" customHeight="1">
      <c r="A17" s="122">
        <v>889201</v>
      </c>
      <c r="B17" s="123" t="s">
        <v>836</v>
      </c>
      <c r="C17" s="124">
        <f>5500000+2500000</f>
        <v>8000000</v>
      </c>
      <c r="D17" s="270">
        <v>8000000</v>
      </c>
      <c r="E17" s="270">
        <v>9086000</v>
      </c>
    </row>
    <row r="18" spans="1:5" ht="15" customHeight="1">
      <c r="A18" s="122">
        <v>889921</v>
      </c>
      <c r="B18" s="123" t="s">
        <v>837</v>
      </c>
      <c r="C18" s="124">
        <v>1000000</v>
      </c>
      <c r="D18" s="270">
        <v>1000000</v>
      </c>
      <c r="E18" s="270">
        <v>840000</v>
      </c>
    </row>
    <row r="19" spans="1:5" s="128" customFormat="1" ht="30" customHeight="1">
      <c r="A19" s="125"/>
      <c r="B19" s="126" t="s">
        <v>701</v>
      </c>
      <c r="C19" s="127">
        <f>SUM(C5:C18)</f>
        <v>23496000</v>
      </c>
      <c r="D19" s="127">
        <f>SUM(D5:D18)</f>
        <v>28422000</v>
      </c>
      <c r="E19" s="127">
        <f>SUM(E5:E18)</f>
        <v>23200000</v>
      </c>
    </row>
  </sheetData>
  <phoneticPr fontId="40" type="noConversion"/>
  <printOptions horizontalCentered="1"/>
  <pageMargins left="0.51181102362204722" right="0.19685039370078741" top="1.1811023622047245" bottom="0.98425196850393704" header="0.51181102362204722" footer="0.35433070866141736"/>
  <pageSetup paperSize="9" scale="85" orientation="portrait" r:id="rId1"/>
  <headerFooter alignWithMargins="0"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BU98"/>
  <sheetViews>
    <sheetView zoomScaleNormal="100" workbookViewId="0">
      <pane xSplit="2" ySplit="4" topLeftCell="AR29" activePane="bottomRight" state="frozen"/>
      <selection activeCell="B2" sqref="B2"/>
      <selection pane="topRight" activeCell="B2" sqref="B2"/>
      <selection pane="bottomLeft" activeCell="B2" sqref="B2"/>
      <selection pane="bottomRight" activeCell="AX28" sqref="AX28"/>
    </sheetView>
  </sheetViews>
  <sheetFormatPr defaultColWidth="10.28515625" defaultRowHeight="12"/>
  <cols>
    <col min="1" max="1" width="8.28515625" style="82" customWidth="1"/>
    <col min="2" max="2" width="36" style="83" customWidth="1"/>
    <col min="3" max="41" width="10.140625" style="89" customWidth="1"/>
    <col min="42" max="44" width="14" style="89" customWidth="1"/>
    <col min="45" max="47" width="10.140625" style="85" customWidth="1"/>
    <col min="48" max="48" width="7.28515625" style="85" customWidth="1"/>
    <col min="49" max="49" width="7" style="85" customWidth="1"/>
    <col min="50" max="50" width="7.140625" style="85" customWidth="1"/>
    <col min="51" max="53" width="9.5703125" style="85" customWidth="1"/>
    <col min="54" max="56" width="10.140625" style="85" customWidth="1"/>
    <col min="57" max="62" width="9.42578125" style="85" customWidth="1"/>
    <col min="63" max="68" width="9.5703125" style="85" customWidth="1"/>
    <col min="69" max="71" width="10.42578125" style="85" customWidth="1"/>
    <col min="72" max="72" width="11" style="83" customWidth="1"/>
    <col min="73" max="73" width="6.7109375" style="86" customWidth="1"/>
    <col min="74" max="16384" width="10.28515625" style="86"/>
  </cols>
  <sheetData>
    <row r="1" spans="1:73">
      <c r="A1" s="214" t="s">
        <v>25</v>
      </c>
    </row>
    <row r="2" spans="1:73" ht="12.75">
      <c r="A2" s="213" t="s">
        <v>219</v>
      </c>
    </row>
    <row r="3" spans="1:73" s="72" customFormat="1" ht="20.25" customHeight="1">
      <c r="A3" s="426" t="s">
        <v>808</v>
      </c>
      <c r="B3" s="426"/>
      <c r="C3" s="429" t="s">
        <v>882</v>
      </c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178"/>
      <c r="Z3" s="178"/>
      <c r="AA3" s="429" t="s">
        <v>883</v>
      </c>
      <c r="AB3" s="429"/>
      <c r="AC3" s="429"/>
      <c r="AD3" s="423"/>
      <c r="AE3" s="423"/>
      <c r="AF3" s="423"/>
      <c r="AG3" s="423"/>
      <c r="AH3" s="423"/>
      <c r="AI3" s="423"/>
      <c r="AJ3" s="423"/>
      <c r="AK3" s="225"/>
      <c r="AL3" s="225"/>
      <c r="AM3" s="422" t="s">
        <v>93</v>
      </c>
      <c r="AN3" s="422" t="s">
        <v>94</v>
      </c>
      <c r="AO3" s="422" t="s">
        <v>95</v>
      </c>
      <c r="AP3" s="430" t="s">
        <v>809</v>
      </c>
      <c r="AQ3" s="431"/>
      <c r="AR3" s="432"/>
      <c r="AS3" s="433" t="s">
        <v>810</v>
      </c>
      <c r="AT3" s="434"/>
      <c r="AU3" s="434"/>
      <c r="AV3" s="435"/>
      <c r="AW3" s="435"/>
      <c r="AX3" s="435"/>
      <c r="AY3" s="435"/>
      <c r="AZ3" s="435"/>
      <c r="BA3" s="435"/>
      <c r="BB3" s="435"/>
      <c r="BC3" s="435"/>
      <c r="BD3" s="435"/>
      <c r="BE3" s="435"/>
      <c r="BF3" s="435"/>
      <c r="BG3" s="435"/>
      <c r="BH3" s="435"/>
      <c r="BI3" s="435"/>
      <c r="BJ3" s="435"/>
      <c r="BK3" s="435"/>
      <c r="BL3" s="435"/>
      <c r="BM3" s="435"/>
      <c r="BN3" s="431"/>
      <c r="BO3" s="431"/>
      <c r="BP3" s="432"/>
      <c r="BQ3" s="422" t="s">
        <v>123</v>
      </c>
      <c r="BR3" s="422" t="s">
        <v>124</v>
      </c>
      <c r="BS3" s="422" t="s">
        <v>125</v>
      </c>
      <c r="BT3" s="422" t="s">
        <v>813</v>
      </c>
      <c r="BU3" s="424" t="s">
        <v>884</v>
      </c>
    </row>
    <row r="4" spans="1:73" s="72" customFormat="1" ht="105">
      <c r="A4" s="73" t="s">
        <v>811</v>
      </c>
      <c r="B4" s="156" t="s">
        <v>812</v>
      </c>
      <c r="C4" s="157" t="s">
        <v>60</v>
      </c>
      <c r="D4" s="157" t="s">
        <v>61</v>
      </c>
      <c r="E4" s="157" t="s">
        <v>62</v>
      </c>
      <c r="F4" s="157" t="s">
        <v>60</v>
      </c>
      <c r="G4" s="157" t="s">
        <v>63</v>
      </c>
      <c r="H4" s="157" t="s">
        <v>62</v>
      </c>
      <c r="I4" s="157" t="s">
        <v>64</v>
      </c>
      <c r="J4" s="157" t="s">
        <v>65</v>
      </c>
      <c r="K4" s="157" t="s">
        <v>66</v>
      </c>
      <c r="L4" s="157" t="s">
        <v>67</v>
      </c>
      <c r="M4" s="157" t="s">
        <v>68</v>
      </c>
      <c r="N4" s="157" t="s">
        <v>69</v>
      </c>
      <c r="O4" s="157" t="s">
        <v>70</v>
      </c>
      <c r="P4" s="157" t="s">
        <v>70</v>
      </c>
      <c r="Q4" s="157" t="s">
        <v>71</v>
      </c>
      <c r="R4" s="157" t="s">
        <v>72</v>
      </c>
      <c r="S4" s="157" t="s">
        <v>73</v>
      </c>
      <c r="T4" s="157" t="s">
        <v>74</v>
      </c>
      <c r="U4" s="157" t="s">
        <v>75</v>
      </c>
      <c r="V4" s="157" t="s">
        <v>76</v>
      </c>
      <c r="W4" s="157" t="s">
        <v>77</v>
      </c>
      <c r="X4" s="157" t="s">
        <v>78</v>
      </c>
      <c r="Y4" s="157" t="s">
        <v>79</v>
      </c>
      <c r="Z4" s="157" t="s">
        <v>80</v>
      </c>
      <c r="AA4" s="157" t="s">
        <v>81</v>
      </c>
      <c r="AB4" s="157" t="s">
        <v>82</v>
      </c>
      <c r="AC4" s="157" t="s">
        <v>84</v>
      </c>
      <c r="AD4" s="157" t="s">
        <v>83</v>
      </c>
      <c r="AE4" s="157" t="s">
        <v>85</v>
      </c>
      <c r="AF4" s="157" t="s">
        <v>86</v>
      </c>
      <c r="AG4" s="158" t="s">
        <v>87</v>
      </c>
      <c r="AH4" s="158" t="s">
        <v>88</v>
      </c>
      <c r="AI4" s="158" t="s">
        <v>89</v>
      </c>
      <c r="AJ4" s="158" t="s">
        <v>90</v>
      </c>
      <c r="AK4" s="158" t="s">
        <v>91</v>
      </c>
      <c r="AL4" s="158" t="s">
        <v>92</v>
      </c>
      <c r="AM4" s="423"/>
      <c r="AN4" s="423"/>
      <c r="AO4" s="423"/>
      <c r="AP4" s="159" t="s">
        <v>96</v>
      </c>
      <c r="AQ4" s="159" t="s">
        <v>97</v>
      </c>
      <c r="AR4" s="159" t="s">
        <v>98</v>
      </c>
      <c r="AS4" s="73" t="s">
        <v>99</v>
      </c>
      <c r="AT4" s="73" t="s">
        <v>100</v>
      </c>
      <c r="AU4" s="73" t="s">
        <v>101</v>
      </c>
      <c r="AV4" s="73" t="s">
        <v>102</v>
      </c>
      <c r="AW4" s="73" t="s">
        <v>103</v>
      </c>
      <c r="AX4" s="73" t="s">
        <v>104</v>
      </c>
      <c r="AY4" s="73" t="s">
        <v>105</v>
      </c>
      <c r="AZ4" s="73" t="s">
        <v>106</v>
      </c>
      <c r="BA4" s="73" t="s">
        <v>107</v>
      </c>
      <c r="BB4" s="73" t="s">
        <v>108</v>
      </c>
      <c r="BC4" s="73" t="s">
        <v>109</v>
      </c>
      <c r="BD4" s="73" t="s">
        <v>110</v>
      </c>
      <c r="BE4" s="73" t="s">
        <v>111</v>
      </c>
      <c r="BF4" s="73" t="s">
        <v>112</v>
      </c>
      <c r="BG4" s="73" t="s">
        <v>113</v>
      </c>
      <c r="BH4" s="73" t="s">
        <v>114</v>
      </c>
      <c r="BI4" s="73" t="s">
        <v>115</v>
      </c>
      <c r="BJ4" s="73" t="s">
        <v>116</v>
      </c>
      <c r="BK4" s="73" t="s">
        <v>117</v>
      </c>
      <c r="BL4" s="73" t="s">
        <v>118</v>
      </c>
      <c r="BM4" s="73" t="s">
        <v>119</v>
      </c>
      <c r="BN4" s="73" t="s">
        <v>120</v>
      </c>
      <c r="BO4" s="73" t="s">
        <v>121</v>
      </c>
      <c r="BP4" s="73" t="s">
        <v>122</v>
      </c>
      <c r="BQ4" s="423"/>
      <c r="BR4" s="423"/>
      <c r="BS4" s="423"/>
      <c r="BT4" s="423"/>
      <c r="BU4" s="425"/>
    </row>
    <row r="5" spans="1:73" s="80" customFormat="1" ht="24">
      <c r="A5" s="74">
        <v>851011</v>
      </c>
      <c r="B5" s="76" t="s">
        <v>814</v>
      </c>
      <c r="C5" s="77"/>
      <c r="D5" s="77"/>
      <c r="E5" s="77"/>
      <c r="F5" s="77"/>
      <c r="G5" s="77"/>
      <c r="H5" s="77"/>
      <c r="I5" s="77"/>
      <c r="J5" s="77"/>
      <c r="K5" s="77">
        <f>57+792</f>
        <v>849</v>
      </c>
      <c r="L5" s="77"/>
      <c r="M5" s="77"/>
      <c r="N5" s="77"/>
      <c r="O5" s="77"/>
      <c r="P5" s="77"/>
      <c r="Q5" s="77"/>
      <c r="R5" s="77"/>
      <c r="S5" s="77"/>
      <c r="T5" s="77"/>
      <c r="U5" s="77">
        <f ca="1">'2. bevételek össz'!C12</f>
        <v>47651</v>
      </c>
      <c r="V5" s="77">
        <f ca="1">53587542/1000-924</f>
        <v>52663.542000000001</v>
      </c>
      <c r="W5" s="77">
        <f ca="1">51637515/1000</f>
        <v>51637.514999999999</v>
      </c>
      <c r="X5" s="77">
        <f ca="1">'2. bevételek össz'!C13</f>
        <v>75</v>
      </c>
      <c r="Y5" s="77">
        <v>75</v>
      </c>
      <c r="Z5" s="77"/>
      <c r="AA5" s="77"/>
      <c r="AB5" s="77"/>
      <c r="AC5" s="77">
        <f>600</f>
        <v>600</v>
      </c>
      <c r="AD5" s="77"/>
      <c r="AE5" s="77"/>
      <c r="AF5" s="77"/>
      <c r="AG5" s="77">
        <f ca="1">'2. bevételek össz'!C25</f>
        <v>1524</v>
      </c>
      <c r="AH5" s="77">
        <v>924</v>
      </c>
      <c r="AI5" s="77"/>
      <c r="AJ5" s="77"/>
      <c r="AK5" s="77"/>
      <c r="AL5" s="77"/>
      <c r="AM5" s="77">
        <f t="shared" ref="AM5:AO6" si="0">C5+F5+I5+L5+O5+R5+U5+X5+AA5+AD5+AG5+AJ5</f>
        <v>49250</v>
      </c>
      <c r="AN5" s="77">
        <f t="shared" si="0"/>
        <v>53662.542000000001</v>
      </c>
      <c r="AO5" s="77">
        <f t="shared" si="0"/>
        <v>53086.514999999999</v>
      </c>
      <c r="AP5" s="77">
        <v>1524</v>
      </c>
      <c r="AQ5" s="77">
        <f>(445000+122000+324000+33000)/1000</f>
        <v>924</v>
      </c>
      <c r="AR5" s="77">
        <f>(350000+121732+94500+32868)/1000+1</f>
        <v>600.1</v>
      </c>
      <c r="AS5" s="78">
        <v>31560</v>
      </c>
      <c r="AT5" s="78">
        <f>33735542/1000+994000/1000</f>
        <v>34729.542000000001</v>
      </c>
      <c r="AU5" s="78">
        <f>32621194/1000+887414/1000</f>
        <v>33508.608</v>
      </c>
      <c r="AV5" s="78">
        <v>16</v>
      </c>
      <c r="AW5" s="78">
        <v>16</v>
      </c>
      <c r="AX5" s="78">
        <v>18</v>
      </c>
      <c r="AY5" s="78">
        <v>7772</v>
      </c>
      <c r="AZ5" s="78">
        <v>9015</v>
      </c>
      <c r="BA5" s="78">
        <f>9014432/1000</f>
        <v>9014.4320000000007</v>
      </c>
      <c r="BB5" s="78">
        <v>8261</v>
      </c>
      <c r="BC5" s="78">
        <f>(2573000+3262000+2465000+561000)/1000</f>
        <v>8861</v>
      </c>
      <c r="BD5" s="78">
        <f>(2121002+2790400+2453613+523279)/1000</f>
        <v>7888.2939999999999</v>
      </c>
      <c r="BE5" s="78"/>
      <c r="BF5" s="78"/>
      <c r="BG5" s="78"/>
      <c r="BH5" s="78"/>
      <c r="BI5" s="78"/>
      <c r="BJ5" s="78"/>
      <c r="BK5" s="78"/>
      <c r="BL5" s="78"/>
      <c r="BM5" s="78"/>
      <c r="BN5" s="78">
        <f ca="1">'1. kiadások össz'!C15</f>
        <v>133</v>
      </c>
      <c r="BO5" s="78">
        <v>133</v>
      </c>
      <c r="BP5" s="78">
        <v>0</v>
      </c>
      <c r="BQ5" s="78">
        <f t="shared" ref="BQ5:BS6" si="1">AS5+AY5+BB5+BE5+BH5+BK5+AP5+BN5</f>
        <v>49250</v>
      </c>
      <c r="BR5" s="78">
        <f t="shared" si="1"/>
        <v>53662.542000000001</v>
      </c>
      <c r="BS5" s="78">
        <f t="shared" si="1"/>
        <v>51011.434000000001</v>
      </c>
      <c r="BT5" s="79" t="s">
        <v>804</v>
      </c>
      <c r="BU5" s="146" t="s">
        <v>815</v>
      </c>
    </row>
    <row r="6" spans="1:73" s="80" customFormat="1" ht="33.75">
      <c r="A6" s="74">
        <v>841126</v>
      </c>
      <c r="B6" s="76" t="s">
        <v>816</v>
      </c>
      <c r="C6" s="77"/>
      <c r="D6" s="77"/>
      <c r="E6" s="77"/>
      <c r="F6" s="77"/>
      <c r="G6" s="77"/>
      <c r="H6" s="77"/>
      <c r="I6" s="77">
        <v>250</v>
      </c>
      <c r="J6" s="77">
        <v>250</v>
      </c>
      <c r="K6" s="77">
        <f>(70250+794728+314077+84733)/1000</f>
        <v>1263.788</v>
      </c>
      <c r="L6" s="77"/>
      <c r="M6" s="77"/>
      <c r="N6" s="77"/>
      <c r="O6" s="77"/>
      <c r="P6" s="77"/>
      <c r="Q6" s="77"/>
      <c r="R6" s="77"/>
      <c r="S6" s="77"/>
      <c r="T6" s="77"/>
      <c r="U6" s="77">
        <f ca="1">'2. bevételek össz'!K12</f>
        <v>55504</v>
      </c>
      <c r="V6" s="77">
        <f ca="1">64033856/1000-635</f>
        <v>63398.856</v>
      </c>
      <c r="W6" s="77">
        <f ca="1">56172771/1000-120</f>
        <v>56052.771000000001</v>
      </c>
      <c r="X6" s="77">
        <f ca="1">'2. bevételek össz'!K13</f>
        <v>111</v>
      </c>
      <c r="Y6" s="77">
        <v>111</v>
      </c>
      <c r="Z6" s="77">
        <f>201/1000</f>
        <v>0.20100000000000001</v>
      </c>
      <c r="AA6" s="77"/>
      <c r="AB6" s="77"/>
      <c r="AC6" s="77"/>
      <c r="AD6" s="77"/>
      <c r="AE6" s="77"/>
      <c r="AF6" s="77"/>
      <c r="AG6" s="77">
        <v>635</v>
      </c>
      <c r="AH6" s="77">
        <f>116+384+32+103</f>
        <v>635</v>
      </c>
      <c r="AI6" s="77">
        <f>(94331+25469)/1000</f>
        <v>119.8</v>
      </c>
      <c r="AJ6" s="77"/>
      <c r="AK6" s="77"/>
      <c r="AL6" s="77"/>
      <c r="AM6" s="77">
        <f t="shared" si="0"/>
        <v>56500</v>
      </c>
      <c r="AN6" s="77">
        <f t="shared" si="0"/>
        <v>64394.856</v>
      </c>
      <c r="AO6" s="77">
        <f t="shared" si="0"/>
        <v>57436.560000000005</v>
      </c>
      <c r="AP6" s="77">
        <v>635</v>
      </c>
      <c r="AQ6" s="77">
        <f>(116+384+32+103)</f>
        <v>635</v>
      </c>
      <c r="AR6" s="77">
        <v>120</v>
      </c>
      <c r="AS6" s="78">
        <v>29552</v>
      </c>
      <c r="AT6" s="78">
        <f>(34101856+1572000)/1000</f>
        <v>35673.856</v>
      </c>
      <c r="AU6" s="78">
        <f>(33796505+1571216)/1000</f>
        <v>35367.720999999998</v>
      </c>
      <c r="AV6" s="78">
        <v>9</v>
      </c>
      <c r="AW6" s="78">
        <v>9</v>
      </c>
      <c r="AX6" s="78">
        <v>9</v>
      </c>
      <c r="AY6" s="78">
        <v>7461</v>
      </c>
      <c r="AZ6" s="78">
        <v>9234</v>
      </c>
      <c r="BA6" s="78">
        <f>9233350/1000</f>
        <v>9233.35</v>
      </c>
      <c r="BB6" s="78">
        <v>18712</v>
      </c>
      <c r="BC6" s="78">
        <f>(2032000+9715000+6355000+610000)/1000</f>
        <v>18712</v>
      </c>
      <c r="BD6" s="78">
        <f>(1151400+7986019+1980562+362876)/1000</f>
        <v>11480.857</v>
      </c>
      <c r="BE6" s="78"/>
      <c r="BF6" s="78"/>
      <c r="BG6" s="78"/>
      <c r="BH6" s="78"/>
      <c r="BI6" s="78"/>
      <c r="BJ6" s="78"/>
      <c r="BK6" s="78"/>
      <c r="BL6" s="78"/>
      <c r="BM6" s="78"/>
      <c r="BN6" s="78">
        <f ca="1">'1. kiadások össz'!K15</f>
        <v>140</v>
      </c>
      <c r="BO6" s="78">
        <v>140</v>
      </c>
      <c r="BP6" s="78"/>
      <c r="BQ6" s="78">
        <f t="shared" si="1"/>
        <v>56500</v>
      </c>
      <c r="BR6" s="78">
        <f t="shared" si="1"/>
        <v>64394.856</v>
      </c>
      <c r="BS6" s="78">
        <f t="shared" si="1"/>
        <v>56201.928</v>
      </c>
      <c r="BT6" s="79" t="s">
        <v>806</v>
      </c>
      <c r="BU6" s="146" t="s">
        <v>815</v>
      </c>
    </row>
    <row r="7" spans="1:73" s="80" customFormat="1" ht="33.75">
      <c r="A7" s="74">
        <v>910502</v>
      </c>
      <c r="B7" s="76" t="s">
        <v>817</v>
      </c>
      <c r="C7" s="77"/>
      <c r="D7" s="77"/>
      <c r="E7" s="77"/>
      <c r="F7" s="77"/>
      <c r="G7" s="77"/>
      <c r="H7" s="77"/>
      <c r="I7" s="77">
        <v>1223</v>
      </c>
      <c r="J7" s="77">
        <f>(1223000)/1000</f>
        <v>1223</v>
      </c>
      <c r="K7" s="77">
        <f>(66474+861622+142130+234+48354)/1000</f>
        <v>1118.8140000000001</v>
      </c>
      <c r="L7" s="77"/>
      <c r="M7" s="77"/>
      <c r="N7" s="77"/>
      <c r="O7" s="77"/>
      <c r="P7" s="77"/>
      <c r="Q7" s="77"/>
      <c r="R7" s="77"/>
      <c r="S7" s="77"/>
      <c r="T7" s="77"/>
      <c r="U7" s="77">
        <f ca="1">'2. bevételek össz'!G12</f>
        <v>23731</v>
      </c>
      <c r="V7" s="77">
        <f ca="1">(29404414-4826000)/1000</f>
        <v>24578.414000000001</v>
      </c>
      <c r="W7" s="77">
        <f ca="1">(23874500-88801-763244-109685)/1000</f>
        <v>22912.77</v>
      </c>
      <c r="X7" s="77">
        <f ca="1">'2. bevételek össz'!G13</f>
        <v>120</v>
      </c>
      <c r="Y7" s="77">
        <v>120</v>
      </c>
      <c r="Z7" s="77"/>
      <c r="AA7" s="77"/>
      <c r="AB7" s="77"/>
      <c r="AC7" s="77"/>
      <c r="AD7" s="77"/>
      <c r="AE7" s="77"/>
      <c r="AF7" s="77"/>
      <c r="AG7" s="77">
        <f ca="1">'2. bevételek össz'!G25</f>
        <v>4826</v>
      </c>
      <c r="AH7" s="77">
        <f>(90+800+3000+810+126)</f>
        <v>4826</v>
      </c>
      <c r="AI7" s="77">
        <f>(88801+763244+109685)/1000</f>
        <v>961.73</v>
      </c>
      <c r="AJ7" s="77"/>
      <c r="AK7" s="77"/>
      <c r="AL7" s="77"/>
      <c r="AM7" s="77">
        <f t="shared" ref="AM7:AO11" si="2">I7+U7+X7+AG7</f>
        <v>29900</v>
      </c>
      <c r="AN7" s="77">
        <f t="shared" si="2"/>
        <v>30747.414000000001</v>
      </c>
      <c r="AO7" s="77">
        <f t="shared" si="2"/>
        <v>24993.313999999998</v>
      </c>
      <c r="AP7" s="77">
        <v>4826</v>
      </c>
      <c r="AQ7" s="77">
        <f>90+800+3000+810+126</f>
        <v>4826</v>
      </c>
      <c r="AR7" s="77">
        <f>(88801+763244+109685)/1000</f>
        <v>961.73</v>
      </c>
      <c r="AS7" s="78">
        <v>6064</v>
      </c>
      <c r="AT7" s="78">
        <f>(5881414+111000)/1000</f>
        <v>5992.4139999999998</v>
      </c>
      <c r="AU7" s="78">
        <f>(5870887+69703)/1000</f>
        <v>5940.59</v>
      </c>
      <c r="AV7" s="78">
        <v>5</v>
      </c>
      <c r="AW7" s="78">
        <v>5</v>
      </c>
      <c r="AX7" s="78">
        <v>5</v>
      </c>
      <c r="AY7" s="78">
        <v>1446</v>
      </c>
      <c r="AZ7" s="78">
        <f>1555</f>
        <v>1555</v>
      </c>
      <c r="BA7" s="78">
        <f>1554757/1000</f>
        <v>1554.7570000000001</v>
      </c>
      <c r="BB7" s="78">
        <v>17434</v>
      </c>
      <c r="BC7" s="78">
        <f>(2810000+11768000+3403000+263000)/1000</f>
        <v>18244</v>
      </c>
      <c r="BD7" s="78">
        <f>(2528750+10545451+2774816+263241)/1000</f>
        <v>16112.258</v>
      </c>
      <c r="BE7" s="78"/>
      <c r="BF7" s="78"/>
      <c r="BG7" s="78"/>
      <c r="BH7" s="78"/>
      <c r="BI7" s="78"/>
      <c r="BJ7" s="78"/>
      <c r="BK7" s="78"/>
      <c r="BL7" s="78"/>
      <c r="BM7" s="78"/>
      <c r="BN7" s="78">
        <f ca="1">'1. kiadások össz'!G15</f>
        <v>130</v>
      </c>
      <c r="BO7" s="78">
        <v>130</v>
      </c>
      <c r="BP7" s="78"/>
      <c r="BQ7" s="78">
        <f>AP7+AS7+AY7+BB7+BN7</f>
        <v>29900</v>
      </c>
      <c r="BR7" s="78">
        <f>AQ7+AT7+AZ7+BC7+BO7</f>
        <v>30747.414000000001</v>
      </c>
      <c r="BS7" s="78">
        <f>AR7+AU7+BA7+BD7+BP7</f>
        <v>24569.334999999999</v>
      </c>
      <c r="BT7" s="79" t="s">
        <v>805</v>
      </c>
      <c r="BU7" s="146" t="s">
        <v>815</v>
      </c>
    </row>
    <row r="8" spans="1:73" s="80" customFormat="1" ht="45">
      <c r="A8" s="81">
        <v>370000</v>
      </c>
      <c r="B8" s="164" t="s">
        <v>818</v>
      </c>
      <c r="C8" s="210"/>
      <c r="D8" s="210"/>
      <c r="E8" s="210"/>
      <c r="F8" s="210"/>
      <c r="G8" s="210"/>
      <c r="H8" s="210"/>
      <c r="I8" s="210">
        <v>2174</v>
      </c>
      <c r="J8" s="210">
        <v>2174</v>
      </c>
      <c r="K8" s="210">
        <f>(5939712+15000+2045600+911089+245995)/1000</f>
        <v>9157.3960000000006</v>
      </c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77">
        <f t="shared" si="2"/>
        <v>2174</v>
      </c>
      <c r="AN8" s="77">
        <f t="shared" si="2"/>
        <v>2174</v>
      </c>
      <c r="AO8" s="77">
        <f t="shared" si="2"/>
        <v>9157.3960000000006</v>
      </c>
      <c r="AP8" s="210"/>
      <c r="AQ8" s="210">
        <f>4930+1304</f>
        <v>6234</v>
      </c>
      <c r="AR8" s="210">
        <f>(4929285+1303907)/1000</f>
        <v>6233.192</v>
      </c>
      <c r="AS8" s="78"/>
      <c r="AT8" s="78"/>
      <c r="AU8" s="78"/>
      <c r="AV8" s="78"/>
      <c r="AW8" s="78"/>
      <c r="AX8" s="78"/>
      <c r="AY8" s="78"/>
      <c r="AZ8" s="78"/>
      <c r="BA8" s="78"/>
      <c r="BB8" s="78">
        <v>300</v>
      </c>
      <c r="BC8" s="78">
        <v>314</v>
      </c>
      <c r="BD8" s="78">
        <f>(262216+50386)/1000</f>
        <v>312.60199999999998</v>
      </c>
      <c r="BE8" s="78"/>
      <c r="BF8" s="78"/>
      <c r="BG8" s="78"/>
      <c r="BH8" s="78">
        <v>8643</v>
      </c>
      <c r="BI8" s="78">
        <f>2390+5</f>
        <v>2395</v>
      </c>
      <c r="BJ8" s="78">
        <f>4700/1000</f>
        <v>4.7</v>
      </c>
      <c r="BK8" s="78"/>
      <c r="BL8" s="78"/>
      <c r="BM8" s="78"/>
      <c r="BN8" s="78"/>
      <c r="BO8" s="78"/>
      <c r="BP8" s="78"/>
      <c r="BQ8" s="78">
        <f>AP8+AS8+AY8+BB8+BN8+BK8+BH8+BE8</f>
        <v>8943</v>
      </c>
      <c r="BR8" s="78">
        <f>AQ8+AT8+AZ8+BC8+BO8+BL8+BI8+BF8</f>
        <v>8943</v>
      </c>
      <c r="BS8" s="78">
        <f>AR8+AU8+BA8+BD8+BP8+BM8+BJ8+BG8</f>
        <v>6550.4939999999997</v>
      </c>
      <c r="BT8" s="79" t="s">
        <v>819</v>
      </c>
      <c r="BU8" s="146" t="s">
        <v>815</v>
      </c>
    </row>
    <row r="9" spans="1:73" s="80" customFormat="1" ht="45">
      <c r="A9" s="81">
        <v>381101</v>
      </c>
      <c r="B9" s="164" t="s">
        <v>820</v>
      </c>
      <c r="C9" s="210"/>
      <c r="D9" s="210"/>
      <c r="E9" s="210"/>
      <c r="F9" s="210"/>
      <c r="G9" s="210"/>
      <c r="H9" s="210"/>
      <c r="I9" s="210">
        <v>36907</v>
      </c>
      <c r="J9" s="210">
        <f>(381+28500+250+7776)</f>
        <v>36907</v>
      </c>
      <c r="K9" s="210">
        <f>(36316+565009+26260959+447203+7132698)/1000</f>
        <v>34442.184999999998</v>
      </c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77">
        <f t="shared" si="2"/>
        <v>36907</v>
      </c>
      <c r="AN9" s="77">
        <f t="shared" si="2"/>
        <v>36907</v>
      </c>
      <c r="AO9" s="77">
        <f t="shared" si="2"/>
        <v>34442.184999999998</v>
      </c>
      <c r="AP9" s="210">
        <v>20000</v>
      </c>
      <c r="AQ9" s="210">
        <f>11716+70+30+9+175</f>
        <v>12000</v>
      </c>
      <c r="AR9" s="210">
        <f>(721000+70000+29990+8097+174960)/1000</f>
        <v>1004.047</v>
      </c>
      <c r="AS9" s="78">
        <v>7255</v>
      </c>
      <c r="AT9" s="78">
        <f>7291</f>
        <v>7291</v>
      </c>
      <c r="AU9" s="78">
        <v>7141</v>
      </c>
      <c r="AV9" s="78">
        <v>5</v>
      </c>
      <c r="AW9" s="78">
        <v>5</v>
      </c>
      <c r="AX9" s="78">
        <v>5</v>
      </c>
      <c r="AY9" s="78">
        <v>1725</v>
      </c>
      <c r="AZ9" s="78">
        <v>1725</v>
      </c>
      <c r="BA9" s="78">
        <v>1633</v>
      </c>
      <c r="BB9" s="78">
        <v>37259</v>
      </c>
      <c r="BC9" s="78">
        <f>4650+24049+7900+810</f>
        <v>37409</v>
      </c>
      <c r="BD9" s="78">
        <f>(4252402+18255607+5909320+661057)/1000</f>
        <v>29078.385999999999</v>
      </c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>
        <f t="shared" ref="BQ9:BQ34" si="3">AP9+AS9+AY9+BB9+BN9+BK9+BH9+BE9</f>
        <v>66239</v>
      </c>
      <c r="BR9" s="78">
        <f t="shared" ref="BR9:BR34" si="4">AQ9+AT9+AZ9+BC9+BO9+BL9+BI9+BF9</f>
        <v>58425</v>
      </c>
      <c r="BS9" s="78">
        <f t="shared" ref="BS9:BS34" si="5">AR9+AU9+BA9+BD9+BP9+BM9+BJ9+BG9</f>
        <v>38856.432999999997</v>
      </c>
      <c r="BT9" s="79" t="s">
        <v>819</v>
      </c>
      <c r="BU9" s="146" t="s">
        <v>815</v>
      </c>
    </row>
    <row r="10" spans="1:73" s="80" customFormat="1" ht="45">
      <c r="A10" s="74">
        <v>562912</v>
      </c>
      <c r="B10" s="76" t="s">
        <v>821</v>
      </c>
      <c r="C10" s="77"/>
      <c r="D10" s="77"/>
      <c r="E10" s="77"/>
      <c r="F10" s="77"/>
      <c r="G10" s="77"/>
      <c r="H10" s="77"/>
      <c r="I10" s="77">
        <v>6350</v>
      </c>
      <c r="J10" s="77">
        <v>6350</v>
      </c>
      <c r="K10" s="77">
        <f>6441481/1000</f>
        <v>6441.4809999999998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>
        <f t="shared" si="2"/>
        <v>6350</v>
      </c>
      <c r="AN10" s="77">
        <f t="shared" si="2"/>
        <v>6350</v>
      </c>
      <c r="AO10" s="77">
        <f t="shared" si="2"/>
        <v>6441.4809999999998</v>
      </c>
      <c r="AP10" s="77"/>
      <c r="AQ10" s="77"/>
      <c r="AR10" s="77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>
        <v>1500</v>
      </c>
      <c r="BF10" s="78">
        <v>1609</v>
      </c>
      <c r="BG10" s="78">
        <v>1609</v>
      </c>
      <c r="BH10" s="78"/>
      <c r="BI10" s="78"/>
      <c r="BJ10" s="78"/>
      <c r="BK10" s="78"/>
      <c r="BL10" s="78"/>
      <c r="BM10" s="78"/>
      <c r="BN10" s="78"/>
      <c r="BO10" s="78"/>
      <c r="BP10" s="78"/>
      <c r="BQ10" s="78">
        <f t="shared" si="3"/>
        <v>1500</v>
      </c>
      <c r="BR10" s="78">
        <f t="shared" si="4"/>
        <v>1609</v>
      </c>
      <c r="BS10" s="78">
        <f t="shared" si="5"/>
        <v>1609</v>
      </c>
      <c r="BT10" s="79" t="s">
        <v>819</v>
      </c>
      <c r="BU10" s="146" t="s">
        <v>815</v>
      </c>
    </row>
    <row r="11" spans="1:73" s="80" customFormat="1" ht="45">
      <c r="A11" s="74">
        <v>562913</v>
      </c>
      <c r="B11" s="76" t="s">
        <v>822</v>
      </c>
      <c r="C11" s="77"/>
      <c r="D11" s="77"/>
      <c r="E11" s="77"/>
      <c r="F11" s="77"/>
      <c r="G11" s="77"/>
      <c r="H11" s="77"/>
      <c r="I11" s="77">
        <v>12700</v>
      </c>
      <c r="J11" s="77">
        <v>12700</v>
      </c>
      <c r="K11" s="77">
        <v>14815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>
        <f t="shared" si="2"/>
        <v>12700</v>
      </c>
      <c r="AN11" s="77">
        <f t="shared" si="2"/>
        <v>12700</v>
      </c>
      <c r="AO11" s="77">
        <f t="shared" si="2"/>
        <v>14815</v>
      </c>
      <c r="AP11" s="77"/>
      <c r="AQ11" s="77"/>
      <c r="AR11" s="77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>
        <v>2500</v>
      </c>
      <c r="BF11" s="78">
        <v>4058</v>
      </c>
      <c r="BG11" s="78">
        <v>4056</v>
      </c>
      <c r="BH11" s="78"/>
      <c r="BI11" s="78"/>
      <c r="BJ11" s="78"/>
      <c r="BK11" s="78"/>
      <c r="BL11" s="78"/>
      <c r="BM11" s="78"/>
      <c r="BN11" s="78"/>
      <c r="BO11" s="78"/>
      <c r="BP11" s="78"/>
      <c r="BQ11" s="78">
        <f t="shared" si="3"/>
        <v>2500</v>
      </c>
      <c r="BR11" s="78">
        <f t="shared" si="4"/>
        <v>4058</v>
      </c>
      <c r="BS11" s="78">
        <f t="shared" si="5"/>
        <v>4056</v>
      </c>
      <c r="BT11" s="79" t="s">
        <v>819</v>
      </c>
      <c r="BU11" s="146" t="s">
        <v>815</v>
      </c>
    </row>
    <row r="12" spans="1:73" s="80" customFormat="1" ht="45">
      <c r="A12" s="74">
        <v>841401</v>
      </c>
      <c r="B12" s="76" t="s">
        <v>823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>
        <f t="shared" ref="AM12:AM27" si="6">C12+F12+I12+L12+O12+R12+U12+X12+AA12+AD12+AG12+AJ12</f>
        <v>0</v>
      </c>
      <c r="AN12" s="77">
        <f t="shared" ref="AN12:AN27" si="7">D12+G12+J12+M12+P12+S12+V12+Y12+AB12+AE12+AH12+AK12</f>
        <v>0</v>
      </c>
      <c r="AO12" s="77">
        <f t="shared" ref="AO12:AO27" si="8">E12+H12+K12+N12+Q12+T12+W12+Z12+AC12+AF12+AI12+AL12</f>
        <v>0</v>
      </c>
      <c r="AP12" s="77"/>
      <c r="AQ12" s="77"/>
      <c r="AR12" s="77"/>
      <c r="AS12" s="78"/>
      <c r="AT12" s="78"/>
      <c r="AU12" s="78"/>
      <c r="AV12" s="78"/>
      <c r="AW12" s="78"/>
      <c r="AX12" s="78"/>
      <c r="AY12" s="78"/>
      <c r="AZ12" s="78"/>
      <c r="BA12" s="78"/>
      <c r="BB12" s="78">
        <v>9460</v>
      </c>
      <c r="BC12" s="78">
        <v>9460</v>
      </c>
      <c r="BD12" s="78">
        <v>9480</v>
      </c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>
        <f t="shared" si="3"/>
        <v>9460</v>
      </c>
      <c r="BR12" s="78">
        <f t="shared" si="4"/>
        <v>9460</v>
      </c>
      <c r="BS12" s="78">
        <f t="shared" si="5"/>
        <v>9480</v>
      </c>
      <c r="BT12" s="79" t="s">
        <v>819</v>
      </c>
      <c r="BU12" s="146" t="s">
        <v>815</v>
      </c>
    </row>
    <row r="13" spans="1:73" s="80" customFormat="1" ht="45">
      <c r="A13" s="74">
        <v>841402</v>
      </c>
      <c r="B13" s="76" t="s">
        <v>824</v>
      </c>
      <c r="C13" s="77"/>
      <c r="D13" s="77"/>
      <c r="E13" s="77"/>
      <c r="F13" s="77"/>
      <c r="G13" s="77"/>
      <c r="H13" s="77"/>
      <c r="I13" s="77">
        <v>1270</v>
      </c>
      <c r="J13" s="77">
        <v>1270</v>
      </c>
      <c r="K13" s="77">
        <v>845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>
        <f t="shared" si="6"/>
        <v>1270</v>
      </c>
      <c r="AN13" s="77">
        <f t="shared" si="7"/>
        <v>1270</v>
      </c>
      <c r="AO13" s="77">
        <f t="shared" si="8"/>
        <v>845</v>
      </c>
      <c r="AP13" s="77">
        <v>51576</v>
      </c>
      <c r="AQ13" s="77">
        <f>1250+220+6216+200+3840+34012+8000+81+4553</f>
        <v>58372</v>
      </c>
      <c r="AR13" s="77">
        <f>(1250000+219100+6215171+3843307+4794933+5073417+81000+4552718)/1000</f>
        <v>26029.646000000001</v>
      </c>
      <c r="AS13" s="78">
        <v>10011</v>
      </c>
      <c r="AT13" s="78">
        <f>11367+100</f>
        <v>11467</v>
      </c>
      <c r="AU13" s="78">
        <f>(11366461+100000)/1000</f>
        <v>11466.460999999999</v>
      </c>
      <c r="AV13" s="78">
        <v>6</v>
      </c>
      <c r="AW13" s="78">
        <v>6</v>
      </c>
      <c r="AX13" s="78">
        <v>6</v>
      </c>
      <c r="AY13" s="78">
        <v>2406</v>
      </c>
      <c r="AZ13" s="78">
        <f>2823</f>
        <v>2823</v>
      </c>
      <c r="BA13" s="78">
        <v>2823</v>
      </c>
      <c r="BB13" s="78">
        <v>18744</v>
      </c>
      <c r="BC13" s="78">
        <f>6815+23227+7899+1145</f>
        <v>39086</v>
      </c>
      <c r="BD13" s="78">
        <f>(6884726+21937688+7559376+421251)/1000</f>
        <v>36803.040999999997</v>
      </c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>
        <f t="shared" si="3"/>
        <v>82737</v>
      </c>
      <c r="BR13" s="78">
        <f t="shared" si="4"/>
        <v>111748</v>
      </c>
      <c r="BS13" s="78">
        <f t="shared" si="5"/>
        <v>77122.148000000001</v>
      </c>
      <c r="BT13" s="79" t="s">
        <v>819</v>
      </c>
      <c r="BU13" s="146" t="s">
        <v>815</v>
      </c>
    </row>
    <row r="14" spans="1:73" s="80" customFormat="1" ht="45">
      <c r="A14" s="74">
        <v>869041</v>
      </c>
      <c r="B14" s="76" t="s">
        <v>825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>
        <v>4922</v>
      </c>
      <c r="P14" s="77">
        <v>4922</v>
      </c>
      <c r="Q14" s="77">
        <v>5135</v>
      </c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>
        <f t="shared" si="6"/>
        <v>4922</v>
      </c>
      <c r="AN14" s="77">
        <f t="shared" si="7"/>
        <v>4922</v>
      </c>
      <c r="AO14" s="77">
        <f t="shared" si="8"/>
        <v>5135</v>
      </c>
      <c r="AP14" s="77">
        <v>6900</v>
      </c>
      <c r="AQ14" s="77">
        <f>76+12032+259+3238+65</f>
        <v>15670</v>
      </c>
      <c r="AR14" s="77">
        <f>(75400+12031556+163654+3237721+64545)/1000</f>
        <v>15572.876</v>
      </c>
      <c r="AS14" s="78">
        <v>2985</v>
      </c>
      <c r="AT14" s="78">
        <f>2750+200</f>
        <v>2950</v>
      </c>
      <c r="AU14" s="78">
        <f>(2743123+186155)/1000</f>
        <v>2929.2779999999998</v>
      </c>
      <c r="AV14" s="78">
        <v>2</v>
      </c>
      <c r="AW14" s="78">
        <v>2</v>
      </c>
      <c r="AX14" s="78">
        <v>2</v>
      </c>
      <c r="AY14" s="78">
        <v>745</v>
      </c>
      <c r="AZ14" s="78">
        <v>745</v>
      </c>
      <c r="BA14" s="78">
        <v>750</v>
      </c>
      <c r="BB14" s="78">
        <v>5940</v>
      </c>
      <c r="BC14" s="78">
        <f>698+4181+1041+55</f>
        <v>5975</v>
      </c>
      <c r="BD14" s="78">
        <f>(633048+4181088+1041479+47856)/1000</f>
        <v>5903.4709999999995</v>
      </c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>
        <f t="shared" si="3"/>
        <v>16570</v>
      </c>
      <c r="BR14" s="78">
        <f t="shared" si="4"/>
        <v>25340</v>
      </c>
      <c r="BS14" s="78">
        <f t="shared" si="5"/>
        <v>25155.625</v>
      </c>
      <c r="BT14" s="79" t="s">
        <v>819</v>
      </c>
      <c r="BU14" s="146" t="s">
        <v>815</v>
      </c>
    </row>
    <row r="15" spans="1:73" s="80" customFormat="1" ht="45">
      <c r="A15" s="74">
        <v>882111</v>
      </c>
      <c r="B15" s="76" t="s">
        <v>826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>
        <v>3120</v>
      </c>
      <c r="P15" s="77">
        <v>3120</v>
      </c>
      <c r="Q15" s="77">
        <f>20+110</f>
        <v>130</v>
      </c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>
        <f t="shared" si="6"/>
        <v>3120</v>
      </c>
      <c r="AN15" s="77">
        <f t="shared" si="7"/>
        <v>3120</v>
      </c>
      <c r="AO15" s="77">
        <f t="shared" si="8"/>
        <v>130</v>
      </c>
      <c r="AP15" s="77"/>
      <c r="AQ15" s="77"/>
      <c r="AR15" s="77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>
        <v>4600</v>
      </c>
      <c r="BF15" s="78">
        <v>4600</v>
      </c>
      <c r="BG15" s="78">
        <v>4395</v>
      </c>
      <c r="BH15" s="78"/>
      <c r="BI15" s="78"/>
      <c r="BJ15" s="78"/>
      <c r="BK15" s="78"/>
      <c r="BL15" s="78"/>
      <c r="BM15" s="78"/>
      <c r="BN15" s="78"/>
      <c r="BO15" s="78"/>
      <c r="BP15" s="78"/>
      <c r="BQ15" s="78">
        <f t="shared" si="3"/>
        <v>4600</v>
      </c>
      <c r="BR15" s="78">
        <f t="shared" si="4"/>
        <v>4600</v>
      </c>
      <c r="BS15" s="78">
        <f t="shared" si="5"/>
        <v>4395</v>
      </c>
      <c r="BT15" s="79" t="s">
        <v>819</v>
      </c>
      <c r="BU15" s="146" t="s">
        <v>815</v>
      </c>
    </row>
    <row r="16" spans="1:73" s="80" customFormat="1" ht="45">
      <c r="A16" s="74">
        <v>882115</v>
      </c>
      <c r="B16" s="76" t="s">
        <v>838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>
        <f>C16+F16+I16+L16+O16+R16+U16+X16+AA16+AD16+AG16+AJ16</f>
        <v>0</v>
      </c>
      <c r="AN16" s="77">
        <f>D16+G16+J16+M16+P16+S16+V16+Y16+AB16+AE16+AH16+AK16</f>
        <v>0</v>
      </c>
      <c r="AO16" s="77">
        <f>E16+H16+K16+N16+Q16+T16+W16+Z16+AC16+AF16+AI16+AL16</f>
        <v>0</v>
      </c>
      <c r="AP16" s="77"/>
      <c r="AQ16" s="77"/>
      <c r="AR16" s="77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>
        <v>0</v>
      </c>
      <c r="BF16" s="78">
        <v>655</v>
      </c>
      <c r="BG16" s="78">
        <v>656</v>
      </c>
      <c r="BH16" s="78"/>
      <c r="BI16" s="78"/>
      <c r="BJ16" s="78"/>
      <c r="BK16" s="78"/>
      <c r="BL16" s="78"/>
      <c r="BM16" s="78"/>
      <c r="BN16" s="78"/>
      <c r="BO16" s="78"/>
      <c r="BP16" s="78"/>
      <c r="BQ16" s="78">
        <f>AP16+AS16+AY16+BB16+BN16+BK16+BH16+BE16</f>
        <v>0</v>
      </c>
      <c r="BR16" s="78">
        <f>AQ16+AT16+AZ16+BC16+BO16+BL16+BI16+BF16</f>
        <v>655</v>
      </c>
      <c r="BS16" s="78">
        <f>AR16+AU16+BA16+BD16+BP16+BM16+BJ16+BG16</f>
        <v>656</v>
      </c>
      <c r="BT16" s="79" t="s">
        <v>819</v>
      </c>
      <c r="BU16" s="146" t="s">
        <v>815</v>
      </c>
    </row>
    <row r="17" spans="1:73" s="80" customFormat="1" ht="45">
      <c r="A17" s="74">
        <v>882118</v>
      </c>
      <c r="B17" s="76" t="s">
        <v>828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>
        <f t="shared" si="6"/>
        <v>0</v>
      </c>
      <c r="AN17" s="77">
        <f t="shared" si="7"/>
        <v>0</v>
      </c>
      <c r="AO17" s="77">
        <f t="shared" si="8"/>
        <v>0</v>
      </c>
      <c r="AP17" s="77"/>
      <c r="AQ17" s="77"/>
      <c r="AR17" s="77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>
        <v>700</v>
      </c>
      <c r="BF17" s="78">
        <v>700</v>
      </c>
      <c r="BG17" s="78">
        <v>131</v>
      </c>
      <c r="BH17" s="78"/>
      <c r="BI17" s="78"/>
      <c r="BJ17" s="78"/>
      <c r="BK17" s="78"/>
      <c r="BL17" s="78"/>
      <c r="BM17" s="78"/>
      <c r="BN17" s="78"/>
      <c r="BO17" s="78"/>
      <c r="BP17" s="78"/>
      <c r="BQ17" s="78">
        <f t="shared" si="3"/>
        <v>700</v>
      </c>
      <c r="BR17" s="78">
        <f t="shared" si="4"/>
        <v>700</v>
      </c>
      <c r="BS17" s="78">
        <f t="shared" si="5"/>
        <v>131</v>
      </c>
      <c r="BT17" s="79" t="s">
        <v>819</v>
      </c>
      <c r="BU17" s="146" t="s">
        <v>815</v>
      </c>
    </row>
    <row r="18" spans="1:73" s="80" customFormat="1" ht="45">
      <c r="A18" s="74">
        <v>882121</v>
      </c>
      <c r="B18" s="76" t="s">
        <v>829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>
        <v>135</v>
      </c>
      <c r="P18" s="77">
        <v>135</v>
      </c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>
        <f t="shared" si="6"/>
        <v>135</v>
      </c>
      <c r="AN18" s="77">
        <f t="shared" si="7"/>
        <v>135</v>
      </c>
      <c r="AO18" s="77">
        <f t="shared" si="8"/>
        <v>0</v>
      </c>
      <c r="AP18" s="77"/>
      <c r="AQ18" s="77"/>
      <c r="AR18" s="77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>
        <v>150</v>
      </c>
      <c r="BF18" s="78">
        <v>230</v>
      </c>
      <c r="BG18" s="78">
        <f>229+7</f>
        <v>236</v>
      </c>
      <c r="BH18" s="78"/>
      <c r="BI18" s="78"/>
      <c r="BJ18" s="78"/>
      <c r="BK18" s="78"/>
      <c r="BL18" s="78"/>
      <c r="BM18" s="78"/>
      <c r="BN18" s="78"/>
      <c r="BO18" s="78"/>
      <c r="BP18" s="78"/>
      <c r="BQ18" s="78">
        <f t="shared" si="3"/>
        <v>150</v>
      </c>
      <c r="BR18" s="78">
        <f t="shared" si="4"/>
        <v>230</v>
      </c>
      <c r="BS18" s="78">
        <f t="shared" si="5"/>
        <v>236</v>
      </c>
      <c r="BT18" s="79" t="s">
        <v>819</v>
      </c>
      <c r="BU18" s="146" t="s">
        <v>815</v>
      </c>
    </row>
    <row r="19" spans="1:73" s="80" customFormat="1" ht="45">
      <c r="A19" s="74">
        <v>882122</v>
      </c>
      <c r="B19" s="76" t="s">
        <v>830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>
        <f t="shared" si="6"/>
        <v>0</v>
      </c>
      <c r="AN19" s="77">
        <f t="shared" si="7"/>
        <v>0</v>
      </c>
      <c r="AO19" s="77">
        <f t="shared" si="8"/>
        <v>0</v>
      </c>
      <c r="AP19" s="77"/>
      <c r="AQ19" s="77"/>
      <c r="AR19" s="77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>
        <v>1000</v>
      </c>
      <c r="BF19" s="78">
        <v>1000</v>
      </c>
      <c r="BG19" s="78">
        <v>1065</v>
      </c>
      <c r="BH19" s="78"/>
      <c r="BI19" s="78"/>
      <c r="BJ19" s="78"/>
      <c r="BK19" s="78"/>
      <c r="BL19" s="78"/>
      <c r="BM19" s="78"/>
      <c r="BN19" s="78"/>
      <c r="BO19" s="78"/>
      <c r="BP19" s="78"/>
      <c r="BQ19" s="78">
        <f t="shared" si="3"/>
        <v>1000</v>
      </c>
      <c r="BR19" s="78">
        <f t="shared" si="4"/>
        <v>1000</v>
      </c>
      <c r="BS19" s="78">
        <f t="shared" si="5"/>
        <v>1065</v>
      </c>
      <c r="BT19" s="79" t="s">
        <v>819</v>
      </c>
      <c r="BU19" s="146" t="s">
        <v>815</v>
      </c>
    </row>
    <row r="20" spans="1:73" s="80" customFormat="1" ht="45">
      <c r="A20" s="74">
        <v>882123</v>
      </c>
      <c r="B20" s="76" t="s">
        <v>831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>
        <f t="shared" si="6"/>
        <v>0</v>
      </c>
      <c r="AN20" s="77">
        <f t="shared" si="7"/>
        <v>0</v>
      </c>
      <c r="AO20" s="77">
        <f t="shared" si="8"/>
        <v>0</v>
      </c>
      <c r="AP20" s="77"/>
      <c r="AQ20" s="77"/>
      <c r="AR20" s="77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>
        <v>500</v>
      </c>
      <c r="BF20" s="78">
        <v>500</v>
      </c>
      <c r="BG20" s="78">
        <v>180</v>
      </c>
      <c r="BH20" s="78"/>
      <c r="BI20" s="78"/>
      <c r="BJ20" s="78"/>
      <c r="BK20" s="78"/>
      <c r="BL20" s="78"/>
      <c r="BM20" s="78"/>
      <c r="BN20" s="78"/>
      <c r="BO20" s="78"/>
      <c r="BP20" s="78"/>
      <c r="BQ20" s="78">
        <f>AP20+AS20+AY20+BB20+BN20+BK20+BH20+BE20</f>
        <v>500</v>
      </c>
      <c r="BR20" s="78">
        <f t="shared" si="4"/>
        <v>500</v>
      </c>
      <c r="BS20" s="78">
        <f t="shared" si="5"/>
        <v>180</v>
      </c>
      <c r="BT20" s="79" t="s">
        <v>819</v>
      </c>
      <c r="BU20" s="146" t="s">
        <v>815</v>
      </c>
    </row>
    <row r="21" spans="1:73" s="80" customFormat="1" ht="45">
      <c r="A21" s="74">
        <v>882124</v>
      </c>
      <c r="B21" s="76" t="s">
        <v>832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>
        <f t="shared" si="6"/>
        <v>0</v>
      </c>
      <c r="AN21" s="77">
        <f t="shared" si="7"/>
        <v>0</v>
      </c>
      <c r="AO21" s="77">
        <f t="shared" si="8"/>
        <v>0</v>
      </c>
      <c r="AP21" s="77"/>
      <c r="AQ21" s="77"/>
      <c r="AR21" s="77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>
        <v>700</v>
      </c>
      <c r="BF21" s="78">
        <v>700</v>
      </c>
      <c r="BG21" s="78">
        <v>0</v>
      </c>
      <c r="BH21" s="78"/>
      <c r="BI21" s="78"/>
      <c r="BJ21" s="78"/>
      <c r="BK21" s="78"/>
      <c r="BL21" s="78"/>
      <c r="BM21" s="78"/>
      <c r="BN21" s="78"/>
      <c r="BO21" s="78"/>
      <c r="BP21" s="78"/>
      <c r="BQ21" s="78">
        <f t="shared" si="3"/>
        <v>700</v>
      </c>
      <c r="BR21" s="78">
        <f t="shared" si="4"/>
        <v>700</v>
      </c>
      <c r="BS21" s="78">
        <f t="shared" si="5"/>
        <v>0</v>
      </c>
      <c r="BT21" s="79" t="s">
        <v>819</v>
      </c>
      <c r="BU21" s="146" t="s">
        <v>815</v>
      </c>
    </row>
    <row r="22" spans="1:73" s="80" customFormat="1" ht="45">
      <c r="A22" s="74">
        <v>882129</v>
      </c>
      <c r="B22" s="76" t="s">
        <v>834</v>
      </c>
      <c r="C22" s="77"/>
      <c r="D22" s="77"/>
      <c r="E22" s="77"/>
      <c r="F22" s="77"/>
      <c r="G22" s="77"/>
      <c r="H22" s="77"/>
      <c r="I22" s="77"/>
      <c r="J22" s="77"/>
      <c r="K22" s="77">
        <v>20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>
        <f t="shared" si="6"/>
        <v>0</v>
      </c>
      <c r="AN22" s="77">
        <f t="shared" si="7"/>
        <v>0</v>
      </c>
      <c r="AO22" s="77">
        <f t="shared" si="8"/>
        <v>20</v>
      </c>
      <c r="AP22" s="77"/>
      <c r="AQ22" s="77"/>
      <c r="AR22" s="77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>
        <v>5300</v>
      </c>
      <c r="BF22" s="78">
        <v>5300</v>
      </c>
      <c r="BG22" s="78">
        <f>936+10</f>
        <v>946</v>
      </c>
      <c r="BH22" s="78"/>
      <c r="BI22" s="78"/>
      <c r="BJ22" s="78"/>
      <c r="BK22" s="78"/>
      <c r="BL22" s="78"/>
      <c r="BM22" s="78"/>
      <c r="BN22" s="78"/>
      <c r="BO22" s="78"/>
      <c r="BP22" s="78"/>
      <c r="BQ22" s="78">
        <f t="shared" si="3"/>
        <v>5300</v>
      </c>
      <c r="BR22" s="78">
        <f t="shared" si="4"/>
        <v>5300</v>
      </c>
      <c r="BS22" s="78">
        <f t="shared" si="5"/>
        <v>946</v>
      </c>
      <c r="BT22" s="79" t="s">
        <v>819</v>
      </c>
      <c r="BU22" s="146" t="s">
        <v>815</v>
      </c>
    </row>
    <row r="23" spans="1:73" s="80" customFormat="1" ht="45">
      <c r="A23" s="74">
        <v>882203</v>
      </c>
      <c r="B23" s="76" t="s">
        <v>835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>
        <f t="shared" si="6"/>
        <v>0</v>
      </c>
      <c r="AN23" s="77">
        <f t="shared" si="7"/>
        <v>0</v>
      </c>
      <c r="AO23" s="77">
        <f t="shared" si="8"/>
        <v>0</v>
      </c>
      <c r="AP23" s="77"/>
      <c r="AQ23" s="77"/>
      <c r="AR23" s="77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>
        <v>150</v>
      </c>
      <c r="BF23" s="78">
        <v>70</v>
      </c>
      <c r="BG23" s="78">
        <v>0</v>
      </c>
      <c r="BH23" s="78"/>
      <c r="BI23" s="78"/>
      <c r="BJ23" s="78"/>
      <c r="BK23" s="78"/>
      <c r="BL23" s="78"/>
      <c r="BM23" s="78"/>
      <c r="BN23" s="78"/>
      <c r="BO23" s="78"/>
      <c r="BP23" s="78"/>
      <c r="BQ23" s="78">
        <f t="shared" si="3"/>
        <v>150</v>
      </c>
      <c r="BR23" s="78">
        <f t="shared" si="4"/>
        <v>70</v>
      </c>
      <c r="BS23" s="78">
        <f t="shared" si="5"/>
        <v>0</v>
      </c>
      <c r="BT23" s="79" t="s">
        <v>819</v>
      </c>
      <c r="BU23" s="146" t="s">
        <v>815</v>
      </c>
    </row>
    <row r="24" spans="1:73" s="80" customFormat="1" ht="45">
      <c r="A24" s="74">
        <v>889201</v>
      </c>
      <c r="B24" s="76" t="s">
        <v>836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>
        <f t="shared" si="6"/>
        <v>0</v>
      </c>
      <c r="AN24" s="77">
        <f t="shared" si="7"/>
        <v>0</v>
      </c>
      <c r="AO24" s="77">
        <f t="shared" si="8"/>
        <v>0</v>
      </c>
      <c r="AP24" s="77"/>
      <c r="AQ24" s="77"/>
      <c r="AR24" s="77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>
        <f>(36811+68310)/1000</f>
        <v>105.121</v>
      </c>
      <c r="BE24" s="78">
        <v>8000</v>
      </c>
      <c r="BF24" s="78">
        <v>8000</v>
      </c>
      <c r="BG24" s="78">
        <f>(367000+126500+8592860)/1000</f>
        <v>9086.36</v>
      </c>
      <c r="BH24" s="78"/>
      <c r="BI24" s="78"/>
      <c r="BJ24" s="78"/>
      <c r="BK24" s="78"/>
      <c r="BL24" s="78"/>
      <c r="BM24" s="78"/>
      <c r="BN24" s="78"/>
      <c r="BO24" s="78"/>
      <c r="BP24" s="78"/>
      <c r="BQ24" s="78">
        <f t="shared" si="3"/>
        <v>8000</v>
      </c>
      <c r="BR24" s="78">
        <f t="shared" si="4"/>
        <v>8000</v>
      </c>
      <c r="BS24" s="78">
        <f t="shared" si="5"/>
        <v>9191.4809999999998</v>
      </c>
      <c r="BT24" s="79" t="s">
        <v>819</v>
      </c>
      <c r="BU24" s="146" t="s">
        <v>815</v>
      </c>
    </row>
    <row r="25" spans="1:73" s="80" customFormat="1" ht="45">
      <c r="A25" s="74">
        <v>889921</v>
      </c>
      <c r="B25" s="76" t="s">
        <v>837</v>
      </c>
      <c r="C25" s="77"/>
      <c r="D25" s="77"/>
      <c r="E25" s="77"/>
      <c r="F25" s="77"/>
      <c r="G25" s="77"/>
      <c r="H25" s="77"/>
      <c r="I25" s="77">
        <v>3810</v>
      </c>
      <c r="J25" s="77">
        <v>3810</v>
      </c>
      <c r="K25" s="77">
        <v>3801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>
        <f t="shared" si="6"/>
        <v>3810</v>
      </c>
      <c r="AN25" s="77">
        <f t="shared" si="7"/>
        <v>3810</v>
      </c>
      <c r="AO25" s="77">
        <f t="shared" si="8"/>
        <v>3801</v>
      </c>
      <c r="AP25" s="77"/>
      <c r="AQ25" s="77"/>
      <c r="AR25" s="77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>
        <v>1000</v>
      </c>
      <c r="BF25" s="78">
        <v>1000</v>
      </c>
      <c r="BG25" s="78">
        <v>840</v>
      </c>
      <c r="BH25" s="78"/>
      <c r="BI25" s="78"/>
      <c r="BJ25" s="78"/>
      <c r="BK25" s="78"/>
      <c r="BL25" s="78"/>
      <c r="BM25" s="78"/>
      <c r="BN25" s="78"/>
      <c r="BO25" s="78"/>
      <c r="BP25" s="78"/>
      <c r="BQ25" s="78">
        <f t="shared" si="3"/>
        <v>1000</v>
      </c>
      <c r="BR25" s="78">
        <f t="shared" si="4"/>
        <v>1000</v>
      </c>
      <c r="BS25" s="78">
        <f t="shared" si="5"/>
        <v>840</v>
      </c>
      <c r="BT25" s="79" t="s">
        <v>819</v>
      </c>
      <c r="BU25" s="146" t="s">
        <v>815</v>
      </c>
    </row>
    <row r="26" spans="1:73" s="80" customFormat="1" ht="45">
      <c r="A26" s="74">
        <v>890441</v>
      </c>
      <c r="B26" s="76" t="s">
        <v>841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>
        <v>815</v>
      </c>
      <c r="P26" s="77">
        <v>815</v>
      </c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>
        <f t="shared" si="6"/>
        <v>815</v>
      </c>
      <c r="AN26" s="77">
        <f t="shared" si="7"/>
        <v>815</v>
      </c>
      <c r="AO26" s="77">
        <f t="shared" si="8"/>
        <v>0</v>
      </c>
      <c r="AP26" s="77"/>
      <c r="AQ26" s="77"/>
      <c r="AR26" s="77"/>
      <c r="AS26" s="78">
        <v>968</v>
      </c>
      <c r="AT26" s="78">
        <v>1936</v>
      </c>
      <c r="AU26" s="78">
        <v>1936</v>
      </c>
      <c r="AV26" s="78"/>
      <c r="AW26" s="78"/>
      <c r="AX26" s="78"/>
      <c r="AY26" s="78">
        <v>50</v>
      </c>
      <c r="AZ26" s="78">
        <v>267</v>
      </c>
      <c r="BA26" s="78">
        <v>266</v>
      </c>
      <c r="BB26" s="78">
        <v>64</v>
      </c>
      <c r="BC26" s="78">
        <v>80</v>
      </c>
      <c r="BD26" s="78">
        <v>16</v>
      </c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>
        <f t="shared" si="3"/>
        <v>1082</v>
      </c>
      <c r="BR26" s="78">
        <f t="shared" si="4"/>
        <v>2283</v>
      </c>
      <c r="BS26" s="78">
        <f t="shared" si="5"/>
        <v>2218</v>
      </c>
      <c r="BT26" s="79" t="s">
        <v>819</v>
      </c>
      <c r="BU26" s="146" t="s">
        <v>815</v>
      </c>
    </row>
    <row r="27" spans="1:73" s="80" customFormat="1" ht="45">
      <c r="A27" s="74">
        <v>890442</v>
      </c>
      <c r="B27" s="76" t="s">
        <v>842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>
        <v>5080</v>
      </c>
      <c r="P27" s="77">
        <v>5080</v>
      </c>
      <c r="Q27" s="77">
        <v>0</v>
      </c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>
        <f t="shared" si="6"/>
        <v>5080</v>
      </c>
      <c r="AN27" s="77">
        <f t="shared" si="7"/>
        <v>5080</v>
      </c>
      <c r="AO27" s="77">
        <f t="shared" si="8"/>
        <v>0</v>
      </c>
      <c r="AP27" s="77"/>
      <c r="AQ27" s="77"/>
      <c r="AR27" s="77"/>
      <c r="AS27" s="78">
        <v>5000</v>
      </c>
      <c r="AT27" s="78">
        <v>5000</v>
      </c>
      <c r="AU27" s="78">
        <v>4869</v>
      </c>
      <c r="AV27" s="78">
        <v>9</v>
      </c>
      <c r="AW27" s="78">
        <v>9</v>
      </c>
      <c r="AX27" s="78">
        <v>25</v>
      </c>
      <c r="AY27" s="78">
        <v>1350</v>
      </c>
      <c r="AZ27" s="78">
        <v>1290</v>
      </c>
      <c r="BA27" s="78">
        <v>763</v>
      </c>
      <c r="BB27" s="78">
        <v>0</v>
      </c>
      <c r="BC27" s="78">
        <v>60</v>
      </c>
      <c r="BD27" s="78">
        <v>61</v>
      </c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>
        <f t="shared" si="3"/>
        <v>6350</v>
      </c>
      <c r="BR27" s="78">
        <f t="shared" si="4"/>
        <v>6350</v>
      </c>
      <c r="BS27" s="78">
        <f t="shared" si="5"/>
        <v>5693</v>
      </c>
      <c r="BT27" s="79" t="s">
        <v>819</v>
      </c>
      <c r="BU27" s="146" t="s">
        <v>815</v>
      </c>
    </row>
    <row r="28" spans="1:73" s="80" customFormat="1" ht="45">
      <c r="A28" s="74">
        <v>500001</v>
      </c>
      <c r="B28" s="76" t="s">
        <v>843</v>
      </c>
      <c r="C28" s="77"/>
      <c r="D28" s="77"/>
      <c r="E28" s="77"/>
      <c r="F28" s="77"/>
      <c r="G28" s="77"/>
      <c r="H28" s="77"/>
      <c r="I28" s="77">
        <v>3302</v>
      </c>
      <c r="J28" s="77">
        <f>2600+702</f>
        <v>3302</v>
      </c>
      <c r="K28" s="77">
        <f>(2886790+72707)/1000</f>
        <v>2959.4969999999998</v>
      </c>
      <c r="L28" s="77"/>
      <c r="M28" s="77"/>
      <c r="N28" s="77"/>
      <c r="O28" s="77">
        <v>5000</v>
      </c>
      <c r="P28" s="77">
        <v>5000</v>
      </c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>
        <f t="shared" ref="AM28:AO34" si="9">C28+F28+I28+L28+O28+R28+U28+X28+AA28+AD28+AG28+AJ28</f>
        <v>8302</v>
      </c>
      <c r="AN28" s="77">
        <f t="shared" si="9"/>
        <v>8302</v>
      </c>
      <c r="AO28" s="77">
        <f t="shared" si="9"/>
        <v>2959.4969999999998</v>
      </c>
      <c r="AP28" s="77"/>
      <c r="AQ28" s="77"/>
      <c r="AR28" s="77"/>
      <c r="AS28" s="78"/>
      <c r="AT28" s="78"/>
      <c r="AU28" s="78"/>
      <c r="AV28" s="78"/>
      <c r="AW28" s="78"/>
      <c r="AX28" s="78"/>
      <c r="AY28" s="78"/>
      <c r="AZ28" s="78"/>
      <c r="BA28" s="78"/>
      <c r="BB28" s="78">
        <v>635</v>
      </c>
      <c r="BC28" s="78">
        <f>500+95+40</f>
        <v>635</v>
      </c>
      <c r="BD28" s="78">
        <f>(191196+51623)/1000+40</f>
        <v>282.81899999999996</v>
      </c>
      <c r="BE28" s="78"/>
      <c r="BF28" s="78"/>
      <c r="BG28" s="78"/>
      <c r="BH28" s="78">
        <v>5000</v>
      </c>
      <c r="BI28" s="78">
        <v>5000</v>
      </c>
      <c r="BJ28" s="78">
        <f>(4077857/1000)</f>
        <v>4077.857</v>
      </c>
      <c r="BK28" s="78"/>
      <c r="BL28" s="78"/>
      <c r="BM28" s="78"/>
      <c r="BN28" s="78"/>
      <c r="BO28" s="78"/>
      <c r="BP28" s="78"/>
      <c r="BQ28" s="78">
        <f t="shared" si="3"/>
        <v>5635</v>
      </c>
      <c r="BR28" s="78">
        <f t="shared" si="4"/>
        <v>5635</v>
      </c>
      <c r="BS28" s="78">
        <f t="shared" si="5"/>
        <v>4360.6759999999995</v>
      </c>
      <c r="BT28" s="79" t="s">
        <v>819</v>
      </c>
      <c r="BU28" s="146" t="s">
        <v>815</v>
      </c>
    </row>
    <row r="29" spans="1:73" s="80" customFormat="1" ht="45">
      <c r="A29" s="74">
        <v>562917</v>
      </c>
      <c r="B29" s="76" t="s">
        <v>844</v>
      </c>
      <c r="C29" s="77"/>
      <c r="D29" s="77"/>
      <c r="E29" s="77"/>
      <c r="F29" s="77"/>
      <c r="G29" s="77"/>
      <c r="H29" s="77"/>
      <c r="I29" s="77">
        <v>5992</v>
      </c>
      <c r="J29" s="77">
        <v>5992</v>
      </c>
      <c r="K29" s="77">
        <v>3701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>
        <f t="shared" si="9"/>
        <v>5992</v>
      </c>
      <c r="AN29" s="77">
        <f t="shared" si="9"/>
        <v>5992</v>
      </c>
      <c r="AO29" s="77">
        <f t="shared" si="9"/>
        <v>3701</v>
      </c>
      <c r="AP29" s="77">
        <v>254</v>
      </c>
      <c r="AQ29" s="77">
        <v>254</v>
      </c>
      <c r="AR29" s="77">
        <v>127</v>
      </c>
      <c r="AS29" s="78">
        <v>10380</v>
      </c>
      <c r="AT29" s="78">
        <f>10749+250</f>
        <v>10999</v>
      </c>
      <c r="AU29" s="78">
        <f>(10748736+256082)/1000</f>
        <v>11004.817999999999</v>
      </c>
      <c r="AV29" s="78">
        <v>6</v>
      </c>
      <c r="AW29" s="78">
        <v>6</v>
      </c>
      <c r="AX29" s="78">
        <v>6</v>
      </c>
      <c r="AY29" s="78">
        <v>2478</v>
      </c>
      <c r="AZ29" s="78">
        <v>2511</v>
      </c>
      <c r="BA29" s="78">
        <v>2511</v>
      </c>
      <c r="BB29" s="78">
        <v>39201</v>
      </c>
      <c r="BC29" s="78">
        <f>25560+5240+8381+202</f>
        <v>39383</v>
      </c>
      <c r="BD29" s="78">
        <f>(25569618+4011925+7462424+205798)/1000</f>
        <v>37249.764999999999</v>
      </c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>
        <f t="shared" si="3"/>
        <v>52313</v>
      </c>
      <c r="BR29" s="78">
        <f t="shared" si="4"/>
        <v>53147</v>
      </c>
      <c r="BS29" s="78">
        <f t="shared" si="5"/>
        <v>50892.582999999999</v>
      </c>
      <c r="BT29" s="79" t="s">
        <v>819</v>
      </c>
      <c r="BU29" s="146" t="s">
        <v>845</v>
      </c>
    </row>
    <row r="30" spans="1:73" s="80" customFormat="1" ht="45">
      <c r="A30" s="74">
        <v>841126</v>
      </c>
      <c r="B30" s="76" t="s">
        <v>816</v>
      </c>
      <c r="C30" s="77"/>
      <c r="D30" s="77"/>
      <c r="E30" s="77"/>
      <c r="F30" s="77"/>
      <c r="G30" s="77"/>
      <c r="H30" s="77"/>
      <c r="I30" s="77">
        <f>600+1500+200+5000+250+370+16769+1500+800+600+500+300+1000</f>
        <v>29389</v>
      </c>
      <c r="J30" s="77">
        <f>600+1500+200+5000+250+370+2503+30066+15613+1500+800+600+500+300+1000</f>
        <v>60802</v>
      </c>
      <c r="K30" s="77">
        <f>(825014+1222200+46657+500000+198246+42000+5000+25500+447870+8776+2603150+147979+93876+30065729+100000+777500+746693+603375+35121+341883+203563+187463)/1000+20895/1000+100075/1000</f>
        <v>39348.564999999995</v>
      </c>
      <c r="L30" s="77">
        <v>44424</v>
      </c>
      <c r="M30" s="77">
        <v>44424</v>
      </c>
      <c r="N30" s="77">
        <v>0</v>
      </c>
      <c r="O30" s="77"/>
      <c r="P30" s="77"/>
      <c r="Q30" s="77"/>
      <c r="R30" s="77"/>
      <c r="S30" s="77"/>
      <c r="T30" s="77"/>
      <c r="U30" s="77"/>
      <c r="V30" s="77"/>
      <c r="W30" s="77"/>
      <c r="X30" s="77">
        <v>23897</v>
      </c>
      <c r="Y30" s="77">
        <v>23897</v>
      </c>
      <c r="Z30" s="77">
        <v>0</v>
      </c>
      <c r="AA30" s="77">
        <v>73391</v>
      </c>
      <c r="AB30" s="77">
        <v>73391</v>
      </c>
      <c r="AC30" s="77">
        <f>47563478/1000</f>
        <v>47563.478000000003</v>
      </c>
      <c r="AD30" s="77"/>
      <c r="AE30" s="77"/>
      <c r="AF30" s="77"/>
      <c r="AG30" s="77"/>
      <c r="AH30" s="77"/>
      <c r="AI30" s="77"/>
      <c r="AJ30" s="77">
        <v>36490</v>
      </c>
      <c r="AK30" s="77">
        <v>36490</v>
      </c>
      <c r="AL30" s="77">
        <v>0</v>
      </c>
      <c r="AM30" s="77">
        <f t="shared" si="9"/>
        <v>207591</v>
      </c>
      <c r="AN30" s="77">
        <f t="shared" si="9"/>
        <v>239004</v>
      </c>
      <c r="AO30" s="77">
        <f t="shared" si="9"/>
        <v>86912.043000000005</v>
      </c>
      <c r="AP30" s="77"/>
      <c r="AQ30" s="77"/>
      <c r="AR30" s="77">
        <f>(120000+42200+120000+64800)/1000</f>
        <v>347</v>
      </c>
      <c r="AS30" s="78">
        <v>5766</v>
      </c>
      <c r="AT30" s="78">
        <v>0</v>
      </c>
      <c r="AU30" s="78">
        <v>0</v>
      </c>
      <c r="AV30" s="78">
        <v>1</v>
      </c>
      <c r="AW30" s="78">
        <v>1</v>
      </c>
      <c r="AX30" s="78">
        <v>1</v>
      </c>
      <c r="AY30" s="78">
        <v>1503</v>
      </c>
      <c r="AZ30" s="78">
        <v>0</v>
      </c>
      <c r="BA30" s="78">
        <v>0</v>
      </c>
      <c r="BB30" s="78">
        <v>18537</v>
      </c>
      <c r="BC30" s="78">
        <f>(1929000+33236000+37547531+3340000-1000)/1000+1</f>
        <v>76052.531000000003</v>
      </c>
      <c r="BD30" s="78">
        <f>(1818407+33435314+37410674+1963513)/1000+16415/1000+(36534+395292+198902+1317106)/1000</f>
        <v>76592.156999999992</v>
      </c>
      <c r="BE30" s="78"/>
      <c r="BF30" s="78"/>
      <c r="BG30" s="78"/>
      <c r="BH30" s="78">
        <v>17928</v>
      </c>
      <c r="BI30" s="78">
        <f>(1500+1000+1551+4883+2503+7667+1327)</f>
        <v>20431</v>
      </c>
      <c r="BJ30" s="78">
        <f>(300000+500000+50001+378035+3239975+3462015+1326710)/1000</f>
        <v>9256.7360000000008</v>
      </c>
      <c r="BK30" s="78"/>
      <c r="BL30" s="78"/>
      <c r="BM30" s="78"/>
      <c r="BN30" s="78">
        <f ca="1">'1. kiadások össz'!O15</f>
        <v>37686</v>
      </c>
      <c r="BO30" s="78">
        <f>68296577/1000</f>
        <v>68296.577000000005</v>
      </c>
      <c r="BP30" s="78"/>
      <c r="BQ30" s="78">
        <f t="shared" si="3"/>
        <v>81420</v>
      </c>
      <c r="BR30" s="78">
        <f t="shared" si="4"/>
        <v>164780.10800000001</v>
      </c>
      <c r="BS30" s="78">
        <f t="shared" si="5"/>
        <v>86195.892999999996</v>
      </c>
      <c r="BT30" s="79" t="s">
        <v>819</v>
      </c>
      <c r="BU30" s="146" t="s">
        <v>815</v>
      </c>
    </row>
    <row r="31" spans="1:73" s="80" customFormat="1" ht="45">
      <c r="A31" s="74">
        <v>841906</v>
      </c>
      <c r="B31" s="76" t="s">
        <v>846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>
        <f t="shared" si="9"/>
        <v>0</v>
      </c>
      <c r="AN31" s="77">
        <f t="shared" si="9"/>
        <v>0</v>
      </c>
      <c r="AO31" s="77">
        <f t="shared" si="9"/>
        <v>0</v>
      </c>
      <c r="AP31" s="77"/>
      <c r="AQ31" s="77"/>
      <c r="AR31" s="77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>
        <f ca="1">'1. kiadások össz'!O14</f>
        <v>126886</v>
      </c>
      <c r="BL31" s="78">
        <v>140041</v>
      </c>
      <c r="BM31" s="78">
        <v>131685</v>
      </c>
      <c r="BN31" s="78"/>
      <c r="BO31" s="78"/>
      <c r="BP31" s="78"/>
      <c r="BQ31" s="78">
        <f t="shared" si="3"/>
        <v>126886</v>
      </c>
      <c r="BR31" s="78">
        <f t="shared" si="4"/>
        <v>140041</v>
      </c>
      <c r="BS31" s="78">
        <f t="shared" si="5"/>
        <v>131685</v>
      </c>
      <c r="BT31" s="79" t="s">
        <v>819</v>
      </c>
      <c r="BU31" s="146" t="s">
        <v>845</v>
      </c>
    </row>
    <row r="32" spans="1:73" s="80" customFormat="1" ht="45">
      <c r="A32" s="74">
        <v>841133</v>
      </c>
      <c r="B32" s="76" t="s">
        <v>847</v>
      </c>
      <c r="C32" s="77"/>
      <c r="D32" s="77"/>
      <c r="E32" s="77"/>
      <c r="F32" s="77">
        <v>116350</v>
      </c>
      <c r="G32" s="77">
        <v>134850</v>
      </c>
      <c r="H32" s="77">
        <v>168791</v>
      </c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>
        <f t="shared" si="9"/>
        <v>116350</v>
      </c>
      <c r="AN32" s="77">
        <f t="shared" si="9"/>
        <v>134850</v>
      </c>
      <c r="AO32" s="77">
        <f t="shared" si="9"/>
        <v>168791</v>
      </c>
      <c r="AP32" s="77"/>
      <c r="AQ32" s="77"/>
      <c r="AR32" s="77"/>
      <c r="AS32" s="78"/>
      <c r="AT32" s="78"/>
      <c r="AU32" s="78"/>
      <c r="AV32" s="78"/>
      <c r="AW32" s="78"/>
      <c r="AX32" s="78"/>
      <c r="AY32" s="78"/>
      <c r="AZ32" s="78"/>
      <c r="BA32" s="78"/>
      <c r="BB32" s="78">
        <v>0</v>
      </c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>
        <f t="shared" si="3"/>
        <v>0</v>
      </c>
      <c r="BR32" s="78">
        <f t="shared" si="4"/>
        <v>0</v>
      </c>
      <c r="BS32" s="78">
        <f t="shared" si="5"/>
        <v>0</v>
      </c>
      <c r="BT32" s="79" t="s">
        <v>819</v>
      </c>
      <c r="BU32" s="146" t="s">
        <v>815</v>
      </c>
    </row>
    <row r="33" spans="1:73" s="80" customFormat="1" ht="45">
      <c r="A33" s="74">
        <v>841901</v>
      </c>
      <c r="B33" s="76" t="s">
        <v>848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>
        <v>103909</v>
      </c>
      <c r="P33" s="77">
        <f>184835</f>
        <v>184835</v>
      </c>
      <c r="Q33" s="77">
        <v>184835</v>
      </c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>
        <f t="shared" si="9"/>
        <v>103909</v>
      </c>
      <c r="AN33" s="77">
        <f t="shared" si="9"/>
        <v>184835</v>
      </c>
      <c r="AO33" s="77">
        <f t="shared" si="9"/>
        <v>184835</v>
      </c>
      <c r="AP33" s="77"/>
      <c r="AQ33" s="77"/>
      <c r="AR33" s="77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>
        <f t="shared" si="3"/>
        <v>0</v>
      </c>
      <c r="BR33" s="78">
        <f t="shared" si="4"/>
        <v>0</v>
      </c>
      <c r="BS33" s="78">
        <f t="shared" si="5"/>
        <v>0</v>
      </c>
      <c r="BT33" s="79" t="s">
        <v>819</v>
      </c>
      <c r="BU33" s="146" t="s">
        <v>815</v>
      </c>
    </row>
    <row r="34" spans="1:73" ht="45">
      <c r="A34" s="162">
        <v>889101</v>
      </c>
      <c r="B34" s="165" t="s">
        <v>849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>
        <v>148860</v>
      </c>
      <c r="AE34" s="147">
        <v>148860</v>
      </c>
      <c r="AF34" s="147">
        <v>0</v>
      </c>
      <c r="AG34" s="147"/>
      <c r="AH34" s="147"/>
      <c r="AI34" s="147"/>
      <c r="AJ34" s="147"/>
      <c r="AK34" s="147"/>
      <c r="AL34" s="147"/>
      <c r="AM34" s="77">
        <f t="shared" si="9"/>
        <v>148860</v>
      </c>
      <c r="AN34" s="77">
        <f t="shared" si="9"/>
        <v>148860</v>
      </c>
      <c r="AO34" s="77">
        <f t="shared" si="9"/>
        <v>0</v>
      </c>
      <c r="AP34" s="147">
        <v>180011</v>
      </c>
      <c r="AQ34" s="147">
        <f>177766+2245</f>
        <v>180011</v>
      </c>
      <c r="AR34" s="147">
        <f>8321+2244</f>
        <v>10565</v>
      </c>
      <c r="AS34" s="148">
        <v>2788</v>
      </c>
      <c r="AT34" s="148">
        <v>2788</v>
      </c>
      <c r="AU34" s="148"/>
      <c r="AV34" s="148">
        <v>7</v>
      </c>
      <c r="AW34" s="148">
        <v>7</v>
      </c>
      <c r="AX34" s="148">
        <v>0</v>
      </c>
      <c r="AY34" s="148">
        <v>753</v>
      </c>
      <c r="AZ34" s="148">
        <v>753</v>
      </c>
      <c r="BA34" s="148"/>
      <c r="BB34" s="148">
        <v>1000</v>
      </c>
      <c r="BC34" s="148">
        <v>1000</v>
      </c>
      <c r="BD34" s="148">
        <v>17</v>
      </c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78">
        <f t="shared" si="3"/>
        <v>184552</v>
      </c>
      <c r="BR34" s="78">
        <f t="shared" si="4"/>
        <v>184552</v>
      </c>
      <c r="BS34" s="78">
        <f t="shared" si="5"/>
        <v>10582</v>
      </c>
      <c r="BT34" s="79" t="s">
        <v>819</v>
      </c>
      <c r="BU34" s="146" t="s">
        <v>845</v>
      </c>
    </row>
    <row r="35" spans="1:73" ht="15.75">
      <c r="A35" s="427" t="s">
        <v>701</v>
      </c>
      <c r="B35" s="428"/>
      <c r="C35" s="145">
        <f>SUM(C5:C34)</f>
        <v>0</v>
      </c>
      <c r="D35" s="145">
        <f t="shared" ref="D35:BO35" si="10">SUM(D5:D34)</f>
        <v>0</v>
      </c>
      <c r="E35" s="145">
        <f t="shared" si="10"/>
        <v>0</v>
      </c>
      <c r="F35" s="145">
        <f t="shared" si="10"/>
        <v>116350</v>
      </c>
      <c r="G35" s="145">
        <f t="shared" si="10"/>
        <v>134850</v>
      </c>
      <c r="H35" s="145">
        <f t="shared" si="10"/>
        <v>168791</v>
      </c>
      <c r="I35" s="145">
        <f t="shared" si="10"/>
        <v>103367</v>
      </c>
      <c r="J35" s="145">
        <f t="shared" si="10"/>
        <v>134780</v>
      </c>
      <c r="K35" s="145">
        <f t="shared" si="10"/>
        <v>118762.726</v>
      </c>
      <c r="L35" s="145">
        <f t="shared" si="10"/>
        <v>44424</v>
      </c>
      <c r="M35" s="145">
        <f t="shared" si="10"/>
        <v>44424</v>
      </c>
      <c r="N35" s="145">
        <f t="shared" si="10"/>
        <v>0</v>
      </c>
      <c r="O35" s="145">
        <f t="shared" si="10"/>
        <v>122981</v>
      </c>
      <c r="P35" s="145">
        <f t="shared" si="10"/>
        <v>203907</v>
      </c>
      <c r="Q35" s="145">
        <f t="shared" si="10"/>
        <v>190100</v>
      </c>
      <c r="R35" s="145">
        <f t="shared" si="10"/>
        <v>0</v>
      </c>
      <c r="S35" s="145">
        <f t="shared" si="10"/>
        <v>0</v>
      </c>
      <c r="T35" s="145">
        <f t="shared" si="10"/>
        <v>0</v>
      </c>
      <c r="U35" s="145">
        <f t="shared" si="10"/>
        <v>126886</v>
      </c>
      <c r="V35" s="145">
        <f t="shared" si="10"/>
        <v>140640.81200000001</v>
      </c>
      <c r="W35" s="145">
        <f t="shared" si="10"/>
        <v>130603.056</v>
      </c>
      <c r="X35" s="145">
        <f t="shared" si="10"/>
        <v>24203</v>
      </c>
      <c r="Y35" s="145">
        <f t="shared" si="10"/>
        <v>24203</v>
      </c>
      <c r="Z35" s="145">
        <f t="shared" si="10"/>
        <v>0.20100000000000001</v>
      </c>
      <c r="AA35" s="145">
        <f t="shared" si="10"/>
        <v>73391</v>
      </c>
      <c r="AB35" s="145">
        <f t="shared" si="10"/>
        <v>73391</v>
      </c>
      <c r="AC35" s="145">
        <f t="shared" si="10"/>
        <v>48163.478000000003</v>
      </c>
      <c r="AD35" s="145">
        <f t="shared" si="10"/>
        <v>148860</v>
      </c>
      <c r="AE35" s="145">
        <f t="shared" si="10"/>
        <v>148860</v>
      </c>
      <c r="AF35" s="145">
        <f t="shared" si="10"/>
        <v>0</v>
      </c>
      <c r="AG35" s="145">
        <f t="shared" si="10"/>
        <v>6985</v>
      </c>
      <c r="AH35" s="145">
        <f t="shared" si="10"/>
        <v>6385</v>
      </c>
      <c r="AI35" s="145">
        <f t="shared" si="10"/>
        <v>1081.53</v>
      </c>
      <c r="AJ35" s="145">
        <f t="shared" si="10"/>
        <v>36490</v>
      </c>
      <c r="AK35" s="145">
        <f t="shared" si="10"/>
        <v>36490</v>
      </c>
      <c r="AL35" s="145">
        <f t="shared" si="10"/>
        <v>0</v>
      </c>
      <c r="AM35" s="145">
        <f t="shared" si="10"/>
        <v>803937</v>
      </c>
      <c r="AN35" s="145">
        <f t="shared" si="10"/>
        <v>947930.81200000003</v>
      </c>
      <c r="AO35" s="145">
        <f t="shared" si="10"/>
        <v>657501.99100000004</v>
      </c>
      <c r="AP35" s="145">
        <f t="shared" si="10"/>
        <v>265726</v>
      </c>
      <c r="AQ35" s="145">
        <f t="shared" si="10"/>
        <v>278926</v>
      </c>
      <c r="AR35" s="145">
        <f t="shared" si="10"/>
        <v>61560.591</v>
      </c>
      <c r="AS35" s="145">
        <f t="shared" si="10"/>
        <v>112329</v>
      </c>
      <c r="AT35" s="145">
        <f t="shared" si="10"/>
        <v>118826.81200000001</v>
      </c>
      <c r="AU35" s="145">
        <f t="shared" si="10"/>
        <v>114163.476</v>
      </c>
      <c r="AV35" s="145">
        <f t="shared" si="10"/>
        <v>66</v>
      </c>
      <c r="AW35" s="145">
        <f t="shared" si="10"/>
        <v>66</v>
      </c>
      <c r="AX35" s="145">
        <f t="shared" si="10"/>
        <v>77</v>
      </c>
      <c r="AY35" s="145">
        <f t="shared" si="10"/>
        <v>27689</v>
      </c>
      <c r="AZ35" s="145">
        <f t="shared" si="10"/>
        <v>29918</v>
      </c>
      <c r="BA35" s="145">
        <f t="shared" si="10"/>
        <v>28548.539000000001</v>
      </c>
      <c r="BB35" s="145">
        <f t="shared" si="10"/>
        <v>175547</v>
      </c>
      <c r="BC35" s="145">
        <f t="shared" si="10"/>
        <v>255271.53100000002</v>
      </c>
      <c r="BD35" s="145">
        <f t="shared" si="10"/>
        <v>231382.77100000001</v>
      </c>
      <c r="BE35" s="145">
        <f t="shared" si="10"/>
        <v>26100</v>
      </c>
      <c r="BF35" s="145">
        <f t="shared" si="10"/>
        <v>28422</v>
      </c>
      <c r="BG35" s="145">
        <f t="shared" si="10"/>
        <v>23200.36</v>
      </c>
      <c r="BH35" s="145">
        <f t="shared" si="10"/>
        <v>31571</v>
      </c>
      <c r="BI35" s="145">
        <f t="shared" si="10"/>
        <v>27826</v>
      </c>
      <c r="BJ35" s="145">
        <f t="shared" si="10"/>
        <v>13339.293000000001</v>
      </c>
      <c r="BK35" s="145">
        <f t="shared" si="10"/>
        <v>126886</v>
      </c>
      <c r="BL35" s="145">
        <f t="shared" si="10"/>
        <v>140041</v>
      </c>
      <c r="BM35" s="145">
        <f t="shared" si="10"/>
        <v>131685</v>
      </c>
      <c r="BN35" s="145">
        <f t="shared" si="10"/>
        <v>38089</v>
      </c>
      <c r="BO35" s="145">
        <f t="shared" si="10"/>
        <v>68699.577000000005</v>
      </c>
      <c r="BP35" s="145">
        <f>SUM(BP5:BP34)</f>
        <v>0</v>
      </c>
      <c r="BQ35" s="145">
        <f>SUM(BQ5:BQ34)</f>
        <v>803937</v>
      </c>
      <c r="BR35" s="145">
        <f>SUM(BR5:BR34)</f>
        <v>947930.92</v>
      </c>
      <c r="BS35" s="145">
        <f>SUM(BS5:BS34)</f>
        <v>603880.03</v>
      </c>
    </row>
    <row r="36" spans="1:73"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>
        <f>AP34-AM34</f>
        <v>31151</v>
      </c>
      <c r="AQ36" s="84"/>
      <c r="AR36" s="84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</row>
    <row r="37" spans="1:73"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</row>
    <row r="38" spans="1:73"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</row>
    <row r="39" spans="1:73"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</row>
    <row r="40" spans="1:73"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</row>
    <row r="41" spans="1:73"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</row>
    <row r="42" spans="1:73"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</row>
    <row r="43" spans="1:73"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</row>
    <row r="44" spans="1:73"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</row>
    <row r="45" spans="1:73"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</row>
    <row r="46" spans="1:73"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</row>
    <row r="47" spans="1:73"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</row>
    <row r="48" spans="1:73"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</row>
    <row r="49" spans="3:44"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</row>
    <row r="50" spans="3:44"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</row>
    <row r="51" spans="3:44"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</row>
    <row r="52" spans="3:44"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</row>
    <row r="53" spans="3:44"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</row>
    <row r="54" spans="3:44"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</row>
    <row r="55" spans="3:44"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</row>
    <row r="56" spans="3:44"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</row>
    <row r="57" spans="3:44"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</row>
    <row r="58" spans="3:44"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</row>
    <row r="59" spans="3:44"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</row>
    <row r="60" spans="3:44"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</row>
    <row r="61" spans="3:44"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</row>
    <row r="62" spans="3:44"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</row>
    <row r="63" spans="3:44"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</row>
    <row r="64" spans="3:44"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</row>
    <row r="65" spans="3:44"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</row>
    <row r="66" spans="3:44"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</row>
    <row r="67" spans="3:44"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</row>
    <row r="68" spans="3:44"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</row>
    <row r="69" spans="3:44"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</row>
    <row r="70" spans="3:44"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</row>
    <row r="71" spans="3:44"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</row>
    <row r="72" spans="3:44"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</row>
    <row r="73" spans="3:44"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</row>
    <row r="74" spans="3:44"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</row>
    <row r="75" spans="3:44"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</row>
    <row r="76" spans="3:44"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</row>
    <row r="77" spans="3:44"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</row>
    <row r="78" spans="3:44"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</row>
    <row r="79" spans="3:44"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</row>
    <row r="80" spans="3:44"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</row>
    <row r="81" spans="3:44"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</row>
    <row r="82" spans="3:44"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</row>
    <row r="83" spans="3:44"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</row>
    <row r="84" spans="3:44"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</row>
    <row r="85" spans="3:44"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</row>
    <row r="86" spans="3:44"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</row>
    <row r="87" spans="3:44"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</row>
    <row r="88" spans="3:44"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</row>
    <row r="89" spans="3:44"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</row>
    <row r="90" spans="3:44"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</row>
    <row r="91" spans="3:44"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</row>
    <row r="92" spans="3:44"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</row>
    <row r="93" spans="3:44"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</row>
    <row r="94" spans="3:44"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</row>
    <row r="95" spans="3:44"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</row>
    <row r="96" spans="3:44"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</row>
    <row r="97" spans="3:44"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</row>
    <row r="98" spans="3:44"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</row>
  </sheetData>
  <autoFilter ref="A4:BU36"/>
  <mergeCells count="14">
    <mergeCell ref="A3:B3"/>
    <mergeCell ref="A35:B35"/>
    <mergeCell ref="C3:X3"/>
    <mergeCell ref="AA3:AJ3"/>
    <mergeCell ref="AM3:AM4"/>
    <mergeCell ref="AO3:AO4"/>
    <mergeCell ref="BR3:BR4"/>
    <mergeCell ref="BU3:BU4"/>
    <mergeCell ref="BQ3:BQ4"/>
    <mergeCell ref="BT3:BT4"/>
    <mergeCell ref="AN3:AN4"/>
    <mergeCell ref="BS3:BS4"/>
    <mergeCell ref="AP3:AR3"/>
    <mergeCell ref="AS3:BP3"/>
  </mergeCells>
  <phoneticPr fontId="40" type="noConversion"/>
  <printOptions horizontalCentered="1" gridLines="1"/>
  <pageMargins left="0.19" right="0.15748031496062992" top="0.46" bottom="0.39370078740157483" header="0.17" footer="0.23622047244094491"/>
  <pageSetup paperSize="8" scale="84" orientation="landscape" r:id="rId1"/>
  <headerFooter alignWithMargins="0">
    <oddHeader>&amp;R&amp;P/&amp;N</oddHeader>
    <oddFooter>&amp;C&amp;10&amp;P/&amp;N</oddFooter>
  </headerFooter>
  <rowBreaks count="1" manualBreakCount="1">
    <brk id="17" max="72" man="1"/>
  </rowBreaks>
  <colBreaks count="2" manualBreakCount="2">
    <brk id="21" max="34" man="1"/>
    <brk id="41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AT109"/>
  <sheetViews>
    <sheetView zoomScale="70" workbookViewId="0">
      <pane xSplit="1" topLeftCell="B1" activePane="topRight" state="frozen"/>
      <selection activeCell="B2" sqref="B2"/>
      <selection pane="topRight" activeCell="A2" sqref="A2"/>
    </sheetView>
  </sheetViews>
  <sheetFormatPr defaultRowHeight="12.75"/>
  <cols>
    <col min="1" max="1" width="72.140625" style="179" customWidth="1"/>
    <col min="2" max="6" width="13.5703125" style="261" customWidth="1"/>
    <col min="7" max="11" width="13.28515625" style="193" customWidth="1"/>
    <col min="12" max="18" width="12.85546875" style="193" customWidth="1"/>
    <col min="19" max="27" width="13.28515625" style="193" customWidth="1"/>
    <col min="28" max="36" width="13" style="261" customWidth="1"/>
    <col min="37" max="37" width="13.85546875" style="261" customWidth="1"/>
    <col min="38" max="38" width="13.28515625" style="261" customWidth="1"/>
    <col min="39" max="39" width="14" style="261" customWidth="1"/>
    <col min="40" max="40" width="13.28515625" style="261" customWidth="1"/>
    <col min="41" max="41" width="13.85546875" style="261" customWidth="1"/>
    <col min="42" max="42" width="12.140625" style="261" customWidth="1"/>
    <col min="43" max="44" width="13.85546875" style="261" customWidth="1"/>
    <col min="45" max="45" width="12.140625" style="261" customWidth="1"/>
    <col min="46" max="46" width="9.140625" style="266"/>
    <col min="47" max="16384" width="9.140625" style="179"/>
  </cols>
  <sheetData>
    <row r="1" spans="1:46">
      <c r="A1" s="179" t="s">
        <v>26</v>
      </c>
    </row>
    <row r="2" spans="1:46" ht="15">
      <c r="A2" s="213" t="s">
        <v>220</v>
      </c>
      <c r="B2" s="262"/>
      <c r="C2" s="262"/>
      <c r="D2" s="262"/>
      <c r="E2" s="262"/>
      <c r="F2" s="262"/>
      <c r="G2" s="100"/>
      <c r="H2" s="100"/>
      <c r="I2" s="100"/>
      <c r="J2" s="100"/>
      <c r="K2" s="100"/>
      <c r="L2" s="100"/>
      <c r="M2" s="100"/>
      <c r="N2" s="100"/>
      <c r="AK2" s="267"/>
      <c r="AL2" s="267"/>
      <c r="AM2" s="267"/>
      <c r="AN2" s="267"/>
      <c r="AO2" s="267"/>
      <c r="AP2" s="267"/>
      <c r="AQ2" s="267"/>
      <c r="AR2" s="267"/>
      <c r="AS2" s="267"/>
    </row>
    <row r="3" spans="1:46" ht="15">
      <c r="A3" s="20"/>
      <c r="B3" s="436" t="s">
        <v>804</v>
      </c>
      <c r="C3" s="436"/>
      <c r="D3" s="436"/>
      <c r="E3" s="436"/>
      <c r="F3" s="436"/>
      <c r="G3" s="437" t="s">
        <v>805</v>
      </c>
      <c r="H3" s="437"/>
      <c r="I3" s="437"/>
      <c r="J3" s="437"/>
      <c r="K3" s="437"/>
      <c r="L3" s="438" t="s">
        <v>806</v>
      </c>
      <c r="M3" s="439"/>
      <c r="N3" s="439"/>
      <c r="O3" s="439"/>
      <c r="P3" s="439"/>
      <c r="Q3" s="440"/>
      <c r="R3" s="441"/>
      <c r="S3" s="438" t="s">
        <v>807</v>
      </c>
      <c r="T3" s="439"/>
      <c r="U3" s="439"/>
      <c r="V3" s="439"/>
      <c r="W3" s="439"/>
      <c r="X3" s="439"/>
      <c r="Y3" s="439"/>
      <c r="Z3" s="440"/>
      <c r="AA3" s="441"/>
      <c r="AB3" s="442" t="s">
        <v>630</v>
      </c>
      <c r="AC3" s="443"/>
      <c r="AD3" s="443"/>
      <c r="AE3" s="443"/>
      <c r="AF3" s="443"/>
      <c r="AG3" s="443"/>
      <c r="AH3" s="443"/>
      <c r="AI3" s="444"/>
      <c r="AJ3" s="444"/>
      <c r="AK3" s="436" t="s">
        <v>850</v>
      </c>
      <c r="AL3" s="436"/>
      <c r="AM3" s="436"/>
      <c r="AN3" s="436"/>
      <c r="AO3" s="436"/>
      <c r="AP3" s="436"/>
      <c r="AQ3" s="436"/>
      <c r="AR3" s="436"/>
      <c r="AS3" s="436"/>
    </row>
    <row r="4" spans="1:46" s="101" customFormat="1" ht="63.75">
      <c r="A4" s="180" t="s">
        <v>904</v>
      </c>
      <c r="B4" s="263" t="s">
        <v>126</v>
      </c>
      <c r="C4" s="263" t="s">
        <v>127</v>
      </c>
      <c r="D4" s="263" t="s">
        <v>128</v>
      </c>
      <c r="E4" s="263" t="s">
        <v>803</v>
      </c>
      <c r="F4" s="263" t="s">
        <v>901</v>
      </c>
      <c r="G4" s="194" t="s">
        <v>126</v>
      </c>
      <c r="H4" s="194" t="s">
        <v>127</v>
      </c>
      <c r="I4" s="194" t="s">
        <v>128</v>
      </c>
      <c r="J4" s="194" t="s">
        <v>803</v>
      </c>
      <c r="K4" s="194" t="s">
        <v>901</v>
      </c>
      <c r="L4" s="194" t="s">
        <v>126</v>
      </c>
      <c r="M4" s="194" t="s">
        <v>127</v>
      </c>
      <c r="N4" s="194" t="s">
        <v>128</v>
      </c>
      <c r="O4" s="194" t="s">
        <v>803</v>
      </c>
      <c r="P4" s="194" t="s">
        <v>129</v>
      </c>
      <c r="Q4" s="194" t="s">
        <v>130</v>
      </c>
      <c r="R4" s="194" t="s">
        <v>131</v>
      </c>
      <c r="S4" s="194" t="s">
        <v>126</v>
      </c>
      <c r="T4" s="194" t="s">
        <v>127</v>
      </c>
      <c r="U4" s="194" t="s">
        <v>128</v>
      </c>
      <c r="V4" s="194" t="s">
        <v>132</v>
      </c>
      <c r="W4" s="194" t="s">
        <v>133</v>
      </c>
      <c r="X4" s="194" t="s">
        <v>135</v>
      </c>
      <c r="Y4" s="194" t="s">
        <v>129</v>
      </c>
      <c r="Z4" s="194" t="s">
        <v>130</v>
      </c>
      <c r="AA4" s="194" t="s">
        <v>129</v>
      </c>
      <c r="AB4" s="263" t="s">
        <v>126</v>
      </c>
      <c r="AC4" s="263" t="s">
        <v>127</v>
      </c>
      <c r="AD4" s="263" t="s">
        <v>128</v>
      </c>
      <c r="AE4" s="263" t="s">
        <v>132</v>
      </c>
      <c r="AF4" s="263" t="s">
        <v>133</v>
      </c>
      <c r="AG4" s="263" t="s">
        <v>135</v>
      </c>
      <c r="AH4" s="263" t="s">
        <v>129</v>
      </c>
      <c r="AI4" s="263" t="s">
        <v>130</v>
      </c>
      <c r="AJ4" s="263" t="s">
        <v>131</v>
      </c>
      <c r="AK4" s="263" t="s">
        <v>126</v>
      </c>
      <c r="AL4" s="263" t="s">
        <v>127</v>
      </c>
      <c r="AM4" s="263" t="s">
        <v>128</v>
      </c>
      <c r="AN4" s="263" t="s">
        <v>132</v>
      </c>
      <c r="AO4" s="263" t="s">
        <v>133</v>
      </c>
      <c r="AP4" s="263" t="s">
        <v>135</v>
      </c>
      <c r="AQ4" s="263" t="s">
        <v>129</v>
      </c>
      <c r="AR4" s="263" t="s">
        <v>130</v>
      </c>
      <c r="AS4" s="263" t="s">
        <v>131</v>
      </c>
      <c r="AT4" s="268"/>
    </row>
    <row r="5" spans="1:46" ht="15">
      <c r="A5" s="181" t="s">
        <v>613</v>
      </c>
      <c r="B5" s="130">
        <f ca="1">'1. kiadások össz'!C5</f>
        <v>31560</v>
      </c>
      <c r="C5" s="130">
        <f ca="1">'1. kiadások össz'!D5</f>
        <v>34729.542000000001</v>
      </c>
      <c r="D5" s="130">
        <f ca="1">'1. kiadások össz'!E5</f>
        <v>33508.608</v>
      </c>
      <c r="E5" s="130">
        <v>0</v>
      </c>
      <c r="F5" s="130">
        <v>0</v>
      </c>
      <c r="G5" s="90">
        <f ca="1">'1. kiadások össz'!G5</f>
        <v>6064</v>
      </c>
      <c r="H5" s="90">
        <f ca="1">'1. kiadások össz'!H5</f>
        <v>5992.4139999999998</v>
      </c>
      <c r="I5" s="90">
        <f ca="1">'1. kiadások össz'!I5</f>
        <v>5940.59</v>
      </c>
      <c r="J5" s="90">
        <v>0</v>
      </c>
      <c r="K5" s="90">
        <v>0</v>
      </c>
      <c r="L5" s="90">
        <f ca="1">'1. kiadások össz'!K5*0.6333</f>
        <v>18715.281599999998</v>
      </c>
      <c r="M5" s="90">
        <f ca="1">'1. kiadások össz'!L5*0.6333</f>
        <v>22592.253004799997</v>
      </c>
      <c r="N5" s="90">
        <f ca="1">'1. kiadások össz'!M5*0.6333</f>
        <v>22398.377709299999</v>
      </c>
      <c r="O5" s="90">
        <v>0</v>
      </c>
      <c r="P5" s="90">
        <f ca="1">'1. kiadások össz'!K5*0.3667</f>
        <v>10836.718400000002</v>
      </c>
      <c r="Q5" s="90">
        <f ca="1">'1. kiadások össz'!L5*0.3667</f>
        <v>13081.602995200001</v>
      </c>
      <c r="R5" s="90">
        <f ca="1">'1. kiadások össz'!M5*0.3667</f>
        <v>12969.343290700001</v>
      </c>
      <c r="S5" s="265">
        <f ca="1">SUM('3. szakfeladatok'!AS8:AS34)-'3. szakfeladatok'!AS34-'3. szakfeladatok'!AS29</f>
        <v>31985</v>
      </c>
      <c r="T5" s="265">
        <f ca="1">SUM('3. szakfeladatok'!AT8:AT34)-'3. szakfeladatok'!AT34-'3. szakfeladatok'!AT29</f>
        <v>28644</v>
      </c>
      <c r="U5" s="265">
        <f ca="1">SUM('3. szakfeladatok'!AU8:AU34)-'3. szakfeladatok'!AU34-'3. szakfeladatok'!AU29</f>
        <v>28341.739000000001</v>
      </c>
      <c r="V5" s="265">
        <f ca="1">'3. szakfeladatok'!AS29+'3. szakfeladatok'!AS34</f>
        <v>13168</v>
      </c>
      <c r="W5" s="265">
        <f ca="1">'3. szakfeladatok'!AT29+'3. szakfeladatok'!AT34-1</f>
        <v>13786</v>
      </c>
      <c r="X5" s="265">
        <f ca="1">'3. szakfeladatok'!AU29+'3. szakfeladatok'!AU34</f>
        <v>11004.817999999999</v>
      </c>
      <c r="Y5" s="195">
        <v>0</v>
      </c>
      <c r="Z5" s="195">
        <v>0</v>
      </c>
      <c r="AA5" s="195">
        <v>0</v>
      </c>
      <c r="AB5" s="265">
        <f>B5+G5+L5</f>
        <v>56339.281600000002</v>
      </c>
      <c r="AC5" s="265">
        <f>C5+H5+M5+T5</f>
        <v>91958.209004799995</v>
      </c>
      <c r="AD5" s="265">
        <f>D5+I5+N5</f>
        <v>61847.575709299999</v>
      </c>
      <c r="AE5" s="265">
        <f>E5+J5+O5+V5</f>
        <v>13168</v>
      </c>
      <c r="AF5" s="265">
        <f>W5</f>
        <v>13786</v>
      </c>
      <c r="AG5" s="265">
        <f>X5</f>
        <v>11004.817999999999</v>
      </c>
      <c r="AH5" s="265">
        <f>Y5</f>
        <v>0</v>
      </c>
      <c r="AI5" s="265">
        <f>Z5</f>
        <v>0</v>
      </c>
      <c r="AJ5" s="265">
        <f>AA5</f>
        <v>0</v>
      </c>
      <c r="AK5" s="265"/>
      <c r="AL5" s="265"/>
      <c r="AM5" s="265"/>
      <c r="AN5" s="265"/>
      <c r="AO5" s="265"/>
      <c r="AP5" s="265"/>
      <c r="AQ5" s="265"/>
      <c r="AR5" s="265"/>
      <c r="AS5" s="265"/>
    </row>
    <row r="6" spans="1:46" ht="15">
      <c r="A6" s="181" t="s">
        <v>609</v>
      </c>
      <c r="B6" s="130">
        <f ca="1">'1. kiadások össz'!C6</f>
        <v>7772</v>
      </c>
      <c r="C6" s="130">
        <f ca="1">'1. kiadások össz'!D6</f>
        <v>9015</v>
      </c>
      <c r="D6" s="130">
        <f ca="1">'1. kiadások össz'!E6</f>
        <v>9014.4320000000007</v>
      </c>
      <c r="E6" s="130">
        <v>0</v>
      </c>
      <c r="F6" s="130">
        <v>0</v>
      </c>
      <c r="G6" s="90">
        <f ca="1">'1. kiadások össz'!G6</f>
        <v>1446</v>
      </c>
      <c r="H6" s="90">
        <f ca="1">'1. kiadások össz'!H6</f>
        <v>1555</v>
      </c>
      <c r="I6" s="90">
        <f ca="1">'1. kiadások össz'!I6</f>
        <v>1554.7570000000001</v>
      </c>
      <c r="J6" s="90">
        <v>0</v>
      </c>
      <c r="K6" s="90">
        <v>0</v>
      </c>
      <c r="L6" s="90">
        <f ca="1">'1. kiadások össz'!K6*0.6333</f>
        <v>4725.0513000000001</v>
      </c>
      <c r="M6" s="90">
        <f ca="1">'1. kiadások össz'!L6*0.6333</f>
        <v>5847.8921999999993</v>
      </c>
      <c r="N6" s="90">
        <f ca="1">'1. kiadások össz'!M6*0.6333</f>
        <v>5847.4805550000001</v>
      </c>
      <c r="O6" s="90">
        <v>0</v>
      </c>
      <c r="P6" s="90">
        <f ca="1">'1. kiadások össz'!K6*0.3667</f>
        <v>2735.9487000000004</v>
      </c>
      <c r="Q6" s="90">
        <f ca="1">'1. kiadások össz'!L6*0.3667</f>
        <v>3386.1078000000002</v>
      </c>
      <c r="R6" s="90">
        <f ca="1">'1. kiadások össz'!M6*0.3667</f>
        <v>3385.8694450000003</v>
      </c>
      <c r="S6" s="265">
        <f ca="1">SUM('3. szakfeladatok'!AY8:AY34)-'3. szakfeladatok'!AY34-'3. szakfeladatok'!AY29</f>
        <v>7779</v>
      </c>
      <c r="T6" s="265">
        <f ca="1">SUM('3. szakfeladatok'!AZ8:AZ34)-'3. szakfeladatok'!AZ34-'3. szakfeladatok'!AZ29</f>
        <v>6850</v>
      </c>
      <c r="U6" s="265">
        <f ca="1">SUM('3. szakfeladatok'!BA8:BA34)-'3. szakfeladatok'!BA34-'3. szakfeladatok'!BA29</f>
        <v>6235</v>
      </c>
      <c r="V6" s="265">
        <f ca="1">'3. szakfeladatok'!AY29+'3. szakfeladatok'!AY34</f>
        <v>3231</v>
      </c>
      <c r="W6" s="265">
        <f ca="1">'3. szakfeladatok'!AZ29+'3. szakfeladatok'!AZ34</f>
        <v>3264</v>
      </c>
      <c r="X6" s="265">
        <f ca="1">'3. szakfeladatok'!BA29+'3. szakfeladatok'!BA34</f>
        <v>2511</v>
      </c>
      <c r="Y6" s="195">
        <v>0</v>
      </c>
      <c r="Z6" s="195">
        <v>0</v>
      </c>
      <c r="AA6" s="195">
        <v>0</v>
      </c>
      <c r="AB6" s="265">
        <f t="shared" ref="AB6:AB32" si="0">B6+G6+L6</f>
        <v>13943.051299999999</v>
      </c>
      <c r="AC6" s="265">
        <f t="shared" ref="AC6:AC32" si="1">C6+H6+M6+T6</f>
        <v>23267.892199999998</v>
      </c>
      <c r="AD6" s="265">
        <f t="shared" ref="AD6:AD32" si="2">D6+I6+N6</f>
        <v>16416.669555</v>
      </c>
      <c r="AE6" s="265">
        <f t="shared" ref="AE6:AE32" si="3">E6+J6+O6+V6</f>
        <v>3231</v>
      </c>
      <c r="AF6" s="265">
        <f t="shared" ref="AF6:AF32" si="4">W6</f>
        <v>3264</v>
      </c>
      <c r="AG6" s="265">
        <f t="shared" ref="AG6:AG32" si="5">X6</f>
        <v>2511</v>
      </c>
      <c r="AH6" s="265">
        <f t="shared" ref="AH6:AH32" si="6">Y6</f>
        <v>0</v>
      </c>
      <c r="AI6" s="265">
        <f t="shared" ref="AI6:AI32" si="7">Z6</f>
        <v>0</v>
      </c>
      <c r="AJ6" s="265">
        <f t="shared" ref="AJ6:AJ32" si="8">AA6</f>
        <v>0</v>
      </c>
      <c r="AK6" s="265"/>
      <c r="AL6" s="265"/>
      <c r="AM6" s="265"/>
      <c r="AN6" s="265"/>
      <c r="AO6" s="265"/>
      <c r="AP6" s="265"/>
      <c r="AQ6" s="265"/>
      <c r="AR6" s="265"/>
      <c r="AS6" s="265"/>
    </row>
    <row r="7" spans="1:46" ht="15">
      <c r="A7" s="181" t="s">
        <v>610</v>
      </c>
      <c r="B7" s="130">
        <f ca="1">'1. kiadások össz'!C7</f>
        <v>8261</v>
      </c>
      <c r="C7" s="130">
        <f ca="1">'1. kiadások össz'!D7</f>
        <v>8861</v>
      </c>
      <c r="D7" s="130">
        <f ca="1">'1. kiadások össz'!E7</f>
        <v>7888.2939999999999</v>
      </c>
      <c r="E7" s="130">
        <v>0</v>
      </c>
      <c r="F7" s="130">
        <v>0</v>
      </c>
      <c r="G7" s="90">
        <f ca="1">'1. kiadások össz'!G7</f>
        <v>17434</v>
      </c>
      <c r="H7" s="90">
        <f ca="1">'1. kiadások össz'!H7</f>
        <v>18244</v>
      </c>
      <c r="I7" s="90">
        <f ca="1">'1. kiadások össz'!I7</f>
        <v>16112.258</v>
      </c>
      <c r="J7" s="90">
        <v>0</v>
      </c>
      <c r="K7" s="90">
        <v>0</v>
      </c>
      <c r="L7" s="90">
        <f ca="1">'1. kiadások össz'!K7*0.6333</f>
        <v>11850.309599999999</v>
      </c>
      <c r="M7" s="90">
        <f ca="1">'1. kiadások össz'!L7*0.6333</f>
        <v>11850.309599999999</v>
      </c>
      <c r="N7" s="90">
        <f ca="1">'1. kiadások össz'!M7*0.6333</f>
        <v>7270.8267380999996</v>
      </c>
      <c r="O7" s="90">
        <v>0</v>
      </c>
      <c r="P7" s="90">
        <f ca="1">'1. kiadások össz'!K7*0.3667</f>
        <v>6861.6904000000004</v>
      </c>
      <c r="Q7" s="90">
        <f ca="1">'1. kiadások össz'!L7*0.3667</f>
        <v>6861.6904000000004</v>
      </c>
      <c r="R7" s="90">
        <f ca="1">'1. kiadások össz'!M7*0.3667</f>
        <v>4210.0302619000004</v>
      </c>
      <c r="S7" s="265">
        <f ca="1">SUM('3. szakfeladatok'!BB8:BB34)-'3. szakfeladatok'!BB29-'3. szakfeladatok'!BB34</f>
        <v>90939</v>
      </c>
      <c r="T7" s="265">
        <f ca="1">SUM('3. szakfeladatok'!BC8:BC34)-'3. szakfeladatok'!BC29-'3. szakfeladatok'!BC34</f>
        <v>169071.53100000002</v>
      </c>
      <c r="U7" s="265">
        <f ca="1">SUM('3. szakfeladatok'!BD8:BD34)-'3. szakfeladatok'!BD29-'3. szakfeladatok'!BD34</f>
        <v>158634.59700000001</v>
      </c>
      <c r="V7" s="265">
        <f ca="1">'3. szakfeladatok'!BB34+'3. szakfeladatok'!BB29</f>
        <v>40201</v>
      </c>
      <c r="W7" s="265">
        <f ca="1">'3. szakfeladatok'!BC34+'3. szakfeladatok'!BC29</f>
        <v>40383</v>
      </c>
      <c r="X7" s="265">
        <f ca="1">'3. szakfeladatok'!BD34+'3. szakfeladatok'!BD29</f>
        <v>37266.764999999999</v>
      </c>
      <c r="Y7" s="195">
        <v>0</v>
      </c>
      <c r="Z7" s="195">
        <v>0</v>
      </c>
      <c r="AA7" s="195">
        <v>0</v>
      </c>
      <c r="AB7" s="265">
        <f t="shared" si="0"/>
        <v>37545.309600000001</v>
      </c>
      <c r="AC7" s="265">
        <f t="shared" si="1"/>
        <v>208026.84060000003</v>
      </c>
      <c r="AD7" s="265">
        <f t="shared" si="2"/>
        <v>31271.3787381</v>
      </c>
      <c r="AE7" s="265">
        <f t="shared" si="3"/>
        <v>40201</v>
      </c>
      <c r="AF7" s="265">
        <f t="shared" si="4"/>
        <v>40383</v>
      </c>
      <c r="AG7" s="265">
        <f t="shared" si="5"/>
        <v>37266.764999999999</v>
      </c>
      <c r="AH7" s="265">
        <f t="shared" si="6"/>
        <v>0</v>
      </c>
      <c r="AI7" s="265">
        <f t="shared" si="7"/>
        <v>0</v>
      </c>
      <c r="AJ7" s="265">
        <f t="shared" si="8"/>
        <v>0</v>
      </c>
      <c r="AK7" s="265"/>
      <c r="AL7" s="265"/>
      <c r="AM7" s="265"/>
      <c r="AN7" s="265"/>
      <c r="AO7" s="265"/>
      <c r="AP7" s="265"/>
      <c r="AQ7" s="265"/>
      <c r="AR7" s="265"/>
      <c r="AS7" s="265"/>
    </row>
    <row r="8" spans="1:46" ht="15">
      <c r="A8" s="181" t="s">
        <v>611</v>
      </c>
      <c r="B8" s="130">
        <f ca="1">'1. kiadások össz'!C8</f>
        <v>0</v>
      </c>
      <c r="C8" s="130">
        <f ca="1">'1. kiadások össz'!D8</f>
        <v>0</v>
      </c>
      <c r="D8" s="130">
        <f ca="1">'1. kiadások össz'!E8</f>
        <v>0</v>
      </c>
      <c r="E8" s="130">
        <v>0</v>
      </c>
      <c r="F8" s="130">
        <v>0</v>
      </c>
      <c r="G8" s="90">
        <f ca="1">'1. kiadások össz'!G8</f>
        <v>0</v>
      </c>
      <c r="H8" s="90">
        <f ca="1">'1. kiadások össz'!H8</f>
        <v>0</v>
      </c>
      <c r="I8" s="90">
        <f ca="1">'1. kiadások össz'!I8</f>
        <v>0</v>
      </c>
      <c r="J8" s="90">
        <v>0</v>
      </c>
      <c r="K8" s="90">
        <v>0</v>
      </c>
      <c r="L8" s="90">
        <f ca="1">'1. kiadások össz'!K8*0.6333</f>
        <v>0</v>
      </c>
      <c r="M8" s="90">
        <f ca="1">'1. kiadások össz'!L8*0.6333</f>
        <v>0</v>
      </c>
      <c r="N8" s="90">
        <f ca="1">'1. kiadások össz'!M8*0.6333</f>
        <v>0</v>
      </c>
      <c r="O8" s="90">
        <v>0</v>
      </c>
      <c r="P8" s="90">
        <f ca="1">'1. kiadások össz'!K8*0.3667</f>
        <v>0</v>
      </c>
      <c r="Q8" s="90">
        <f ca="1">'1. kiadások össz'!L8*0.3667</f>
        <v>0</v>
      </c>
      <c r="R8" s="90">
        <f ca="1">'1. kiadások össz'!M8*0.3667</f>
        <v>0</v>
      </c>
      <c r="S8" s="265">
        <f ca="1">SUM('3. szakfeladatok'!BE8:BE34)-'3. szakfeladatok'!BE29-'3. szakfeladatok'!BE34</f>
        <v>26100</v>
      </c>
      <c r="T8" s="265">
        <f ca="1">SUM('3. szakfeladatok'!BF8:BF34)-'3. szakfeladatok'!BF29-'3. szakfeladatok'!BF34</f>
        <v>28422</v>
      </c>
      <c r="U8" s="265">
        <f ca="1">SUM('3. szakfeladatok'!BG8:BG34)-'3. szakfeladatok'!BG29-'3. szakfeladatok'!BG34</f>
        <v>23200.36</v>
      </c>
      <c r="V8" s="265">
        <f ca="1">'3. szakfeladatok'!BE29+'3. szakfeladatok'!BE34</f>
        <v>0</v>
      </c>
      <c r="W8" s="265">
        <f ca="1">'3. szakfeladatok'!BF29+'3. szakfeladatok'!BF34</f>
        <v>0</v>
      </c>
      <c r="X8" s="265">
        <f ca="1">'3. szakfeladatok'!BG29+'3. szakfeladatok'!BG34</f>
        <v>0</v>
      </c>
      <c r="Y8" s="195">
        <v>0</v>
      </c>
      <c r="Z8" s="195">
        <v>0</v>
      </c>
      <c r="AA8" s="195">
        <v>0</v>
      </c>
      <c r="AB8" s="265">
        <f t="shared" si="0"/>
        <v>0</v>
      </c>
      <c r="AC8" s="265">
        <f t="shared" si="1"/>
        <v>28422</v>
      </c>
      <c r="AD8" s="265">
        <f t="shared" si="2"/>
        <v>0</v>
      </c>
      <c r="AE8" s="265">
        <f t="shared" si="3"/>
        <v>0</v>
      </c>
      <c r="AF8" s="265">
        <f t="shared" si="4"/>
        <v>0</v>
      </c>
      <c r="AG8" s="265">
        <f t="shared" si="5"/>
        <v>0</v>
      </c>
      <c r="AH8" s="265">
        <f t="shared" si="6"/>
        <v>0</v>
      </c>
      <c r="AI8" s="265">
        <f t="shared" si="7"/>
        <v>0</v>
      </c>
      <c r="AJ8" s="265">
        <f t="shared" si="8"/>
        <v>0</v>
      </c>
      <c r="AK8" s="265"/>
      <c r="AL8" s="265"/>
      <c r="AM8" s="265"/>
      <c r="AN8" s="265"/>
      <c r="AO8" s="265"/>
      <c r="AP8" s="265"/>
      <c r="AQ8" s="265"/>
      <c r="AR8" s="265"/>
      <c r="AS8" s="265"/>
    </row>
    <row r="9" spans="1:46" ht="15">
      <c r="A9" s="181" t="s">
        <v>612</v>
      </c>
      <c r="B9" s="130">
        <f ca="1">'1. kiadások össz'!C9</f>
        <v>0</v>
      </c>
      <c r="C9" s="130">
        <f ca="1">'1. kiadások össz'!D9</f>
        <v>0</v>
      </c>
      <c r="D9" s="130">
        <f ca="1">'1. kiadások össz'!E9</f>
        <v>0</v>
      </c>
      <c r="E9" s="130">
        <v>0</v>
      </c>
      <c r="F9" s="130">
        <v>0</v>
      </c>
      <c r="G9" s="90">
        <f ca="1">'1. kiadások össz'!G9</f>
        <v>0</v>
      </c>
      <c r="H9" s="90">
        <f ca="1">'1. kiadások össz'!H9</f>
        <v>0</v>
      </c>
      <c r="I9" s="90">
        <f ca="1">'1. kiadások össz'!I9</f>
        <v>0</v>
      </c>
      <c r="J9" s="90">
        <v>0</v>
      </c>
      <c r="K9" s="90">
        <v>0</v>
      </c>
      <c r="L9" s="90">
        <f ca="1">'1. kiadások össz'!K9*0.6333</f>
        <v>0</v>
      </c>
      <c r="M9" s="90">
        <f ca="1">'1. kiadások össz'!L9*0.6333</f>
        <v>0</v>
      </c>
      <c r="N9" s="90">
        <f ca="1">'1. kiadások össz'!M9*0.6333</f>
        <v>0</v>
      </c>
      <c r="O9" s="90">
        <v>0</v>
      </c>
      <c r="P9" s="90">
        <f ca="1">'1. kiadások össz'!K9*0.3667</f>
        <v>0</v>
      </c>
      <c r="Q9" s="90">
        <f ca="1">'1. kiadások össz'!L9*0.3667</f>
        <v>0</v>
      </c>
      <c r="R9" s="90">
        <f ca="1">'1. kiadások össz'!M9*0.3667</f>
        <v>0</v>
      </c>
      <c r="S9" s="265">
        <f ca="1">SUM('3. szakfeladatok'!BH8:BH34)-'3. szakfeladatok'!BH34-'3. szakfeladatok'!BH29</f>
        <v>31571</v>
      </c>
      <c r="T9" s="265">
        <f ca="1">SUM('3. szakfeladatok'!BI8:BI34)-'3. szakfeladatok'!BI34-'3. szakfeladatok'!BI29</f>
        <v>27826</v>
      </c>
      <c r="U9" s="265">
        <f ca="1">SUM('3. szakfeladatok'!BJ8:BJ34)-'3. szakfeladatok'!BJ34-'3. szakfeladatok'!BJ29-1</f>
        <v>13338.293000000001</v>
      </c>
      <c r="V9" s="265">
        <f ca="1">'3. szakfeladatok'!BH34+'3. szakfeladatok'!BG29</f>
        <v>0</v>
      </c>
      <c r="W9" s="265">
        <f ca="1">'3. szakfeladatok'!BI34+'3. szakfeladatok'!BH29</f>
        <v>0</v>
      </c>
      <c r="X9" s="265">
        <f ca="1">'3. szakfeladatok'!BJ34+'3. szakfeladatok'!BI29</f>
        <v>0</v>
      </c>
      <c r="Y9" s="195">
        <v>0</v>
      </c>
      <c r="Z9" s="195">
        <v>0</v>
      </c>
      <c r="AA9" s="195">
        <v>0</v>
      </c>
      <c r="AB9" s="265">
        <f t="shared" si="0"/>
        <v>0</v>
      </c>
      <c r="AC9" s="265">
        <f t="shared" si="1"/>
        <v>27826</v>
      </c>
      <c r="AD9" s="265">
        <f t="shared" si="2"/>
        <v>0</v>
      </c>
      <c r="AE9" s="265">
        <f t="shared" si="3"/>
        <v>0</v>
      </c>
      <c r="AF9" s="265">
        <f t="shared" si="4"/>
        <v>0</v>
      </c>
      <c r="AG9" s="265">
        <f t="shared" si="5"/>
        <v>0</v>
      </c>
      <c r="AH9" s="265">
        <f t="shared" si="6"/>
        <v>0</v>
      </c>
      <c r="AI9" s="265">
        <f t="shared" si="7"/>
        <v>0</v>
      </c>
      <c r="AJ9" s="265">
        <f t="shared" si="8"/>
        <v>0</v>
      </c>
      <c r="AK9" s="265"/>
      <c r="AL9" s="265"/>
      <c r="AM9" s="265"/>
      <c r="AN9" s="265"/>
      <c r="AO9" s="265"/>
      <c r="AP9" s="265"/>
      <c r="AQ9" s="265"/>
      <c r="AR9" s="265"/>
      <c r="AS9" s="265"/>
    </row>
    <row r="10" spans="1:46" ht="30">
      <c r="A10" s="182" t="s">
        <v>906</v>
      </c>
      <c r="B10" s="130">
        <f ca="1">'1. kiadások össz'!C10</f>
        <v>0</v>
      </c>
      <c r="C10" s="130">
        <f ca="1">'1. kiadások össz'!D10</f>
        <v>0</v>
      </c>
      <c r="D10" s="130">
        <f ca="1">'1. kiadások össz'!E10</f>
        <v>0</v>
      </c>
      <c r="E10" s="130">
        <v>0</v>
      </c>
      <c r="F10" s="130">
        <v>0</v>
      </c>
      <c r="G10" s="90">
        <f ca="1">'1. kiadások össz'!G10</f>
        <v>0</v>
      </c>
      <c r="H10" s="90">
        <f ca="1">'1. kiadások össz'!H10</f>
        <v>0</v>
      </c>
      <c r="I10" s="90">
        <f ca="1">'1. kiadások össz'!I10</f>
        <v>0</v>
      </c>
      <c r="J10" s="90">
        <v>0</v>
      </c>
      <c r="K10" s="90">
        <v>0</v>
      </c>
      <c r="L10" s="90">
        <f ca="1">'1. kiadások össz'!K10*0.6333</f>
        <v>0</v>
      </c>
      <c r="M10" s="90">
        <f ca="1">'1. kiadások össz'!L10*0.6333</f>
        <v>0</v>
      </c>
      <c r="N10" s="90">
        <f ca="1">'1. kiadások össz'!M10*0.6333</f>
        <v>0</v>
      </c>
      <c r="O10" s="90">
        <v>0</v>
      </c>
      <c r="P10" s="90">
        <f ca="1">'1. kiadások össz'!K10*0.3667</f>
        <v>0</v>
      </c>
      <c r="Q10" s="90">
        <f ca="1">'1. kiadások össz'!L10*0.3667</f>
        <v>0</v>
      </c>
      <c r="R10" s="90">
        <f ca="1">'1. kiadások össz'!M10*0.3667</f>
        <v>0</v>
      </c>
      <c r="S10" s="265">
        <v>0</v>
      </c>
      <c r="T10" s="265">
        <v>0</v>
      </c>
      <c r="U10" s="265">
        <v>0</v>
      </c>
      <c r="V10" s="265">
        <v>0</v>
      </c>
      <c r="W10" s="265">
        <v>0</v>
      </c>
      <c r="X10" s="265">
        <v>0</v>
      </c>
      <c r="Y10" s="195">
        <v>0</v>
      </c>
      <c r="Z10" s="195">
        <v>0</v>
      </c>
      <c r="AA10" s="195">
        <v>0</v>
      </c>
      <c r="AB10" s="265">
        <f t="shared" si="0"/>
        <v>0</v>
      </c>
      <c r="AC10" s="265">
        <f t="shared" si="1"/>
        <v>0</v>
      </c>
      <c r="AD10" s="265">
        <f t="shared" si="2"/>
        <v>0</v>
      </c>
      <c r="AE10" s="265">
        <f t="shared" si="3"/>
        <v>0</v>
      </c>
      <c r="AF10" s="265">
        <f t="shared" si="4"/>
        <v>0</v>
      </c>
      <c r="AG10" s="265">
        <f t="shared" si="5"/>
        <v>0</v>
      </c>
      <c r="AH10" s="265">
        <f t="shared" si="6"/>
        <v>0</v>
      </c>
      <c r="AI10" s="265">
        <f t="shared" si="7"/>
        <v>0</v>
      </c>
      <c r="AJ10" s="265">
        <f t="shared" si="8"/>
        <v>0</v>
      </c>
      <c r="AK10" s="265"/>
      <c r="AL10" s="265"/>
      <c r="AM10" s="265"/>
      <c r="AN10" s="265"/>
      <c r="AO10" s="265"/>
      <c r="AP10" s="265"/>
      <c r="AQ10" s="265"/>
      <c r="AR10" s="265"/>
      <c r="AS10" s="265"/>
    </row>
    <row r="11" spans="1:46" ht="15">
      <c r="A11" s="182" t="s">
        <v>907</v>
      </c>
      <c r="B11" s="130">
        <f ca="1">'1. kiadások össz'!C11</f>
        <v>0</v>
      </c>
      <c r="C11" s="130">
        <f ca="1">'1. kiadások össz'!D11</f>
        <v>0</v>
      </c>
      <c r="D11" s="130">
        <f ca="1">'1. kiadások össz'!E11</f>
        <v>0</v>
      </c>
      <c r="E11" s="130">
        <v>0</v>
      </c>
      <c r="F11" s="130">
        <v>0</v>
      </c>
      <c r="G11" s="90">
        <f ca="1">'1. kiadások össz'!G11</f>
        <v>0</v>
      </c>
      <c r="H11" s="90">
        <f ca="1">'1. kiadások össz'!H11</f>
        <v>0</v>
      </c>
      <c r="I11" s="90">
        <f ca="1">'1. kiadások össz'!I11</f>
        <v>0</v>
      </c>
      <c r="J11" s="90">
        <v>0</v>
      </c>
      <c r="K11" s="90">
        <v>0</v>
      </c>
      <c r="L11" s="90">
        <f ca="1">'1. kiadások össz'!K11*0.6333</f>
        <v>0</v>
      </c>
      <c r="M11" s="90">
        <f ca="1">'1. kiadások össz'!L11*0.6333</f>
        <v>0</v>
      </c>
      <c r="N11" s="90">
        <f ca="1">'1. kiadások össz'!M11*0.6333</f>
        <v>0</v>
      </c>
      <c r="O11" s="90">
        <v>0</v>
      </c>
      <c r="P11" s="90">
        <f ca="1">'1. kiadások össz'!K11*0.3667</f>
        <v>0</v>
      </c>
      <c r="Q11" s="90">
        <f ca="1">'1. kiadások össz'!L11*0.3667</f>
        <v>0</v>
      </c>
      <c r="R11" s="90">
        <f ca="1">'1. kiadások össz'!M11*0.3667</f>
        <v>0</v>
      </c>
      <c r="S11" s="265">
        <v>0</v>
      </c>
      <c r="T11" s="265">
        <v>0</v>
      </c>
      <c r="U11" s="265">
        <v>0</v>
      </c>
      <c r="V11" s="265">
        <v>0</v>
      </c>
      <c r="W11" s="265">
        <f ca="1">'3. szakfeladatok'!BI36+'3. szakfeladatok'!BH31</f>
        <v>0</v>
      </c>
      <c r="X11" s="265">
        <f ca="1">'3. szakfeladatok'!BJ36+'3. szakfeladatok'!BI31</f>
        <v>0</v>
      </c>
      <c r="Y11" s="195">
        <v>0</v>
      </c>
      <c r="Z11" s="195">
        <v>0</v>
      </c>
      <c r="AA11" s="195">
        <v>0</v>
      </c>
      <c r="AB11" s="265">
        <f t="shared" si="0"/>
        <v>0</v>
      </c>
      <c r="AC11" s="265">
        <f t="shared" si="1"/>
        <v>0</v>
      </c>
      <c r="AD11" s="265">
        <f t="shared" si="2"/>
        <v>0</v>
      </c>
      <c r="AE11" s="265">
        <f t="shared" si="3"/>
        <v>0</v>
      </c>
      <c r="AF11" s="265">
        <f t="shared" si="4"/>
        <v>0</v>
      </c>
      <c r="AG11" s="265">
        <f t="shared" si="5"/>
        <v>0</v>
      </c>
      <c r="AH11" s="265">
        <f t="shared" si="6"/>
        <v>0</v>
      </c>
      <c r="AI11" s="265">
        <f t="shared" si="7"/>
        <v>0</v>
      </c>
      <c r="AJ11" s="265">
        <f t="shared" si="8"/>
        <v>0</v>
      </c>
      <c r="AK11" s="265"/>
      <c r="AL11" s="265"/>
      <c r="AM11" s="265"/>
      <c r="AN11" s="265"/>
      <c r="AO11" s="265"/>
      <c r="AP11" s="265"/>
      <c r="AQ11" s="265"/>
      <c r="AR11" s="265"/>
      <c r="AS11" s="265"/>
    </row>
    <row r="12" spans="1:46" ht="30">
      <c r="A12" s="182" t="s">
        <v>908</v>
      </c>
      <c r="B12" s="130">
        <f ca="1">'1. kiadások össz'!C12</f>
        <v>0</v>
      </c>
      <c r="C12" s="130">
        <f ca="1">'1. kiadások össz'!D12</f>
        <v>0</v>
      </c>
      <c r="D12" s="130">
        <f ca="1">'1. kiadások össz'!E12</f>
        <v>0</v>
      </c>
      <c r="E12" s="130">
        <v>0</v>
      </c>
      <c r="F12" s="130">
        <v>0</v>
      </c>
      <c r="G12" s="90">
        <f ca="1">'1. kiadások össz'!G12</f>
        <v>0</v>
      </c>
      <c r="H12" s="90">
        <f ca="1">'1. kiadások össz'!H12</f>
        <v>0</v>
      </c>
      <c r="I12" s="90">
        <f ca="1">'1. kiadások össz'!I12</f>
        <v>0</v>
      </c>
      <c r="J12" s="90">
        <v>0</v>
      </c>
      <c r="K12" s="90">
        <v>0</v>
      </c>
      <c r="L12" s="90">
        <f ca="1">'1. kiadások össz'!K12*0.6333</f>
        <v>0</v>
      </c>
      <c r="M12" s="90">
        <f ca="1">'1. kiadások össz'!L12*0.6333</f>
        <v>0</v>
      </c>
      <c r="N12" s="90">
        <f ca="1">'1. kiadások össz'!M12*0.6333</f>
        <v>0</v>
      </c>
      <c r="O12" s="90">
        <v>0</v>
      </c>
      <c r="P12" s="90">
        <f ca="1">'1. kiadások össz'!K12*0.3667</f>
        <v>0</v>
      </c>
      <c r="Q12" s="90">
        <f ca="1">'1. kiadások össz'!L12*0.3667</f>
        <v>0</v>
      </c>
      <c r="R12" s="90">
        <f ca="1">'1. kiadások össz'!M12*0.3667</f>
        <v>0</v>
      </c>
      <c r="S12" s="265">
        <v>0</v>
      </c>
      <c r="T12" s="265">
        <v>0</v>
      </c>
      <c r="U12" s="265">
        <v>0</v>
      </c>
      <c r="V12" s="265">
        <v>0</v>
      </c>
      <c r="W12" s="265">
        <v>0</v>
      </c>
      <c r="X12" s="265">
        <v>0</v>
      </c>
      <c r="Y12" s="195">
        <v>0</v>
      </c>
      <c r="Z12" s="195">
        <v>0</v>
      </c>
      <c r="AA12" s="195">
        <v>0</v>
      </c>
      <c r="AB12" s="265">
        <f t="shared" si="0"/>
        <v>0</v>
      </c>
      <c r="AC12" s="265">
        <f t="shared" si="1"/>
        <v>0</v>
      </c>
      <c r="AD12" s="265">
        <f t="shared" si="2"/>
        <v>0</v>
      </c>
      <c r="AE12" s="265">
        <f t="shared" si="3"/>
        <v>0</v>
      </c>
      <c r="AF12" s="265">
        <f t="shared" si="4"/>
        <v>0</v>
      </c>
      <c r="AG12" s="265">
        <f t="shared" si="5"/>
        <v>0</v>
      </c>
      <c r="AH12" s="265">
        <f t="shared" si="6"/>
        <v>0</v>
      </c>
      <c r="AI12" s="265">
        <f t="shared" si="7"/>
        <v>0</v>
      </c>
      <c r="AJ12" s="265">
        <f t="shared" si="8"/>
        <v>0</v>
      </c>
      <c r="AK12" s="265"/>
      <c r="AL12" s="265"/>
      <c r="AM12" s="265"/>
      <c r="AN12" s="265"/>
      <c r="AO12" s="265"/>
      <c r="AP12" s="265"/>
      <c r="AQ12" s="265"/>
      <c r="AR12" s="265"/>
      <c r="AS12" s="265"/>
    </row>
    <row r="13" spans="1:46" ht="30">
      <c r="A13" s="182" t="s">
        <v>909</v>
      </c>
      <c r="B13" s="130">
        <f ca="1">'1. kiadások össz'!C13</f>
        <v>0</v>
      </c>
      <c r="C13" s="130">
        <f ca="1">'1. kiadások össz'!D13</f>
        <v>0</v>
      </c>
      <c r="D13" s="130">
        <f ca="1">'1. kiadások össz'!E13</f>
        <v>0</v>
      </c>
      <c r="E13" s="130">
        <v>0</v>
      </c>
      <c r="F13" s="130">
        <v>0</v>
      </c>
      <c r="G13" s="90">
        <f ca="1">'1. kiadások össz'!G13</f>
        <v>0</v>
      </c>
      <c r="H13" s="90">
        <f ca="1">'1. kiadások össz'!H13</f>
        <v>0</v>
      </c>
      <c r="I13" s="90">
        <f ca="1">'1. kiadások össz'!I13</f>
        <v>0</v>
      </c>
      <c r="J13" s="90">
        <v>0</v>
      </c>
      <c r="K13" s="90">
        <v>0</v>
      </c>
      <c r="L13" s="90">
        <f ca="1">'1. kiadások össz'!K13*0.6333</f>
        <v>0</v>
      </c>
      <c r="M13" s="90">
        <f ca="1">'1. kiadások össz'!L13*0.6333</f>
        <v>0</v>
      </c>
      <c r="N13" s="90">
        <f ca="1">'1. kiadások össz'!M13*0.6333</f>
        <v>0</v>
      </c>
      <c r="O13" s="90">
        <v>0</v>
      </c>
      <c r="P13" s="90">
        <f ca="1">'1. kiadások össz'!K13*0.3667</f>
        <v>0</v>
      </c>
      <c r="Q13" s="90">
        <f ca="1">'1. kiadások össz'!L13*0.3667</f>
        <v>0</v>
      </c>
      <c r="R13" s="90">
        <f ca="1">'1. kiadások össz'!M13*0.3667</f>
        <v>0</v>
      </c>
      <c r="S13" s="265">
        <v>0</v>
      </c>
      <c r="T13" s="265">
        <v>0</v>
      </c>
      <c r="U13" s="265">
        <v>0</v>
      </c>
      <c r="V13" s="265">
        <v>0</v>
      </c>
      <c r="W13" s="265">
        <f ca="1">'3. szakfeladatok'!BI37+'3. szakfeladatok'!BH33</f>
        <v>0</v>
      </c>
      <c r="X13" s="265">
        <f ca="1">'3. szakfeladatok'!BJ37+'3. szakfeladatok'!BI33</f>
        <v>0</v>
      </c>
      <c r="Y13" s="195">
        <v>0</v>
      </c>
      <c r="Z13" s="195">
        <v>0</v>
      </c>
      <c r="AA13" s="195">
        <v>0</v>
      </c>
      <c r="AB13" s="265">
        <f t="shared" si="0"/>
        <v>0</v>
      </c>
      <c r="AC13" s="265">
        <f t="shared" si="1"/>
        <v>0</v>
      </c>
      <c r="AD13" s="265">
        <f t="shared" si="2"/>
        <v>0</v>
      </c>
      <c r="AE13" s="265">
        <f t="shared" si="3"/>
        <v>0</v>
      </c>
      <c r="AF13" s="265">
        <f t="shared" si="4"/>
        <v>0</v>
      </c>
      <c r="AG13" s="265">
        <f t="shared" si="5"/>
        <v>0</v>
      </c>
      <c r="AH13" s="265">
        <f t="shared" si="6"/>
        <v>0</v>
      </c>
      <c r="AI13" s="265">
        <f t="shared" si="7"/>
        <v>0</v>
      </c>
      <c r="AJ13" s="265">
        <f t="shared" si="8"/>
        <v>0</v>
      </c>
      <c r="AK13" s="265"/>
      <c r="AL13" s="265"/>
      <c r="AM13" s="265"/>
      <c r="AN13" s="265"/>
      <c r="AO13" s="265"/>
      <c r="AP13" s="265"/>
      <c r="AQ13" s="265"/>
      <c r="AR13" s="265"/>
      <c r="AS13" s="265"/>
    </row>
    <row r="14" spans="1:46" ht="27">
      <c r="A14" s="183" t="s">
        <v>608</v>
      </c>
      <c r="B14" s="130">
        <f ca="1">'1. kiadások össz'!C14</f>
        <v>0</v>
      </c>
      <c r="C14" s="130">
        <f ca="1">'1. kiadások össz'!D14</f>
        <v>0</v>
      </c>
      <c r="D14" s="130">
        <f ca="1">'1. kiadások össz'!E14</f>
        <v>0</v>
      </c>
      <c r="E14" s="130">
        <v>0</v>
      </c>
      <c r="F14" s="130">
        <v>0</v>
      </c>
      <c r="G14" s="90">
        <f ca="1">'1. kiadások össz'!G14</f>
        <v>0</v>
      </c>
      <c r="H14" s="90">
        <f ca="1">'1. kiadások össz'!H14</f>
        <v>0</v>
      </c>
      <c r="I14" s="90">
        <f ca="1">'1. kiadások össz'!I14</f>
        <v>0</v>
      </c>
      <c r="J14" s="90">
        <v>0</v>
      </c>
      <c r="K14" s="90">
        <v>0</v>
      </c>
      <c r="L14" s="90">
        <f ca="1">'1. kiadások össz'!K14*0.6333</f>
        <v>0</v>
      </c>
      <c r="M14" s="90">
        <f ca="1">'1. kiadások össz'!L14*0.6333</f>
        <v>0</v>
      </c>
      <c r="N14" s="90">
        <f ca="1">'1. kiadások össz'!M14*0.6333</f>
        <v>0</v>
      </c>
      <c r="O14" s="90">
        <v>0</v>
      </c>
      <c r="P14" s="90">
        <f ca="1">'1. kiadások össz'!K14*0.3667</f>
        <v>0</v>
      </c>
      <c r="Q14" s="90">
        <f ca="1">'1. kiadások össz'!L14*0.3667</f>
        <v>0</v>
      </c>
      <c r="R14" s="90">
        <f ca="1">'1. kiadások össz'!M14*0.3667</f>
        <v>0</v>
      </c>
      <c r="S14" s="265">
        <v>106533</v>
      </c>
      <c r="T14" s="265">
        <v>140041</v>
      </c>
      <c r="U14" s="265">
        <v>131685</v>
      </c>
      <c r="V14" s="265">
        <v>0</v>
      </c>
      <c r="W14" s="265">
        <f ca="1">'3. szakfeladatok'!BI38+'3. szakfeladatok'!BH34</f>
        <v>0</v>
      </c>
      <c r="X14" s="265">
        <f ca="1">'3. szakfeladatok'!BJ38+'3. szakfeladatok'!BI34</f>
        <v>0</v>
      </c>
      <c r="Y14" s="195">
        <v>20353</v>
      </c>
      <c r="Z14" s="195">
        <v>0</v>
      </c>
      <c r="AA14" s="195">
        <v>0</v>
      </c>
      <c r="AB14" s="265">
        <f t="shared" si="0"/>
        <v>0</v>
      </c>
      <c r="AC14" s="265">
        <f t="shared" si="1"/>
        <v>140041</v>
      </c>
      <c r="AD14" s="265">
        <f t="shared" si="2"/>
        <v>0</v>
      </c>
      <c r="AE14" s="265">
        <f t="shared" si="3"/>
        <v>0</v>
      </c>
      <c r="AF14" s="265">
        <f t="shared" si="4"/>
        <v>0</v>
      </c>
      <c r="AG14" s="265">
        <f t="shared" si="5"/>
        <v>0</v>
      </c>
      <c r="AH14" s="265">
        <f t="shared" si="6"/>
        <v>20353</v>
      </c>
      <c r="AI14" s="265">
        <f t="shared" si="7"/>
        <v>0</v>
      </c>
      <c r="AJ14" s="265">
        <f t="shared" si="8"/>
        <v>0</v>
      </c>
      <c r="AK14" s="265">
        <f>S14</f>
        <v>106533</v>
      </c>
      <c r="AL14" s="265">
        <f>T14</f>
        <v>140041</v>
      </c>
      <c r="AM14" s="265">
        <f>U14</f>
        <v>131685</v>
      </c>
      <c r="AN14" s="265"/>
      <c r="AO14" s="265"/>
      <c r="AP14" s="265"/>
      <c r="AQ14" s="265">
        <v>20353</v>
      </c>
      <c r="AR14" s="265"/>
      <c r="AS14" s="265"/>
    </row>
    <row r="15" spans="1:46" ht="15">
      <c r="A15" s="184" t="s">
        <v>598</v>
      </c>
      <c r="B15" s="130">
        <f ca="1">'1. kiadások össz'!C15</f>
        <v>133</v>
      </c>
      <c r="C15" s="130">
        <f ca="1">'1. kiadások össz'!D15</f>
        <v>133</v>
      </c>
      <c r="D15" s="130">
        <f ca="1">'1. kiadások össz'!E15</f>
        <v>0</v>
      </c>
      <c r="E15" s="130">
        <v>0</v>
      </c>
      <c r="F15" s="130">
        <v>0</v>
      </c>
      <c r="G15" s="90">
        <f ca="1">'1. kiadások össz'!G15</f>
        <v>130</v>
      </c>
      <c r="H15" s="90">
        <f ca="1">'1. kiadások össz'!H15</f>
        <v>130</v>
      </c>
      <c r="I15" s="90">
        <f ca="1">'1. kiadások össz'!I15</f>
        <v>0</v>
      </c>
      <c r="J15" s="90">
        <v>0</v>
      </c>
      <c r="K15" s="90">
        <v>0</v>
      </c>
      <c r="L15" s="90">
        <f ca="1">'1. kiadások össz'!K15*0.6333</f>
        <v>88.661999999999992</v>
      </c>
      <c r="M15" s="90">
        <f ca="1">'1. kiadások össz'!L15*0.6333</f>
        <v>88.661999999999992</v>
      </c>
      <c r="N15" s="90">
        <f ca="1">'1. kiadások össz'!M15*0.6333</f>
        <v>0</v>
      </c>
      <c r="O15" s="90">
        <v>0</v>
      </c>
      <c r="P15" s="90">
        <f ca="1">'1. kiadások össz'!K15*0.3667</f>
        <v>51.338000000000001</v>
      </c>
      <c r="Q15" s="90">
        <f ca="1">'1. kiadások össz'!L15*0.3667</f>
        <v>51.338000000000001</v>
      </c>
      <c r="R15" s="90">
        <f ca="1">'1. kiadások össz'!M15*0.3667</f>
        <v>0</v>
      </c>
      <c r="S15" s="265">
        <v>37686</v>
      </c>
      <c r="T15" s="265">
        <v>68297</v>
      </c>
      <c r="U15" s="265">
        <v>0</v>
      </c>
      <c r="V15" s="265">
        <v>0</v>
      </c>
      <c r="W15" s="265">
        <v>0</v>
      </c>
      <c r="X15" s="265">
        <v>0</v>
      </c>
      <c r="Y15" s="195">
        <v>0</v>
      </c>
      <c r="Z15" s="195">
        <v>0</v>
      </c>
      <c r="AA15" s="195">
        <v>0</v>
      </c>
      <c r="AB15" s="265">
        <f t="shared" si="0"/>
        <v>351.66199999999998</v>
      </c>
      <c r="AC15" s="265">
        <f t="shared" si="1"/>
        <v>68648.661999999997</v>
      </c>
      <c r="AD15" s="265">
        <f t="shared" si="2"/>
        <v>0</v>
      </c>
      <c r="AE15" s="265">
        <f t="shared" si="3"/>
        <v>0</v>
      </c>
      <c r="AF15" s="265">
        <f t="shared" si="4"/>
        <v>0</v>
      </c>
      <c r="AG15" s="265">
        <f t="shared" si="5"/>
        <v>0</v>
      </c>
      <c r="AH15" s="265">
        <f t="shared" si="6"/>
        <v>0</v>
      </c>
      <c r="AI15" s="265">
        <f t="shared" si="7"/>
        <v>0</v>
      </c>
      <c r="AJ15" s="265">
        <f t="shared" si="8"/>
        <v>0</v>
      </c>
      <c r="AK15" s="265"/>
      <c r="AL15" s="265"/>
      <c r="AM15" s="265"/>
      <c r="AN15" s="265"/>
      <c r="AO15" s="265"/>
      <c r="AP15" s="265"/>
      <c r="AQ15" s="265"/>
      <c r="AR15" s="265"/>
      <c r="AS15" s="265"/>
    </row>
    <row r="16" spans="1:46" ht="15">
      <c r="A16" s="184" t="s">
        <v>599</v>
      </c>
      <c r="B16" s="130">
        <f ca="1">'1. kiadások össz'!C16</f>
        <v>0</v>
      </c>
      <c r="C16" s="130">
        <f ca="1">'1. kiadások össz'!D16</f>
        <v>0</v>
      </c>
      <c r="D16" s="130">
        <f ca="1">'1. kiadások össz'!E16</f>
        <v>0</v>
      </c>
      <c r="E16" s="130">
        <v>0</v>
      </c>
      <c r="F16" s="130">
        <v>0</v>
      </c>
      <c r="G16" s="90">
        <f ca="1">'1. kiadások össz'!G16</f>
        <v>0</v>
      </c>
      <c r="H16" s="90">
        <f ca="1">'1. kiadások össz'!H16</f>
        <v>0</v>
      </c>
      <c r="I16" s="90">
        <f ca="1">'1. kiadások össz'!I16</f>
        <v>0</v>
      </c>
      <c r="J16" s="90">
        <v>0</v>
      </c>
      <c r="K16" s="90">
        <v>0</v>
      </c>
      <c r="L16" s="90">
        <f ca="1">'1. kiadások össz'!K16*0.6333</f>
        <v>0</v>
      </c>
      <c r="M16" s="90">
        <f ca="1">'1. kiadások össz'!L16*0.6333</f>
        <v>0</v>
      </c>
      <c r="N16" s="90">
        <f ca="1">'1. kiadások össz'!M16*0.6333</f>
        <v>0</v>
      </c>
      <c r="O16" s="90">
        <v>0</v>
      </c>
      <c r="P16" s="90">
        <f ca="1">'1. kiadások össz'!K16*0.3667</f>
        <v>0</v>
      </c>
      <c r="Q16" s="90">
        <f ca="1">'1. kiadások össz'!L16*0.3667</f>
        <v>0</v>
      </c>
      <c r="R16" s="90">
        <f ca="1">'1. kiadások össz'!M16*0.3667</f>
        <v>0</v>
      </c>
      <c r="S16" s="265">
        <v>0</v>
      </c>
      <c r="T16" s="265">
        <v>0</v>
      </c>
      <c r="U16" s="265">
        <v>0</v>
      </c>
      <c r="V16" s="265">
        <v>0</v>
      </c>
      <c r="W16" s="265">
        <f ca="1">'3. szakfeladatok'!BI40+'3. szakfeladatok'!BH36</f>
        <v>0</v>
      </c>
      <c r="X16" s="265">
        <f ca="1">'3. szakfeladatok'!BJ40+'3. szakfeladatok'!BI36</f>
        <v>0</v>
      </c>
      <c r="Y16" s="195">
        <v>0</v>
      </c>
      <c r="Z16" s="195">
        <v>0</v>
      </c>
      <c r="AA16" s="195">
        <v>0</v>
      </c>
      <c r="AB16" s="265">
        <f t="shared" si="0"/>
        <v>0</v>
      </c>
      <c r="AC16" s="265">
        <f t="shared" si="1"/>
        <v>0</v>
      </c>
      <c r="AD16" s="265">
        <f t="shared" si="2"/>
        <v>0</v>
      </c>
      <c r="AE16" s="265">
        <f t="shared" si="3"/>
        <v>0</v>
      </c>
      <c r="AF16" s="265">
        <f t="shared" si="4"/>
        <v>0</v>
      </c>
      <c r="AG16" s="265">
        <f t="shared" si="5"/>
        <v>0</v>
      </c>
      <c r="AH16" s="265">
        <f t="shared" si="6"/>
        <v>0</v>
      </c>
      <c r="AI16" s="265">
        <f t="shared" si="7"/>
        <v>0</v>
      </c>
      <c r="AJ16" s="265">
        <f t="shared" si="8"/>
        <v>0</v>
      </c>
      <c r="AK16" s="265"/>
      <c r="AL16" s="265"/>
      <c r="AM16" s="265"/>
      <c r="AN16" s="265"/>
      <c r="AO16" s="265"/>
      <c r="AP16" s="265"/>
      <c r="AQ16" s="265"/>
      <c r="AR16" s="265"/>
      <c r="AS16" s="265"/>
    </row>
    <row r="17" spans="1:45" ht="15">
      <c r="A17" s="44" t="s">
        <v>588</v>
      </c>
      <c r="B17" s="130">
        <f ca="1">'1. kiadások össz'!C17</f>
        <v>47726</v>
      </c>
      <c r="C17" s="130">
        <f ca="1">'1. kiadások össz'!D17</f>
        <v>52738.542000000001</v>
      </c>
      <c r="D17" s="130">
        <f ca="1">'1. kiadások össz'!E17</f>
        <v>50411.334000000003</v>
      </c>
      <c r="E17" s="130">
        <v>0</v>
      </c>
      <c r="F17" s="130">
        <v>0</v>
      </c>
      <c r="G17" s="90">
        <f ca="1">'1. kiadások össz'!G17</f>
        <v>25074</v>
      </c>
      <c r="H17" s="90">
        <f ca="1">'1. kiadások össz'!H17</f>
        <v>25921.414000000001</v>
      </c>
      <c r="I17" s="90">
        <f ca="1">'1. kiadások össz'!I17</f>
        <v>23607.605</v>
      </c>
      <c r="J17" s="90">
        <v>0</v>
      </c>
      <c r="K17" s="90">
        <v>0</v>
      </c>
      <c r="L17" s="90">
        <f ca="1">'1. kiadások össz'!K17*0.6333</f>
        <v>35379.304499999998</v>
      </c>
      <c r="M17" s="90">
        <f ca="1">'1. kiadások össz'!L17*0.6333</f>
        <v>40379.116804799996</v>
      </c>
      <c r="N17" s="90">
        <f ca="1">'1. kiadások össz'!M17*0.6333</f>
        <v>35516.685002400001</v>
      </c>
      <c r="O17" s="90">
        <v>0</v>
      </c>
      <c r="P17" s="90">
        <f ca="1">'1. kiadások össz'!K17*0.3667</f>
        <v>20485.695500000002</v>
      </c>
      <c r="Q17" s="90">
        <f ca="1">'1. kiadások össz'!L17*0.3667</f>
        <v>23380.7391952</v>
      </c>
      <c r="R17" s="90">
        <f ca="1">'1. kiadások össz'!M17*0.3667</f>
        <v>20565.242997600002</v>
      </c>
      <c r="S17" s="265">
        <f ca="1">SUM(S5:S16)</f>
        <v>332593</v>
      </c>
      <c r="T17" s="265">
        <f t="shared" ref="T17:Y17" si="9">SUM(T5:T16)</f>
        <v>469151.53100000002</v>
      </c>
      <c r="U17" s="265">
        <f t="shared" si="9"/>
        <v>361434.989</v>
      </c>
      <c r="V17" s="265">
        <f t="shared" si="9"/>
        <v>56600</v>
      </c>
      <c r="W17" s="265">
        <f ca="1">SUM(W5:W16)</f>
        <v>57433</v>
      </c>
      <c r="X17" s="265">
        <f ca="1">SUM(X5:X16)</f>
        <v>50782.582999999999</v>
      </c>
      <c r="Y17" s="195">
        <f t="shared" si="9"/>
        <v>20353</v>
      </c>
      <c r="Z17" s="195">
        <v>0</v>
      </c>
      <c r="AA17" s="195">
        <v>0</v>
      </c>
      <c r="AB17" s="265">
        <f t="shared" si="0"/>
        <v>108179.3045</v>
      </c>
      <c r="AC17" s="265">
        <f t="shared" si="1"/>
        <v>588190.60380479996</v>
      </c>
      <c r="AD17" s="265">
        <f t="shared" si="2"/>
        <v>109535.6240024</v>
      </c>
      <c r="AE17" s="265">
        <f t="shared" si="3"/>
        <v>56600</v>
      </c>
      <c r="AF17" s="265">
        <f t="shared" si="4"/>
        <v>57433</v>
      </c>
      <c r="AG17" s="265">
        <f t="shared" si="5"/>
        <v>50782.582999999999</v>
      </c>
      <c r="AH17" s="265">
        <f t="shared" si="6"/>
        <v>20353</v>
      </c>
      <c r="AI17" s="265">
        <f t="shared" si="7"/>
        <v>0</v>
      </c>
      <c r="AJ17" s="265">
        <f t="shared" si="8"/>
        <v>0</v>
      </c>
      <c r="AK17" s="265">
        <f t="shared" ref="AK17:AS17" si="10">SUM(AK14:AK16)</f>
        <v>106533</v>
      </c>
      <c r="AL17" s="265">
        <f t="shared" si="10"/>
        <v>140041</v>
      </c>
      <c r="AM17" s="265">
        <f t="shared" si="10"/>
        <v>131685</v>
      </c>
      <c r="AN17" s="265">
        <f t="shared" si="10"/>
        <v>0</v>
      </c>
      <c r="AO17" s="265">
        <f t="shared" si="10"/>
        <v>0</v>
      </c>
      <c r="AP17" s="265">
        <f t="shared" si="10"/>
        <v>0</v>
      </c>
      <c r="AQ17" s="265">
        <v>20353</v>
      </c>
      <c r="AR17" s="265"/>
      <c r="AS17" s="265">
        <f t="shared" si="10"/>
        <v>0</v>
      </c>
    </row>
    <row r="18" spans="1:45" ht="15">
      <c r="A18" s="181" t="s">
        <v>602</v>
      </c>
      <c r="B18" s="130">
        <f ca="1">'1. kiadások össz'!C18</f>
        <v>1524</v>
      </c>
      <c r="C18" s="130">
        <f ca="1">'1. kiadások össz'!D18</f>
        <v>924</v>
      </c>
      <c r="D18" s="130">
        <f ca="1">'1. kiadások össz'!E18</f>
        <v>600.1</v>
      </c>
      <c r="E18" s="130">
        <v>0</v>
      </c>
      <c r="F18" s="130">
        <v>0</v>
      </c>
      <c r="G18" s="90">
        <f ca="1">'1. kiadások össz'!G18</f>
        <v>4826</v>
      </c>
      <c r="H18" s="90">
        <f ca="1">'1. kiadások össz'!H18</f>
        <v>4826</v>
      </c>
      <c r="I18" s="90">
        <f ca="1">'1. kiadások össz'!I18</f>
        <v>961.73</v>
      </c>
      <c r="J18" s="90">
        <v>0</v>
      </c>
      <c r="K18" s="90">
        <v>0</v>
      </c>
      <c r="L18" s="90">
        <f ca="1">'1. kiadások össz'!K18*0.6333</f>
        <v>402.14549999999997</v>
      </c>
      <c r="M18" s="90">
        <f ca="1">'1. kiadások össz'!L18*0.6333</f>
        <v>402.14549999999997</v>
      </c>
      <c r="N18" s="90">
        <f ca="1">'1. kiadások össz'!M18*0.6333</f>
        <v>75.995999999999995</v>
      </c>
      <c r="O18" s="90">
        <v>0</v>
      </c>
      <c r="P18" s="90">
        <f ca="1">'1. kiadások össz'!K18*0.3667</f>
        <v>232.85450000000003</v>
      </c>
      <c r="Q18" s="90">
        <f ca="1">'1. kiadások össz'!L18*0.3667</f>
        <v>232.85450000000003</v>
      </c>
      <c r="R18" s="90">
        <f ca="1">'1. kiadások össz'!M18*0.3667</f>
        <v>44.004000000000005</v>
      </c>
      <c r="S18" s="265">
        <v>78476</v>
      </c>
      <c r="T18" s="265">
        <v>92276</v>
      </c>
      <c r="U18" s="265">
        <v>49187</v>
      </c>
      <c r="V18" s="265">
        <v>180265</v>
      </c>
      <c r="W18" s="265">
        <v>180265</v>
      </c>
      <c r="X18" s="265">
        <v>10692</v>
      </c>
      <c r="Y18" s="195">
        <v>0</v>
      </c>
      <c r="Z18" s="195">
        <v>0</v>
      </c>
      <c r="AA18" s="195">
        <v>0</v>
      </c>
      <c r="AB18" s="265">
        <f t="shared" si="0"/>
        <v>6752.1454999999996</v>
      </c>
      <c r="AC18" s="265">
        <f t="shared" si="1"/>
        <v>98428.145499999999</v>
      </c>
      <c r="AD18" s="265">
        <f t="shared" si="2"/>
        <v>1637.826</v>
      </c>
      <c r="AE18" s="265">
        <f t="shared" si="3"/>
        <v>180265</v>
      </c>
      <c r="AF18" s="265">
        <f t="shared" si="4"/>
        <v>180265</v>
      </c>
      <c r="AG18" s="265">
        <f t="shared" si="5"/>
        <v>10692</v>
      </c>
      <c r="AH18" s="265">
        <f t="shared" si="6"/>
        <v>0</v>
      </c>
      <c r="AI18" s="265">
        <f t="shared" si="7"/>
        <v>0</v>
      </c>
      <c r="AJ18" s="265">
        <f t="shared" si="8"/>
        <v>0</v>
      </c>
      <c r="AK18" s="265"/>
      <c r="AL18" s="265"/>
      <c r="AM18" s="265"/>
      <c r="AN18" s="265"/>
      <c r="AO18" s="265"/>
      <c r="AP18" s="265"/>
      <c r="AQ18" s="265"/>
      <c r="AR18" s="265"/>
      <c r="AS18" s="265"/>
    </row>
    <row r="19" spans="1:45" ht="15">
      <c r="A19" s="181" t="s">
        <v>601</v>
      </c>
      <c r="B19" s="130">
        <f ca="1">'1. kiadások össz'!C19</f>
        <v>0</v>
      </c>
      <c r="C19" s="130">
        <f ca="1">'1. kiadások össz'!D19</f>
        <v>0</v>
      </c>
      <c r="D19" s="130">
        <f ca="1">'1. kiadások össz'!E19</f>
        <v>0</v>
      </c>
      <c r="E19" s="130">
        <v>0</v>
      </c>
      <c r="F19" s="130">
        <v>0</v>
      </c>
      <c r="G19" s="90">
        <f ca="1">'1. kiadások össz'!G19</f>
        <v>0</v>
      </c>
      <c r="H19" s="90">
        <f ca="1">'1. kiadások össz'!H19</f>
        <v>0</v>
      </c>
      <c r="I19" s="90">
        <f ca="1">'1. kiadások össz'!I19</f>
        <v>0</v>
      </c>
      <c r="J19" s="90">
        <v>0</v>
      </c>
      <c r="K19" s="90">
        <v>0</v>
      </c>
      <c r="L19" s="90">
        <f ca="1">'1. kiadások össz'!K19*0.6333</f>
        <v>0</v>
      </c>
      <c r="M19" s="90">
        <f ca="1">'1. kiadások össz'!L19*0.6333</f>
        <v>0</v>
      </c>
      <c r="N19" s="90">
        <f ca="1">'1. kiadások össz'!M19*0.6333</f>
        <v>0</v>
      </c>
      <c r="O19" s="90">
        <v>0</v>
      </c>
      <c r="P19" s="90">
        <f ca="1">'1. kiadások össz'!K19*0.3667</f>
        <v>0</v>
      </c>
      <c r="Q19" s="90">
        <f ca="1">'1. kiadások össz'!L19*0.3667</f>
        <v>0</v>
      </c>
      <c r="R19" s="90">
        <f ca="1">'1. kiadások össz'!M19*0.3667</f>
        <v>0</v>
      </c>
      <c r="S19" s="265">
        <v>0</v>
      </c>
      <c r="T19" s="265">
        <v>0</v>
      </c>
      <c r="U19" s="265">
        <v>0</v>
      </c>
      <c r="V19" s="265">
        <v>0</v>
      </c>
      <c r="W19" s="265">
        <f ca="1">'3. szakfeladatok'!BI43+'3. szakfeladatok'!BH38</f>
        <v>0</v>
      </c>
      <c r="X19" s="265">
        <f ca="1">'3. szakfeladatok'!BJ43+'3. szakfeladatok'!BI38</f>
        <v>0</v>
      </c>
      <c r="Y19" s="195">
        <v>0</v>
      </c>
      <c r="Z19" s="195">
        <v>0</v>
      </c>
      <c r="AA19" s="195">
        <v>0</v>
      </c>
      <c r="AB19" s="265">
        <f t="shared" si="0"/>
        <v>0</v>
      </c>
      <c r="AC19" s="265">
        <f t="shared" si="1"/>
        <v>0</v>
      </c>
      <c r="AD19" s="265">
        <f t="shared" si="2"/>
        <v>0</v>
      </c>
      <c r="AE19" s="265">
        <f t="shared" si="3"/>
        <v>0</v>
      </c>
      <c r="AF19" s="265">
        <f t="shared" si="4"/>
        <v>0</v>
      </c>
      <c r="AG19" s="265">
        <f t="shared" si="5"/>
        <v>0</v>
      </c>
      <c r="AH19" s="265">
        <f t="shared" si="6"/>
        <v>0</v>
      </c>
      <c r="AI19" s="265">
        <f t="shared" si="7"/>
        <v>0</v>
      </c>
      <c r="AJ19" s="265">
        <f t="shared" si="8"/>
        <v>0</v>
      </c>
      <c r="AK19" s="265"/>
      <c r="AL19" s="265"/>
      <c r="AM19" s="265"/>
      <c r="AN19" s="265"/>
      <c r="AO19" s="265"/>
      <c r="AP19" s="265"/>
      <c r="AQ19" s="265"/>
      <c r="AR19" s="265"/>
      <c r="AS19" s="265"/>
    </row>
    <row r="20" spans="1:45" ht="15">
      <c r="A20" s="181" t="s">
        <v>603</v>
      </c>
      <c r="B20" s="130">
        <f ca="1">'1. kiadások össz'!C20</f>
        <v>0</v>
      </c>
      <c r="C20" s="130">
        <f ca="1">'1. kiadások össz'!D20</f>
        <v>0</v>
      </c>
      <c r="D20" s="130">
        <f ca="1">'1. kiadások össz'!E20</f>
        <v>0</v>
      </c>
      <c r="E20" s="130">
        <v>0</v>
      </c>
      <c r="F20" s="130">
        <v>0</v>
      </c>
      <c r="G20" s="90">
        <f ca="1">'1. kiadások össz'!G20</f>
        <v>0</v>
      </c>
      <c r="H20" s="90">
        <f ca="1">'1. kiadások össz'!H20</f>
        <v>0</v>
      </c>
      <c r="I20" s="90">
        <f ca="1">'1. kiadások össz'!I20</f>
        <v>0</v>
      </c>
      <c r="J20" s="90">
        <v>0</v>
      </c>
      <c r="K20" s="90">
        <v>0</v>
      </c>
      <c r="L20" s="90">
        <f ca="1">'1. kiadások össz'!K20*0.6333</f>
        <v>0</v>
      </c>
      <c r="M20" s="90">
        <f ca="1">'1. kiadások össz'!L20*0.6333</f>
        <v>0</v>
      </c>
      <c r="N20" s="90">
        <f ca="1">'1. kiadások össz'!M20*0.6333</f>
        <v>0</v>
      </c>
      <c r="O20" s="90">
        <v>0</v>
      </c>
      <c r="P20" s="90">
        <f ca="1">'1. kiadások össz'!K20*0.3667</f>
        <v>0</v>
      </c>
      <c r="Q20" s="90">
        <f ca="1">'1. kiadások össz'!L20*0.3667</f>
        <v>0</v>
      </c>
      <c r="R20" s="90">
        <f ca="1">'1. kiadások össz'!M20*0.3667</f>
        <v>0</v>
      </c>
      <c r="S20" s="265">
        <v>0</v>
      </c>
      <c r="T20" s="265">
        <v>0</v>
      </c>
      <c r="U20" s="265">
        <v>0</v>
      </c>
      <c r="V20" s="265">
        <v>0</v>
      </c>
      <c r="W20" s="265">
        <f ca="1">'3. szakfeladatok'!BI44+'3. szakfeladatok'!BH39</f>
        <v>0</v>
      </c>
      <c r="X20" s="265">
        <f ca="1">'3. szakfeladatok'!BJ44+'3. szakfeladatok'!BI39</f>
        <v>0</v>
      </c>
      <c r="Y20" s="195">
        <v>0</v>
      </c>
      <c r="Z20" s="195">
        <v>0</v>
      </c>
      <c r="AA20" s="195">
        <v>0</v>
      </c>
      <c r="AB20" s="265">
        <f t="shared" si="0"/>
        <v>0</v>
      </c>
      <c r="AC20" s="265">
        <f t="shared" si="1"/>
        <v>0</v>
      </c>
      <c r="AD20" s="265">
        <f t="shared" si="2"/>
        <v>0</v>
      </c>
      <c r="AE20" s="265">
        <f t="shared" si="3"/>
        <v>0</v>
      </c>
      <c r="AF20" s="265">
        <f t="shared" si="4"/>
        <v>0</v>
      </c>
      <c r="AG20" s="265">
        <f t="shared" si="5"/>
        <v>0</v>
      </c>
      <c r="AH20" s="265">
        <f t="shared" si="6"/>
        <v>0</v>
      </c>
      <c r="AI20" s="265">
        <f t="shared" si="7"/>
        <v>0</v>
      </c>
      <c r="AJ20" s="265">
        <f t="shared" si="8"/>
        <v>0</v>
      </c>
      <c r="AK20" s="265"/>
      <c r="AL20" s="265"/>
      <c r="AM20" s="265"/>
      <c r="AN20" s="265"/>
      <c r="AO20" s="265"/>
      <c r="AP20" s="265"/>
      <c r="AQ20" s="265"/>
      <c r="AR20" s="265"/>
      <c r="AS20" s="265"/>
    </row>
    <row r="21" spans="1:45" ht="45">
      <c r="A21" s="182" t="s">
        <v>910</v>
      </c>
      <c r="B21" s="130">
        <f ca="1">'1. kiadások össz'!C21</f>
        <v>0</v>
      </c>
      <c r="C21" s="130">
        <f ca="1">'1. kiadások össz'!D21</f>
        <v>0</v>
      </c>
      <c r="D21" s="130">
        <f ca="1">'1. kiadások össz'!E21</f>
        <v>0</v>
      </c>
      <c r="E21" s="130">
        <v>0</v>
      </c>
      <c r="F21" s="130">
        <v>0</v>
      </c>
      <c r="G21" s="90">
        <f ca="1">'1. kiadások össz'!G21</f>
        <v>0</v>
      </c>
      <c r="H21" s="90">
        <f ca="1">'1. kiadások össz'!H21</f>
        <v>0</v>
      </c>
      <c r="I21" s="90">
        <f ca="1">'1. kiadások össz'!I21</f>
        <v>0</v>
      </c>
      <c r="J21" s="90">
        <v>0</v>
      </c>
      <c r="K21" s="90">
        <v>0</v>
      </c>
      <c r="L21" s="90">
        <f ca="1">'1. kiadások össz'!K21*0.6333</f>
        <v>0</v>
      </c>
      <c r="M21" s="90">
        <f ca="1">'1. kiadások össz'!L21*0.6333</f>
        <v>0</v>
      </c>
      <c r="N21" s="90">
        <f ca="1">'1. kiadások össz'!M21*0.6333</f>
        <v>0</v>
      </c>
      <c r="O21" s="90">
        <v>0</v>
      </c>
      <c r="P21" s="90">
        <f ca="1">'1. kiadások össz'!K21*0.3667</f>
        <v>0</v>
      </c>
      <c r="Q21" s="90">
        <f ca="1">'1. kiadások össz'!L21*0.3667</f>
        <v>0</v>
      </c>
      <c r="R21" s="90">
        <f ca="1">'1. kiadások össz'!M21*0.3667</f>
        <v>0</v>
      </c>
      <c r="S21" s="265">
        <v>0</v>
      </c>
      <c r="T21" s="265">
        <v>0</v>
      </c>
      <c r="U21" s="265">
        <v>0</v>
      </c>
      <c r="V21" s="265">
        <v>180011</v>
      </c>
      <c r="W21" s="265">
        <v>180011</v>
      </c>
      <c r="X21" s="265">
        <v>10565</v>
      </c>
      <c r="Y21" s="195">
        <v>0</v>
      </c>
      <c r="Z21" s="195">
        <v>0</v>
      </c>
      <c r="AA21" s="195">
        <v>0</v>
      </c>
      <c r="AB21" s="265">
        <f t="shared" si="0"/>
        <v>0</v>
      </c>
      <c r="AC21" s="265">
        <f t="shared" si="1"/>
        <v>0</v>
      </c>
      <c r="AD21" s="265">
        <f t="shared" si="2"/>
        <v>0</v>
      </c>
      <c r="AE21" s="265">
        <f t="shared" si="3"/>
        <v>180011</v>
      </c>
      <c r="AF21" s="265">
        <f t="shared" si="4"/>
        <v>180011</v>
      </c>
      <c r="AG21" s="265">
        <f t="shared" si="5"/>
        <v>10565</v>
      </c>
      <c r="AH21" s="265">
        <f t="shared" si="6"/>
        <v>0</v>
      </c>
      <c r="AI21" s="265">
        <f t="shared" si="7"/>
        <v>0</v>
      </c>
      <c r="AJ21" s="265">
        <f t="shared" si="8"/>
        <v>0</v>
      </c>
      <c r="AK21" s="265"/>
      <c r="AL21" s="265"/>
      <c r="AM21" s="265"/>
      <c r="AN21" s="265"/>
      <c r="AO21" s="265"/>
      <c r="AP21" s="265"/>
      <c r="AQ21" s="265"/>
      <c r="AR21" s="265"/>
      <c r="AS21" s="265"/>
    </row>
    <row r="22" spans="1:45" ht="15">
      <c r="A22" s="182" t="s">
        <v>911</v>
      </c>
      <c r="B22" s="130">
        <f ca="1">'1. kiadások össz'!C22</f>
        <v>0</v>
      </c>
      <c r="C22" s="130">
        <f ca="1">'1. kiadások össz'!D22</f>
        <v>0</v>
      </c>
      <c r="D22" s="130">
        <f ca="1">'1. kiadások össz'!E22</f>
        <v>0</v>
      </c>
      <c r="E22" s="130">
        <v>0</v>
      </c>
      <c r="F22" s="130">
        <v>0</v>
      </c>
      <c r="G22" s="90">
        <f ca="1">'1. kiadások össz'!G22</f>
        <v>0</v>
      </c>
      <c r="H22" s="90">
        <f ca="1">'1. kiadások össz'!H22</f>
        <v>0</v>
      </c>
      <c r="I22" s="90">
        <f ca="1">'1. kiadások össz'!I22</f>
        <v>0</v>
      </c>
      <c r="J22" s="90">
        <v>0</v>
      </c>
      <c r="K22" s="90">
        <v>0</v>
      </c>
      <c r="L22" s="90">
        <f ca="1">'1. kiadások össz'!K22*0.6333</f>
        <v>0</v>
      </c>
      <c r="M22" s="90">
        <f ca="1">'1. kiadások össz'!L22*0.6333</f>
        <v>0</v>
      </c>
      <c r="N22" s="90">
        <f ca="1">'1. kiadások össz'!M22*0.6333</f>
        <v>0</v>
      </c>
      <c r="O22" s="90">
        <v>0</v>
      </c>
      <c r="P22" s="90">
        <f ca="1">'1. kiadások össz'!K22*0.3667</f>
        <v>0</v>
      </c>
      <c r="Q22" s="90">
        <f ca="1">'1. kiadások össz'!L22*0.3667</f>
        <v>0</v>
      </c>
      <c r="R22" s="90">
        <f ca="1">'1. kiadások össz'!M22*0.3667</f>
        <v>0</v>
      </c>
      <c r="S22" s="195">
        <v>0</v>
      </c>
      <c r="T22" s="195">
        <v>0</v>
      </c>
      <c r="U22" s="195">
        <v>0</v>
      </c>
      <c r="V22" s="195"/>
      <c r="W22" s="195">
        <f ca="1">'3. szakfeladatok'!BI46+'3. szakfeladatok'!BH41</f>
        <v>0</v>
      </c>
      <c r="X22" s="195">
        <f ca="1">'3. szakfeladatok'!BJ46+'3. szakfeladatok'!BI41</f>
        <v>0</v>
      </c>
      <c r="Y22" s="195">
        <v>0</v>
      </c>
      <c r="Z22" s="195">
        <v>0</v>
      </c>
      <c r="AA22" s="195">
        <v>0</v>
      </c>
      <c r="AB22" s="265">
        <f t="shared" si="0"/>
        <v>0</v>
      </c>
      <c r="AC22" s="265">
        <f t="shared" si="1"/>
        <v>0</v>
      </c>
      <c r="AD22" s="265">
        <f t="shared" si="2"/>
        <v>0</v>
      </c>
      <c r="AE22" s="265">
        <f t="shared" si="3"/>
        <v>0</v>
      </c>
      <c r="AF22" s="265">
        <f t="shared" si="4"/>
        <v>0</v>
      </c>
      <c r="AG22" s="265">
        <f t="shared" si="5"/>
        <v>0</v>
      </c>
      <c r="AH22" s="265">
        <f t="shared" si="6"/>
        <v>0</v>
      </c>
      <c r="AI22" s="265">
        <f t="shared" si="7"/>
        <v>0</v>
      </c>
      <c r="AJ22" s="265">
        <f t="shared" si="8"/>
        <v>0</v>
      </c>
      <c r="AK22" s="265"/>
      <c r="AL22" s="265"/>
      <c r="AM22" s="265"/>
      <c r="AN22" s="265"/>
      <c r="AO22" s="265"/>
      <c r="AP22" s="265"/>
      <c r="AQ22" s="265"/>
      <c r="AR22" s="265"/>
      <c r="AS22" s="265"/>
    </row>
    <row r="23" spans="1:45" ht="30">
      <c r="A23" s="182" t="s">
        <v>912</v>
      </c>
      <c r="B23" s="130">
        <f ca="1">'1. kiadások össz'!C23</f>
        <v>0</v>
      </c>
      <c r="C23" s="130">
        <f ca="1">'1. kiadások össz'!D23</f>
        <v>0</v>
      </c>
      <c r="D23" s="130">
        <f ca="1">'1. kiadások össz'!E23</f>
        <v>0</v>
      </c>
      <c r="E23" s="130">
        <v>0</v>
      </c>
      <c r="F23" s="130">
        <v>0</v>
      </c>
      <c r="G23" s="90">
        <f ca="1">'1. kiadások össz'!G23</f>
        <v>0</v>
      </c>
      <c r="H23" s="90">
        <f ca="1">'1. kiadások össz'!H23</f>
        <v>0</v>
      </c>
      <c r="I23" s="90">
        <f ca="1">'1. kiadások össz'!I23</f>
        <v>0</v>
      </c>
      <c r="J23" s="90">
        <v>0</v>
      </c>
      <c r="K23" s="90">
        <v>0</v>
      </c>
      <c r="L23" s="90">
        <f ca="1">'1. kiadások össz'!K23*0.6333</f>
        <v>0</v>
      </c>
      <c r="M23" s="90">
        <f ca="1">'1. kiadások össz'!L23*0.6333</f>
        <v>0</v>
      </c>
      <c r="N23" s="90">
        <f ca="1">'1. kiadások össz'!M23*0.6333</f>
        <v>0</v>
      </c>
      <c r="O23" s="90">
        <v>0</v>
      </c>
      <c r="P23" s="90">
        <f ca="1">'1. kiadások össz'!K23*0.3667</f>
        <v>0</v>
      </c>
      <c r="Q23" s="90">
        <f ca="1">'1. kiadások össz'!L23*0.3667</f>
        <v>0</v>
      </c>
      <c r="R23" s="90">
        <f ca="1">'1. kiadások össz'!M23*0.3667</f>
        <v>0</v>
      </c>
      <c r="S23" s="195">
        <v>0</v>
      </c>
      <c r="T23" s="195">
        <v>0</v>
      </c>
      <c r="U23" s="195">
        <v>0</v>
      </c>
      <c r="V23" s="195">
        <v>0</v>
      </c>
      <c r="W23" s="195">
        <f ca="1">'3. szakfeladatok'!BI47+'3. szakfeladatok'!BH42</f>
        <v>0</v>
      </c>
      <c r="X23" s="195">
        <f ca="1">'3. szakfeladatok'!BJ47+'3. szakfeladatok'!BI42</f>
        <v>0</v>
      </c>
      <c r="Y23" s="195">
        <v>0</v>
      </c>
      <c r="Z23" s="195">
        <v>0</v>
      </c>
      <c r="AA23" s="195">
        <v>0</v>
      </c>
      <c r="AB23" s="265">
        <f t="shared" si="0"/>
        <v>0</v>
      </c>
      <c r="AC23" s="265">
        <f t="shared" si="1"/>
        <v>0</v>
      </c>
      <c r="AD23" s="265">
        <f t="shared" si="2"/>
        <v>0</v>
      </c>
      <c r="AE23" s="265">
        <f t="shared" si="3"/>
        <v>0</v>
      </c>
      <c r="AF23" s="265">
        <f t="shared" si="4"/>
        <v>0</v>
      </c>
      <c r="AG23" s="265">
        <f t="shared" si="5"/>
        <v>0</v>
      </c>
      <c r="AH23" s="265">
        <f t="shared" si="6"/>
        <v>0</v>
      </c>
      <c r="AI23" s="265">
        <f t="shared" si="7"/>
        <v>0</v>
      </c>
      <c r="AJ23" s="265">
        <f t="shared" si="8"/>
        <v>0</v>
      </c>
      <c r="AK23" s="265"/>
      <c r="AL23" s="265"/>
      <c r="AM23" s="265"/>
      <c r="AN23" s="265"/>
      <c r="AO23" s="265"/>
      <c r="AP23" s="265"/>
      <c r="AQ23" s="265"/>
      <c r="AR23" s="265"/>
      <c r="AS23" s="265"/>
    </row>
    <row r="24" spans="1:45" ht="30">
      <c r="A24" s="182" t="s">
        <v>913</v>
      </c>
      <c r="B24" s="130">
        <f ca="1">'1. kiadások össz'!C24</f>
        <v>0</v>
      </c>
      <c r="C24" s="130">
        <f ca="1">'1. kiadások össz'!D24</f>
        <v>0</v>
      </c>
      <c r="D24" s="130">
        <f ca="1">'1. kiadások össz'!E24</f>
        <v>0</v>
      </c>
      <c r="E24" s="130">
        <v>0</v>
      </c>
      <c r="F24" s="130">
        <v>0</v>
      </c>
      <c r="G24" s="90">
        <f ca="1">'1. kiadások össz'!G24</f>
        <v>0</v>
      </c>
      <c r="H24" s="90">
        <f ca="1">'1. kiadások össz'!H24</f>
        <v>0</v>
      </c>
      <c r="I24" s="90">
        <f ca="1">'1. kiadások össz'!I24</f>
        <v>0</v>
      </c>
      <c r="J24" s="90">
        <v>0</v>
      </c>
      <c r="K24" s="90">
        <v>0</v>
      </c>
      <c r="L24" s="90">
        <f ca="1">'1. kiadások össz'!K24*0.6333</f>
        <v>0</v>
      </c>
      <c r="M24" s="90">
        <f ca="1">'1. kiadások össz'!L24*0.6333</f>
        <v>0</v>
      </c>
      <c r="N24" s="90">
        <f ca="1">'1. kiadások össz'!M24*0.6333</f>
        <v>0</v>
      </c>
      <c r="O24" s="90">
        <v>0</v>
      </c>
      <c r="P24" s="90">
        <f ca="1">'1. kiadások össz'!K24*0.3667</f>
        <v>0</v>
      </c>
      <c r="Q24" s="90">
        <f ca="1">'1. kiadások össz'!L24*0.3667</f>
        <v>0</v>
      </c>
      <c r="R24" s="90">
        <f ca="1">'1. kiadások össz'!M24*0.3667</f>
        <v>0</v>
      </c>
      <c r="S24" s="195">
        <v>0</v>
      </c>
      <c r="T24" s="195">
        <v>0</v>
      </c>
      <c r="U24" s="195">
        <v>0</v>
      </c>
      <c r="V24" s="195">
        <v>0</v>
      </c>
      <c r="W24" s="195">
        <f ca="1">'3. szakfeladatok'!BI48+'3. szakfeladatok'!BH43</f>
        <v>0</v>
      </c>
      <c r="X24" s="195">
        <f ca="1">'3. szakfeladatok'!BJ48+'3. szakfeladatok'!BI43</f>
        <v>0</v>
      </c>
      <c r="Y24" s="195">
        <v>0</v>
      </c>
      <c r="Z24" s="195">
        <v>0</v>
      </c>
      <c r="AA24" s="195">
        <v>0</v>
      </c>
      <c r="AB24" s="265">
        <f t="shared" si="0"/>
        <v>0</v>
      </c>
      <c r="AC24" s="265">
        <f t="shared" si="1"/>
        <v>0</v>
      </c>
      <c r="AD24" s="265">
        <f t="shared" si="2"/>
        <v>0</v>
      </c>
      <c r="AE24" s="265">
        <f t="shared" si="3"/>
        <v>0</v>
      </c>
      <c r="AF24" s="265">
        <f t="shared" si="4"/>
        <v>0</v>
      </c>
      <c r="AG24" s="265">
        <f t="shared" si="5"/>
        <v>0</v>
      </c>
      <c r="AH24" s="265">
        <f t="shared" si="6"/>
        <v>0</v>
      </c>
      <c r="AI24" s="265">
        <f t="shared" si="7"/>
        <v>0</v>
      </c>
      <c r="AJ24" s="265">
        <f t="shared" si="8"/>
        <v>0</v>
      </c>
      <c r="AK24" s="265"/>
      <c r="AL24" s="265"/>
      <c r="AM24" s="265"/>
      <c r="AN24" s="265"/>
      <c r="AO24" s="265"/>
      <c r="AP24" s="265"/>
      <c r="AQ24" s="265"/>
      <c r="AR24" s="265"/>
      <c r="AS24" s="265"/>
    </row>
    <row r="25" spans="1:45" ht="15">
      <c r="A25" s="184" t="s">
        <v>615</v>
      </c>
      <c r="B25" s="130">
        <f ca="1">'1. kiadások össz'!C25</f>
        <v>0</v>
      </c>
      <c r="C25" s="130">
        <f ca="1">'1. kiadások össz'!D25</f>
        <v>0</v>
      </c>
      <c r="D25" s="130">
        <f ca="1">'1. kiadások össz'!E25</f>
        <v>0</v>
      </c>
      <c r="E25" s="130">
        <v>0</v>
      </c>
      <c r="F25" s="130">
        <v>0</v>
      </c>
      <c r="G25" s="90">
        <f ca="1">'1. kiadások össz'!G25</f>
        <v>0</v>
      </c>
      <c r="H25" s="90">
        <f ca="1">'1. kiadások össz'!H25</f>
        <v>0</v>
      </c>
      <c r="I25" s="90">
        <f ca="1">'1. kiadások össz'!I25</f>
        <v>0</v>
      </c>
      <c r="J25" s="90">
        <v>0</v>
      </c>
      <c r="K25" s="90">
        <v>0</v>
      </c>
      <c r="L25" s="90">
        <f ca="1">'1. kiadások össz'!K25*0.6333</f>
        <v>0</v>
      </c>
      <c r="M25" s="90">
        <f ca="1">'1. kiadások össz'!L25*0.6333</f>
        <v>0</v>
      </c>
      <c r="N25" s="90">
        <f ca="1">'1. kiadások össz'!M25*0.6333</f>
        <v>0</v>
      </c>
      <c r="O25" s="90">
        <v>0</v>
      </c>
      <c r="P25" s="90">
        <f ca="1">'1. kiadások össz'!K25*0.3667</f>
        <v>0</v>
      </c>
      <c r="Q25" s="90">
        <f ca="1">'1. kiadások össz'!L25*0.3667</f>
        <v>0</v>
      </c>
      <c r="R25" s="90">
        <f ca="1">'1. kiadások össz'!M25*0.3667</f>
        <v>0</v>
      </c>
      <c r="S25" s="195">
        <v>0</v>
      </c>
      <c r="T25" s="195">
        <v>0</v>
      </c>
      <c r="U25" s="195">
        <v>0</v>
      </c>
      <c r="V25" s="195">
        <v>0</v>
      </c>
      <c r="W25" s="195">
        <f ca="1">'3. szakfeladatok'!BI49+'3. szakfeladatok'!BH44</f>
        <v>0</v>
      </c>
      <c r="X25" s="195">
        <f ca="1">'3. szakfeladatok'!BJ49+'3. szakfeladatok'!BI44</f>
        <v>0</v>
      </c>
      <c r="Y25" s="195">
        <v>0</v>
      </c>
      <c r="Z25" s="195">
        <v>0</v>
      </c>
      <c r="AA25" s="195">
        <v>0</v>
      </c>
      <c r="AB25" s="265">
        <f t="shared" si="0"/>
        <v>0</v>
      </c>
      <c r="AC25" s="265">
        <f t="shared" si="1"/>
        <v>0</v>
      </c>
      <c r="AD25" s="265">
        <f t="shared" si="2"/>
        <v>0</v>
      </c>
      <c r="AE25" s="265">
        <f t="shared" si="3"/>
        <v>0</v>
      </c>
      <c r="AF25" s="265">
        <f t="shared" si="4"/>
        <v>0</v>
      </c>
      <c r="AG25" s="265">
        <f t="shared" si="5"/>
        <v>0</v>
      </c>
      <c r="AH25" s="265">
        <f t="shared" si="6"/>
        <v>0</v>
      </c>
      <c r="AI25" s="265">
        <f t="shared" si="7"/>
        <v>0</v>
      </c>
      <c r="AJ25" s="265">
        <f t="shared" si="8"/>
        <v>0</v>
      </c>
      <c r="AK25" s="265"/>
      <c r="AL25" s="265"/>
      <c r="AM25" s="265"/>
      <c r="AN25" s="265"/>
      <c r="AO25" s="265"/>
      <c r="AP25" s="265"/>
      <c r="AQ25" s="265"/>
      <c r="AR25" s="265"/>
      <c r="AS25" s="265"/>
    </row>
    <row r="26" spans="1:45" ht="15">
      <c r="A26" s="184" t="s">
        <v>614</v>
      </c>
      <c r="B26" s="130">
        <f ca="1">'1. kiadások össz'!C26</f>
        <v>0</v>
      </c>
      <c r="C26" s="130">
        <f ca="1">'1. kiadások össz'!D26</f>
        <v>0</v>
      </c>
      <c r="D26" s="130">
        <f ca="1">'1. kiadások össz'!E26</f>
        <v>0</v>
      </c>
      <c r="E26" s="130">
        <v>0</v>
      </c>
      <c r="F26" s="130">
        <v>0</v>
      </c>
      <c r="G26" s="90">
        <f ca="1">'1. kiadások össz'!G26</f>
        <v>0</v>
      </c>
      <c r="H26" s="90">
        <f ca="1">'1. kiadások össz'!H26</f>
        <v>0</v>
      </c>
      <c r="I26" s="90">
        <f ca="1">'1. kiadások össz'!I26</f>
        <v>0</v>
      </c>
      <c r="J26" s="90">
        <v>0</v>
      </c>
      <c r="K26" s="90">
        <v>0</v>
      </c>
      <c r="L26" s="90">
        <f ca="1">'1. kiadások össz'!K26*0.6333</f>
        <v>0</v>
      </c>
      <c r="M26" s="90">
        <f ca="1">'1. kiadások össz'!L26*0.6333</f>
        <v>0</v>
      </c>
      <c r="N26" s="90">
        <f ca="1">'1. kiadások össz'!M26*0.6333</f>
        <v>0</v>
      </c>
      <c r="O26" s="90">
        <v>0</v>
      </c>
      <c r="P26" s="90">
        <f ca="1">'1. kiadások össz'!K26*0.3667</f>
        <v>0</v>
      </c>
      <c r="Q26" s="90">
        <f ca="1">'1. kiadások össz'!L26*0.3667</f>
        <v>0</v>
      </c>
      <c r="R26" s="90">
        <f ca="1">'1. kiadások össz'!M26*0.3667</f>
        <v>0</v>
      </c>
      <c r="S26" s="195">
        <v>0</v>
      </c>
      <c r="T26" s="195">
        <v>0</v>
      </c>
      <c r="U26" s="195">
        <v>0</v>
      </c>
      <c r="V26" s="195">
        <v>0</v>
      </c>
      <c r="W26" s="195">
        <f ca="1">'3. szakfeladatok'!BI50+'3. szakfeladatok'!BH45</f>
        <v>0</v>
      </c>
      <c r="X26" s="195">
        <f ca="1">'3. szakfeladatok'!BJ50+'3. szakfeladatok'!BI45</f>
        <v>0</v>
      </c>
      <c r="Y26" s="195">
        <v>0</v>
      </c>
      <c r="Z26" s="195">
        <v>0</v>
      </c>
      <c r="AA26" s="195">
        <v>0</v>
      </c>
      <c r="AB26" s="265">
        <f t="shared" si="0"/>
        <v>0</v>
      </c>
      <c r="AC26" s="265">
        <f t="shared" si="1"/>
        <v>0</v>
      </c>
      <c r="AD26" s="265">
        <f t="shared" si="2"/>
        <v>0</v>
      </c>
      <c r="AE26" s="265">
        <f t="shared" si="3"/>
        <v>0</v>
      </c>
      <c r="AF26" s="265">
        <f t="shared" si="4"/>
        <v>0</v>
      </c>
      <c r="AG26" s="265">
        <f t="shared" si="5"/>
        <v>0</v>
      </c>
      <c r="AH26" s="265">
        <f t="shared" si="6"/>
        <v>0</v>
      </c>
      <c r="AI26" s="265">
        <f t="shared" si="7"/>
        <v>0</v>
      </c>
      <c r="AJ26" s="265">
        <f t="shared" si="8"/>
        <v>0</v>
      </c>
      <c r="AK26" s="265"/>
      <c r="AL26" s="265"/>
      <c r="AM26" s="265"/>
      <c r="AN26" s="265"/>
      <c r="AO26" s="265"/>
      <c r="AP26" s="265"/>
      <c r="AQ26" s="265"/>
      <c r="AR26" s="265"/>
      <c r="AS26" s="265"/>
    </row>
    <row r="27" spans="1:45" ht="27">
      <c r="A27" s="185" t="s">
        <v>607</v>
      </c>
      <c r="B27" s="130">
        <f ca="1">'1. kiadások össz'!C27</f>
        <v>0</v>
      </c>
      <c r="C27" s="130">
        <f ca="1">'1. kiadások össz'!D27</f>
        <v>0</v>
      </c>
      <c r="D27" s="130">
        <f ca="1">'1. kiadások össz'!E27</f>
        <v>0</v>
      </c>
      <c r="E27" s="130">
        <v>0</v>
      </c>
      <c r="F27" s="130">
        <v>0</v>
      </c>
      <c r="G27" s="90">
        <f ca="1">'1. kiadások össz'!G27</f>
        <v>0</v>
      </c>
      <c r="H27" s="90">
        <f ca="1">'1. kiadások össz'!H27</f>
        <v>0</v>
      </c>
      <c r="I27" s="90">
        <f ca="1">'1. kiadások össz'!I27</f>
        <v>0</v>
      </c>
      <c r="J27" s="90">
        <v>0</v>
      </c>
      <c r="K27" s="90">
        <v>0</v>
      </c>
      <c r="L27" s="90">
        <f ca="1">'1. kiadások össz'!K27*0.6333</f>
        <v>0</v>
      </c>
      <c r="M27" s="90">
        <f ca="1">'1. kiadások össz'!L27*0.6333</f>
        <v>0</v>
      </c>
      <c r="N27" s="90">
        <f ca="1">'1. kiadások össz'!M27*0.6333</f>
        <v>0</v>
      </c>
      <c r="O27" s="90">
        <v>0</v>
      </c>
      <c r="P27" s="90">
        <f ca="1">'1. kiadások össz'!K27*0.3667</f>
        <v>0</v>
      </c>
      <c r="Q27" s="90">
        <f ca="1">'1. kiadások össz'!L27*0.3667</f>
        <v>0</v>
      </c>
      <c r="R27" s="90">
        <f ca="1">'1. kiadások össz'!M27*0.3667</f>
        <v>0</v>
      </c>
      <c r="S27" s="195">
        <v>6752</v>
      </c>
      <c r="T27" s="195">
        <v>6385</v>
      </c>
      <c r="U27" s="195">
        <v>1682</v>
      </c>
      <c r="V27" s="195">
        <v>0</v>
      </c>
      <c r="W27" s="195">
        <f ca="1">'3. szakfeladatok'!BI51+'3. szakfeladatok'!BH46</f>
        <v>0</v>
      </c>
      <c r="X27" s="195">
        <f ca="1">'3. szakfeladatok'!BJ51+'3. szakfeladatok'!BI46</f>
        <v>0</v>
      </c>
      <c r="Y27" s="195">
        <v>0</v>
      </c>
      <c r="Z27" s="195">
        <v>0</v>
      </c>
      <c r="AA27" s="195">
        <v>0</v>
      </c>
      <c r="AB27" s="265">
        <f t="shared" si="0"/>
        <v>0</v>
      </c>
      <c r="AC27" s="265">
        <f t="shared" si="1"/>
        <v>6385</v>
      </c>
      <c r="AD27" s="265">
        <f t="shared" si="2"/>
        <v>0</v>
      </c>
      <c r="AE27" s="265">
        <f t="shared" si="3"/>
        <v>0</v>
      </c>
      <c r="AF27" s="265">
        <f t="shared" si="4"/>
        <v>0</v>
      </c>
      <c r="AG27" s="265">
        <f t="shared" si="5"/>
        <v>0</v>
      </c>
      <c r="AH27" s="265">
        <f t="shared" si="6"/>
        <v>0</v>
      </c>
      <c r="AI27" s="265">
        <f t="shared" si="7"/>
        <v>0</v>
      </c>
      <c r="AJ27" s="265">
        <f t="shared" si="8"/>
        <v>0</v>
      </c>
      <c r="AK27" s="265">
        <f>AB27</f>
        <v>0</v>
      </c>
      <c r="AL27" s="265">
        <v>6385</v>
      </c>
      <c r="AM27" s="265">
        <v>1682</v>
      </c>
      <c r="AN27" s="265">
        <f>AE27</f>
        <v>0</v>
      </c>
      <c r="AO27" s="265"/>
      <c r="AP27" s="265"/>
      <c r="AQ27" s="265"/>
      <c r="AR27" s="265"/>
      <c r="AS27" s="265"/>
    </row>
    <row r="28" spans="1:45" ht="15">
      <c r="A28" s="186" t="s">
        <v>604</v>
      </c>
      <c r="B28" s="130">
        <f ca="1">'1. kiadások össz'!C28</f>
        <v>0</v>
      </c>
      <c r="C28" s="130">
        <f ca="1">'1. kiadások össz'!D28</f>
        <v>0</v>
      </c>
      <c r="D28" s="130">
        <f ca="1">'1. kiadások össz'!E28</f>
        <v>0</v>
      </c>
      <c r="E28" s="130">
        <v>0</v>
      </c>
      <c r="F28" s="130">
        <v>0</v>
      </c>
      <c r="G28" s="90">
        <f ca="1">'1. kiadások össz'!G28</f>
        <v>0</v>
      </c>
      <c r="H28" s="90">
        <f ca="1">'1. kiadások össz'!H28</f>
        <v>0</v>
      </c>
      <c r="I28" s="90">
        <f ca="1">'1. kiadások össz'!I28</f>
        <v>0</v>
      </c>
      <c r="J28" s="90">
        <v>0</v>
      </c>
      <c r="K28" s="90">
        <v>0</v>
      </c>
      <c r="L28" s="90">
        <f ca="1">'1. kiadások össz'!K28*0.6333</f>
        <v>0</v>
      </c>
      <c r="M28" s="90">
        <f ca="1">'1. kiadások össz'!L28*0.6333</f>
        <v>0</v>
      </c>
      <c r="N28" s="90">
        <f ca="1">'1. kiadások össz'!M28*0.6333</f>
        <v>0</v>
      </c>
      <c r="O28" s="90">
        <v>0</v>
      </c>
      <c r="P28" s="90">
        <f ca="1">'1. kiadások össz'!K28*0.3667</f>
        <v>0</v>
      </c>
      <c r="Q28" s="90">
        <f ca="1">'1. kiadások össz'!L28*0.3667</f>
        <v>0</v>
      </c>
      <c r="R28" s="90">
        <f ca="1">'1. kiadások össz'!M28*0.3667</f>
        <v>0</v>
      </c>
      <c r="S28" s="195">
        <v>0</v>
      </c>
      <c r="T28" s="195">
        <v>0</v>
      </c>
      <c r="U28" s="195">
        <v>0</v>
      </c>
      <c r="V28" s="195">
        <v>0</v>
      </c>
      <c r="W28" s="195">
        <f ca="1">'3. szakfeladatok'!BI52+'3. szakfeladatok'!BH47</f>
        <v>0</v>
      </c>
      <c r="X28" s="195">
        <f ca="1">'3. szakfeladatok'!BJ52+'3. szakfeladatok'!BI47</f>
        <v>0</v>
      </c>
      <c r="Y28" s="195">
        <v>0</v>
      </c>
      <c r="Z28" s="195">
        <v>0</v>
      </c>
      <c r="AA28" s="195">
        <v>0</v>
      </c>
      <c r="AB28" s="265">
        <f t="shared" si="0"/>
        <v>0</v>
      </c>
      <c r="AC28" s="265">
        <f t="shared" si="1"/>
        <v>0</v>
      </c>
      <c r="AD28" s="265">
        <f t="shared" si="2"/>
        <v>0</v>
      </c>
      <c r="AE28" s="265">
        <f t="shared" si="3"/>
        <v>0</v>
      </c>
      <c r="AF28" s="265">
        <f t="shared" si="4"/>
        <v>0</v>
      </c>
      <c r="AG28" s="265">
        <f t="shared" si="5"/>
        <v>0</v>
      </c>
      <c r="AH28" s="265">
        <f t="shared" si="6"/>
        <v>0</v>
      </c>
      <c r="AI28" s="265">
        <f t="shared" si="7"/>
        <v>0</v>
      </c>
      <c r="AJ28" s="265">
        <f t="shared" si="8"/>
        <v>0</v>
      </c>
      <c r="AK28" s="265"/>
      <c r="AL28" s="265"/>
      <c r="AM28" s="265"/>
      <c r="AN28" s="265"/>
      <c r="AO28" s="265"/>
      <c r="AP28" s="265"/>
      <c r="AQ28" s="265"/>
      <c r="AR28" s="265"/>
      <c r="AS28" s="265"/>
    </row>
    <row r="29" spans="1:45" ht="15">
      <c r="A29" s="186" t="s">
        <v>606</v>
      </c>
      <c r="B29" s="130">
        <f ca="1">'1. kiadások össz'!C29</f>
        <v>0</v>
      </c>
      <c r="C29" s="130">
        <f ca="1">'1. kiadások össz'!D29</f>
        <v>0</v>
      </c>
      <c r="D29" s="130">
        <f ca="1">'1. kiadások össz'!E29</f>
        <v>0</v>
      </c>
      <c r="E29" s="130">
        <v>0</v>
      </c>
      <c r="F29" s="130">
        <v>0</v>
      </c>
      <c r="G29" s="90">
        <f ca="1">'1. kiadások össz'!G29</f>
        <v>0</v>
      </c>
      <c r="H29" s="90">
        <f ca="1">'1. kiadások össz'!H29</f>
        <v>0</v>
      </c>
      <c r="I29" s="90">
        <f ca="1">'1. kiadások össz'!I29</f>
        <v>0</v>
      </c>
      <c r="J29" s="90">
        <v>0</v>
      </c>
      <c r="K29" s="90">
        <v>0</v>
      </c>
      <c r="L29" s="90">
        <f ca="1">'1. kiadások össz'!K29*0.6333</f>
        <v>0</v>
      </c>
      <c r="M29" s="90">
        <f ca="1">'1. kiadások össz'!L29*0.6333</f>
        <v>0</v>
      </c>
      <c r="N29" s="90">
        <f ca="1">'1. kiadások össz'!M29*0.6333</f>
        <v>0</v>
      </c>
      <c r="O29" s="90">
        <v>0</v>
      </c>
      <c r="P29" s="90">
        <f ca="1">'1. kiadások össz'!K29*0.3667</f>
        <v>0</v>
      </c>
      <c r="Q29" s="90">
        <f ca="1">'1. kiadások össz'!L29*0.3667</f>
        <v>0</v>
      </c>
      <c r="R29" s="90">
        <f ca="1">'1. kiadások össz'!M29*0.3667</f>
        <v>0</v>
      </c>
      <c r="S29" s="195">
        <v>0</v>
      </c>
      <c r="T29" s="195">
        <v>0</v>
      </c>
      <c r="U29" s="195">
        <v>0</v>
      </c>
      <c r="V29" s="195">
        <v>0</v>
      </c>
      <c r="W29" s="195">
        <f ca="1">'3. szakfeladatok'!BI53+'3. szakfeladatok'!BH48</f>
        <v>0</v>
      </c>
      <c r="X29" s="195">
        <f ca="1">'3. szakfeladatok'!BJ53+'3. szakfeladatok'!BI48</f>
        <v>0</v>
      </c>
      <c r="Y29" s="195">
        <v>0</v>
      </c>
      <c r="Z29" s="195">
        <v>0</v>
      </c>
      <c r="AA29" s="195">
        <v>0</v>
      </c>
      <c r="AB29" s="265">
        <f t="shared" si="0"/>
        <v>0</v>
      </c>
      <c r="AC29" s="265">
        <f t="shared" si="1"/>
        <v>0</v>
      </c>
      <c r="AD29" s="265">
        <f t="shared" si="2"/>
        <v>0</v>
      </c>
      <c r="AE29" s="265">
        <f t="shared" si="3"/>
        <v>0</v>
      </c>
      <c r="AF29" s="265">
        <f t="shared" si="4"/>
        <v>0</v>
      </c>
      <c r="AG29" s="265">
        <f t="shared" si="5"/>
        <v>0</v>
      </c>
      <c r="AH29" s="265">
        <f t="shared" si="6"/>
        <v>0</v>
      </c>
      <c r="AI29" s="265">
        <f t="shared" si="7"/>
        <v>0</v>
      </c>
      <c r="AJ29" s="265">
        <f t="shared" si="8"/>
        <v>0</v>
      </c>
      <c r="AK29" s="265"/>
      <c r="AL29" s="265"/>
      <c r="AM29" s="265"/>
      <c r="AN29" s="265"/>
      <c r="AO29" s="265"/>
      <c r="AP29" s="265"/>
      <c r="AQ29" s="265"/>
      <c r="AR29" s="265"/>
      <c r="AS29" s="265"/>
    </row>
    <row r="30" spans="1:45" ht="15">
      <c r="A30" s="186" t="s">
        <v>605</v>
      </c>
      <c r="B30" s="130">
        <f ca="1">'1. kiadások össz'!C30</f>
        <v>0</v>
      </c>
      <c r="C30" s="130">
        <f ca="1">'1. kiadások össz'!D30</f>
        <v>0</v>
      </c>
      <c r="D30" s="130">
        <f ca="1">'1. kiadások össz'!E30</f>
        <v>0</v>
      </c>
      <c r="E30" s="130">
        <v>0</v>
      </c>
      <c r="F30" s="130">
        <v>0</v>
      </c>
      <c r="G30" s="90">
        <f ca="1">'1. kiadások össz'!G30</f>
        <v>0</v>
      </c>
      <c r="H30" s="90">
        <f ca="1">'1. kiadások össz'!H30</f>
        <v>0</v>
      </c>
      <c r="I30" s="90">
        <f ca="1">'1. kiadások össz'!I30</f>
        <v>0</v>
      </c>
      <c r="J30" s="90">
        <v>0</v>
      </c>
      <c r="K30" s="90">
        <v>0</v>
      </c>
      <c r="L30" s="90">
        <f ca="1">'1. kiadások össz'!K30*0.6333</f>
        <v>0</v>
      </c>
      <c r="M30" s="90">
        <f ca="1">'1. kiadások össz'!L30*0.6333</f>
        <v>0</v>
      </c>
      <c r="N30" s="90">
        <f ca="1">'1. kiadások össz'!M30*0.6333</f>
        <v>0</v>
      </c>
      <c r="O30" s="90">
        <v>0</v>
      </c>
      <c r="P30" s="90">
        <f ca="1">'1. kiadások össz'!K30*0.3667</f>
        <v>0</v>
      </c>
      <c r="Q30" s="90">
        <f ca="1">'1. kiadások össz'!L30*0.3667</f>
        <v>0</v>
      </c>
      <c r="R30" s="90">
        <f ca="1">'1. kiadások össz'!M30*0.3667</f>
        <v>0</v>
      </c>
      <c r="S30" s="195">
        <v>50000</v>
      </c>
      <c r="T30" s="195">
        <v>50000</v>
      </c>
      <c r="U30" s="195">
        <v>0</v>
      </c>
      <c r="V30" s="195">
        <v>0</v>
      </c>
      <c r="W30" s="195">
        <f ca="1">'3. szakfeladatok'!BI54+'3. szakfeladatok'!BH49</f>
        <v>0</v>
      </c>
      <c r="X30" s="195">
        <f ca="1">'3. szakfeladatok'!BJ54+'3. szakfeladatok'!BI49</f>
        <v>0</v>
      </c>
      <c r="Y30" s="195">
        <v>0</v>
      </c>
      <c r="Z30" s="195">
        <v>0</v>
      </c>
      <c r="AA30" s="195">
        <v>0</v>
      </c>
      <c r="AB30" s="265">
        <f t="shared" si="0"/>
        <v>0</v>
      </c>
      <c r="AC30" s="265">
        <f t="shared" si="1"/>
        <v>50000</v>
      </c>
      <c r="AD30" s="265">
        <f t="shared" si="2"/>
        <v>0</v>
      </c>
      <c r="AE30" s="265">
        <f t="shared" si="3"/>
        <v>0</v>
      </c>
      <c r="AF30" s="265">
        <f t="shared" si="4"/>
        <v>0</v>
      </c>
      <c r="AG30" s="265">
        <f t="shared" si="5"/>
        <v>0</v>
      </c>
      <c r="AH30" s="265">
        <f t="shared" si="6"/>
        <v>0</v>
      </c>
      <c r="AI30" s="265">
        <f t="shared" si="7"/>
        <v>0</v>
      </c>
      <c r="AJ30" s="265">
        <f t="shared" si="8"/>
        <v>0</v>
      </c>
      <c r="AK30" s="265"/>
      <c r="AL30" s="265"/>
      <c r="AM30" s="265"/>
      <c r="AN30" s="265"/>
      <c r="AO30" s="265"/>
      <c r="AP30" s="265"/>
      <c r="AQ30" s="265"/>
      <c r="AR30" s="265"/>
      <c r="AS30" s="265"/>
    </row>
    <row r="31" spans="1:45" ht="15">
      <c r="A31" s="44" t="s">
        <v>589</v>
      </c>
      <c r="B31" s="130">
        <f ca="1">'1. kiadások össz'!C31</f>
        <v>1524</v>
      </c>
      <c r="C31" s="130">
        <f ca="1">'1. kiadások össz'!D31</f>
        <v>924</v>
      </c>
      <c r="D31" s="130">
        <f ca="1">'1. kiadások össz'!E31</f>
        <v>600.1</v>
      </c>
      <c r="E31" s="130">
        <v>0</v>
      </c>
      <c r="F31" s="130">
        <v>0</v>
      </c>
      <c r="G31" s="90">
        <f ca="1">'1. kiadások össz'!G31</f>
        <v>4826</v>
      </c>
      <c r="H31" s="90">
        <f ca="1">'1. kiadások össz'!H31</f>
        <v>4826</v>
      </c>
      <c r="I31" s="90">
        <f ca="1">'1. kiadások össz'!I31</f>
        <v>961.73</v>
      </c>
      <c r="J31" s="90">
        <v>0</v>
      </c>
      <c r="K31" s="90">
        <v>0</v>
      </c>
      <c r="L31" s="90">
        <f ca="1">'1. kiadások össz'!K31*0.6333</f>
        <v>402.14549999999997</v>
      </c>
      <c r="M31" s="90">
        <f ca="1">'1. kiadások össz'!L31*0.6333</f>
        <v>402.14549999999997</v>
      </c>
      <c r="N31" s="90">
        <f ca="1">'1. kiadások össz'!M31*0.6333</f>
        <v>75.995999999999995</v>
      </c>
      <c r="O31" s="90">
        <v>0</v>
      </c>
      <c r="P31" s="90">
        <f ca="1">'1. kiadások össz'!K31*0.3667</f>
        <v>232.85450000000003</v>
      </c>
      <c r="Q31" s="90">
        <f ca="1">'1. kiadások össz'!L31*0.3667</f>
        <v>232.85450000000003</v>
      </c>
      <c r="R31" s="90">
        <f ca="1">'1. kiadások össz'!M31*0.3667</f>
        <v>44.004000000000005</v>
      </c>
      <c r="S31" s="195">
        <f>SUM(S18:S30)</f>
        <v>135228</v>
      </c>
      <c r="T31" s="195">
        <f>SUM(T18:T30)-T27</f>
        <v>142276</v>
      </c>
      <c r="U31" s="195">
        <f>SUM(U18:U30)-U27</f>
        <v>49187</v>
      </c>
      <c r="V31" s="195">
        <f>V18</f>
        <v>180265</v>
      </c>
      <c r="W31" s="195">
        <f>W18</f>
        <v>180265</v>
      </c>
      <c r="X31" s="195">
        <f>SUM(X18:X30)-X21</f>
        <v>10692</v>
      </c>
      <c r="Y31" s="195">
        <v>0</v>
      </c>
      <c r="Z31" s="195">
        <v>0</v>
      </c>
      <c r="AA31" s="195">
        <v>0</v>
      </c>
      <c r="AB31" s="265">
        <f t="shared" si="0"/>
        <v>6752.1454999999996</v>
      </c>
      <c r="AC31" s="265">
        <f t="shared" si="1"/>
        <v>148428.14550000001</v>
      </c>
      <c r="AD31" s="265">
        <f t="shared" si="2"/>
        <v>1637.826</v>
      </c>
      <c r="AE31" s="265">
        <f t="shared" si="3"/>
        <v>180265</v>
      </c>
      <c r="AF31" s="265">
        <f t="shared" si="4"/>
        <v>180265</v>
      </c>
      <c r="AG31" s="265">
        <f t="shared" si="5"/>
        <v>10692</v>
      </c>
      <c r="AH31" s="265">
        <f t="shared" si="6"/>
        <v>0</v>
      </c>
      <c r="AI31" s="265">
        <f t="shared" si="7"/>
        <v>0</v>
      </c>
      <c r="AJ31" s="265">
        <f t="shared" si="8"/>
        <v>0</v>
      </c>
      <c r="AK31" s="265"/>
      <c r="AL31" s="265"/>
      <c r="AM31" s="265"/>
      <c r="AN31" s="265"/>
      <c r="AO31" s="265"/>
      <c r="AP31" s="265"/>
      <c r="AQ31" s="265"/>
      <c r="AR31" s="265"/>
      <c r="AS31" s="265"/>
    </row>
    <row r="32" spans="1:45" ht="31.5" customHeight="1">
      <c r="A32" s="56" t="s">
        <v>600</v>
      </c>
      <c r="B32" s="130">
        <f ca="1">'1. kiadások össz'!C32</f>
        <v>49250</v>
      </c>
      <c r="C32" s="130">
        <f ca="1">'1. kiadások össz'!D32</f>
        <v>53662.542000000001</v>
      </c>
      <c r="D32" s="130">
        <f ca="1">'1. kiadások össz'!E32</f>
        <v>51011.434000000001</v>
      </c>
      <c r="E32" s="130">
        <v>0</v>
      </c>
      <c r="F32" s="130">
        <v>0</v>
      </c>
      <c r="G32" s="90">
        <f ca="1">'1. kiadások össz'!G32</f>
        <v>29900</v>
      </c>
      <c r="H32" s="90">
        <f ca="1">'1. kiadások össz'!H32</f>
        <v>30747.414000000001</v>
      </c>
      <c r="I32" s="90">
        <f ca="1">'1. kiadások össz'!I32</f>
        <v>24569.334999999999</v>
      </c>
      <c r="J32" s="90">
        <v>0</v>
      </c>
      <c r="K32" s="90">
        <v>0</v>
      </c>
      <c r="L32" s="90">
        <f ca="1">'1. kiadások össz'!K32*0.6333</f>
        <v>35781.449999999997</v>
      </c>
      <c r="M32" s="90">
        <f ca="1">'1. kiadások össz'!L32*0.6333</f>
        <v>40781.262304799995</v>
      </c>
      <c r="N32" s="90">
        <f ca="1">'1. kiadások össz'!M32*0.6333</f>
        <v>35592.681002400001</v>
      </c>
      <c r="O32" s="90">
        <v>0</v>
      </c>
      <c r="P32" s="90">
        <f ca="1">'1. kiadások össz'!K32*0.3667</f>
        <v>20718.550000000003</v>
      </c>
      <c r="Q32" s="90">
        <f ca="1">'1. kiadások össz'!L32*0.3667</f>
        <v>23613.593695200001</v>
      </c>
      <c r="R32" s="90">
        <f ca="1">'1. kiadások össz'!M32*0.3667</f>
        <v>20609.246997600003</v>
      </c>
      <c r="S32" s="195">
        <f>S31+S17-S27</f>
        <v>461069</v>
      </c>
      <c r="T32" s="195">
        <f t="shared" ref="T32:Y32" si="11">T31+T17</f>
        <v>611427.53099999996</v>
      </c>
      <c r="U32" s="195">
        <f t="shared" si="11"/>
        <v>410621.989</v>
      </c>
      <c r="V32" s="195">
        <f t="shared" si="11"/>
        <v>236865</v>
      </c>
      <c r="W32" s="195">
        <f t="shared" si="11"/>
        <v>237698</v>
      </c>
      <c r="X32" s="195">
        <f t="shared" si="11"/>
        <v>61474.582999999999</v>
      </c>
      <c r="Y32" s="195">
        <f t="shared" si="11"/>
        <v>20353</v>
      </c>
      <c r="Z32" s="195">
        <v>0</v>
      </c>
      <c r="AA32" s="195">
        <v>0</v>
      </c>
      <c r="AB32" s="265">
        <f t="shared" si="0"/>
        <v>114931.45</v>
      </c>
      <c r="AC32" s="265">
        <f t="shared" si="1"/>
        <v>736618.74930479995</v>
      </c>
      <c r="AD32" s="265">
        <f t="shared" si="2"/>
        <v>111173.4500024</v>
      </c>
      <c r="AE32" s="265">
        <f t="shared" si="3"/>
        <v>236865</v>
      </c>
      <c r="AF32" s="265">
        <f t="shared" si="4"/>
        <v>237698</v>
      </c>
      <c r="AG32" s="265">
        <f t="shared" si="5"/>
        <v>61474.582999999999</v>
      </c>
      <c r="AH32" s="265">
        <f t="shared" si="6"/>
        <v>20353</v>
      </c>
      <c r="AI32" s="265">
        <f t="shared" si="7"/>
        <v>0</v>
      </c>
      <c r="AJ32" s="265">
        <f t="shared" si="8"/>
        <v>0</v>
      </c>
      <c r="AK32" s="265">
        <f t="shared" ref="AK32:AS32" si="12">AK14+AK27</f>
        <v>106533</v>
      </c>
      <c r="AL32" s="265">
        <f t="shared" si="12"/>
        <v>146426</v>
      </c>
      <c r="AM32" s="265">
        <f t="shared" si="12"/>
        <v>133367</v>
      </c>
      <c r="AN32" s="265">
        <f t="shared" si="12"/>
        <v>0</v>
      </c>
      <c r="AO32" s="265">
        <f t="shared" si="12"/>
        <v>0</v>
      </c>
      <c r="AP32" s="265">
        <f>AP14+AP27</f>
        <v>0</v>
      </c>
      <c r="AQ32" s="265">
        <f>AQ14+AQ27</f>
        <v>20353</v>
      </c>
      <c r="AR32" s="265"/>
      <c r="AS32" s="265">
        <f t="shared" si="12"/>
        <v>0</v>
      </c>
    </row>
    <row r="33" spans="1:46" ht="15">
      <c r="A33" s="2"/>
      <c r="B33" s="262"/>
      <c r="C33" s="262"/>
      <c r="D33" s="262"/>
      <c r="E33" s="262"/>
      <c r="F33" s="262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</row>
    <row r="34" spans="1:46" ht="15">
      <c r="A34" s="20"/>
      <c r="B34" s="436" t="s">
        <v>804</v>
      </c>
      <c r="C34" s="436"/>
      <c r="D34" s="436"/>
      <c r="E34" s="436"/>
      <c r="F34" s="436"/>
      <c r="G34" s="437" t="s">
        <v>805</v>
      </c>
      <c r="H34" s="437"/>
      <c r="I34" s="437"/>
      <c r="J34" s="437"/>
      <c r="K34" s="437"/>
      <c r="L34" s="437" t="s">
        <v>806</v>
      </c>
      <c r="M34" s="437"/>
      <c r="N34" s="437"/>
      <c r="O34" s="437"/>
      <c r="P34" s="437"/>
      <c r="Q34" s="226"/>
      <c r="R34" s="226"/>
      <c r="S34" s="437" t="s">
        <v>807</v>
      </c>
      <c r="T34" s="437"/>
      <c r="U34" s="437"/>
      <c r="V34" s="437"/>
      <c r="W34" s="437"/>
      <c r="X34" s="437"/>
      <c r="Y34" s="437"/>
      <c r="Z34" s="226"/>
      <c r="AA34" s="226"/>
      <c r="AB34" s="436" t="s">
        <v>630</v>
      </c>
      <c r="AC34" s="436"/>
      <c r="AD34" s="436"/>
      <c r="AE34" s="436"/>
      <c r="AF34" s="436"/>
      <c r="AG34" s="436"/>
      <c r="AH34" s="436"/>
      <c r="AI34" s="264"/>
      <c r="AJ34" s="264"/>
      <c r="AK34" s="436" t="s">
        <v>850</v>
      </c>
      <c r="AL34" s="436"/>
      <c r="AM34" s="436"/>
      <c r="AN34" s="436"/>
      <c r="AO34" s="436"/>
      <c r="AP34" s="436"/>
      <c r="AQ34" s="436"/>
      <c r="AR34" s="436"/>
      <c r="AS34" s="436"/>
    </row>
    <row r="35" spans="1:46" s="101" customFormat="1" ht="63.75">
      <c r="A35" s="180" t="s">
        <v>905</v>
      </c>
      <c r="B35" s="263" t="s">
        <v>126</v>
      </c>
      <c r="C35" s="263" t="s">
        <v>127</v>
      </c>
      <c r="D35" s="263" t="s">
        <v>128</v>
      </c>
      <c r="E35" s="263" t="s">
        <v>803</v>
      </c>
      <c r="F35" s="263" t="s">
        <v>901</v>
      </c>
      <c r="G35" s="194" t="s">
        <v>126</v>
      </c>
      <c r="H35" s="194" t="s">
        <v>127</v>
      </c>
      <c r="I35" s="194" t="s">
        <v>128</v>
      </c>
      <c r="J35" s="194" t="s">
        <v>803</v>
      </c>
      <c r="K35" s="194" t="s">
        <v>901</v>
      </c>
      <c r="L35" s="194" t="s">
        <v>126</v>
      </c>
      <c r="M35" s="194" t="s">
        <v>127</v>
      </c>
      <c r="N35" s="194" t="s">
        <v>128</v>
      </c>
      <c r="O35" s="194" t="s">
        <v>803</v>
      </c>
      <c r="P35" s="194" t="s">
        <v>129</v>
      </c>
      <c r="Q35" s="194" t="s">
        <v>130</v>
      </c>
      <c r="R35" s="194" t="s">
        <v>131</v>
      </c>
      <c r="S35" s="194" t="s">
        <v>126</v>
      </c>
      <c r="T35" s="194" t="s">
        <v>127</v>
      </c>
      <c r="U35" s="194" t="s">
        <v>128</v>
      </c>
      <c r="V35" s="194" t="s">
        <v>132</v>
      </c>
      <c r="W35" s="194" t="s">
        <v>133</v>
      </c>
      <c r="X35" s="194" t="s">
        <v>135</v>
      </c>
      <c r="Y35" s="194" t="s">
        <v>129</v>
      </c>
      <c r="Z35" s="194" t="s">
        <v>130</v>
      </c>
      <c r="AA35" s="194" t="s">
        <v>129</v>
      </c>
      <c r="AB35" s="263" t="s">
        <v>126</v>
      </c>
      <c r="AC35" s="263" t="s">
        <v>127</v>
      </c>
      <c r="AD35" s="263" t="s">
        <v>128</v>
      </c>
      <c r="AE35" s="263" t="s">
        <v>132</v>
      </c>
      <c r="AF35" s="263" t="s">
        <v>133</v>
      </c>
      <c r="AG35" s="263" t="s">
        <v>135</v>
      </c>
      <c r="AH35" s="263" t="s">
        <v>129</v>
      </c>
      <c r="AI35" s="263" t="s">
        <v>130</v>
      </c>
      <c r="AJ35" s="263" t="s">
        <v>131</v>
      </c>
      <c r="AK35" s="263" t="s">
        <v>126</v>
      </c>
      <c r="AL35" s="263" t="s">
        <v>127</v>
      </c>
      <c r="AM35" s="263" t="s">
        <v>128</v>
      </c>
      <c r="AN35" s="263" t="s">
        <v>132</v>
      </c>
      <c r="AO35" s="263" t="s">
        <v>133</v>
      </c>
      <c r="AP35" s="263" t="s">
        <v>135</v>
      </c>
      <c r="AQ35" s="263" t="s">
        <v>129</v>
      </c>
      <c r="AR35" s="263" t="s">
        <v>130</v>
      </c>
      <c r="AS35" s="263" t="s">
        <v>131</v>
      </c>
      <c r="AT35" s="268"/>
    </row>
    <row r="36" spans="1:46" ht="15">
      <c r="A36" s="182" t="s">
        <v>616</v>
      </c>
      <c r="B36" s="130">
        <f ca="1">'2. bevételek össz'!C5</f>
        <v>0</v>
      </c>
      <c r="C36" s="130">
        <f ca="1">'2. bevételek össz'!D5</f>
        <v>0</v>
      </c>
      <c r="D36" s="130">
        <f ca="1">'2. bevételek össz'!E5</f>
        <v>0</v>
      </c>
      <c r="E36" s="130">
        <v>0</v>
      </c>
      <c r="F36" s="130">
        <v>0</v>
      </c>
      <c r="G36" s="90">
        <f ca="1">'2. bevételek össz'!G5</f>
        <v>0</v>
      </c>
      <c r="H36" s="90">
        <f ca="1">'2. bevételek össz'!H5</f>
        <v>0</v>
      </c>
      <c r="I36" s="90">
        <f ca="1">'2. bevételek össz'!I5</f>
        <v>0</v>
      </c>
      <c r="J36" s="90">
        <v>0</v>
      </c>
      <c r="K36" s="90">
        <v>0</v>
      </c>
      <c r="L36" s="90">
        <f ca="1">'2. bevételek össz'!K5*0.6333</f>
        <v>0</v>
      </c>
      <c r="M36" s="90">
        <f ca="1">'2. bevételek össz'!L5*0.6333</f>
        <v>0</v>
      </c>
      <c r="N36" s="90">
        <f ca="1">'2. bevételek össz'!M5*0.6333</f>
        <v>0</v>
      </c>
      <c r="O36" s="90">
        <v>0</v>
      </c>
      <c r="P36" s="90">
        <f ca="1">'2. bevételek össz'!K5*0.3667</f>
        <v>0</v>
      </c>
      <c r="Q36" s="90">
        <f ca="1">'2. bevételek össz'!L5*0.3667</f>
        <v>0</v>
      </c>
      <c r="R36" s="90">
        <f ca="1">'2. bevételek össz'!M5*0.3667</f>
        <v>0</v>
      </c>
      <c r="S36" s="195">
        <f ca="1">'2. bevételek össz'!O5-50608</f>
        <v>65742</v>
      </c>
      <c r="T36" s="195">
        <v>134850</v>
      </c>
      <c r="U36" s="195">
        <v>168791</v>
      </c>
      <c r="V36" s="195">
        <v>50608</v>
      </c>
      <c r="W36" s="195"/>
      <c r="X36" s="195"/>
      <c r="Y36" s="195">
        <v>0</v>
      </c>
      <c r="Z36" s="195">
        <v>0</v>
      </c>
      <c r="AA36" s="195">
        <v>0</v>
      </c>
      <c r="AB36" s="265">
        <f>B36+G36+L36</f>
        <v>0</v>
      </c>
      <c r="AC36" s="265">
        <f>C36+H36+M36+T36</f>
        <v>134850</v>
      </c>
      <c r="AD36" s="265">
        <f>D36+I36+N36</f>
        <v>0</v>
      </c>
      <c r="AE36" s="265">
        <f>E36+J36+O36+V36</f>
        <v>50608</v>
      </c>
      <c r="AF36" s="265">
        <f>W36</f>
        <v>0</v>
      </c>
      <c r="AG36" s="265">
        <f>X36</f>
        <v>0</v>
      </c>
      <c r="AH36" s="265">
        <f>Y36</f>
        <v>0</v>
      </c>
      <c r="AI36" s="265">
        <f>Z36</f>
        <v>0</v>
      </c>
      <c r="AJ36" s="265">
        <f>AA36</f>
        <v>0</v>
      </c>
      <c r="AK36" s="265"/>
      <c r="AL36" s="265"/>
      <c r="AM36" s="265"/>
      <c r="AN36" s="265"/>
      <c r="AO36" s="265"/>
      <c r="AP36" s="265"/>
      <c r="AQ36" s="265"/>
      <c r="AR36" s="265"/>
      <c r="AS36" s="265"/>
    </row>
    <row r="37" spans="1:46" ht="15">
      <c r="A37" s="187" t="s">
        <v>595</v>
      </c>
      <c r="B37" s="130">
        <f ca="1">'2. bevételek össz'!C6</f>
        <v>0</v>
      </c>
      <c r="C37" s="130">
        <f ca="1">'2. bevételek össz'!D6</f>
        <v>0</v>
      </c>
      <c r="D37" s="130">
        <f ca="1">'2. bevételek össz'!E6</f>
        <v>849</v>
      </c>
      <c r="E37" s="130">
        <v>0</v>
      </c>
      <c r="F37" s="130">
        <v>0</v>
      </c>
      <c r="G37" s="90">
        <f ca="1">'2. bevételek össz'!G6</f>
        <v>1223</v>
      </c>
      <c r="H37" s="90">
        <f ca="1">'2. bevételek össz'!H6</f>
        <v>1223</v>
      </c>
      <c r="I37" s="90">
        <f ca="1">'2. bevételek össz'!I6</f>
        <v>1118.8140000000001</v>
      </c>
      <c r="J37" s="90">
        <v>0</v>
      </c>
      <c r="K37" s="90">
        <v>0</v>
      </c>
      <c r="L37" s="90">
        <f ca="1">'2. bevételek össz'!K6*0.6333</f>
        <v>158.32499999999999</v>
      </c>
      <c r="M37" s="90">
        <f ca="1">'2. bevételek össz'!L6*0.6333</f>
        <v>158.32499999999999</v>
      </c>
      <c r="N37" s="90">
        <f ca="1">'2. bevételek össz'!M6*0.6333</f>
        <v>800.49119999999994</v>
      </c>
      <c r="O37" s="90">
        <v>0</v>
      </c>
      <c r="P37" s="90">
        <f ca="1">'2. bevételek össz'!K6*0.3667</f>
        <v>91.675000000000011</v>
      </c>
      <c r="Q37" s="90">
        <f ca="1">'2. bevételek össz'!L6*0.3667</f>
        <v>91.675000000000011</v>
      </c>
      <c r="R37" s="90">
        <f ca="1">'2. bevételek össz'!M6*0.3667</f>
        <v>463.50880000000001</v>
      </c>
      <c r="S37" s="195">
        <f ca="1">'2. bevételek össz'!O6-'3. szakfeladatok'!$I$29</f>
        <v>95902</v>
      </c>
      <c r="T37" s="195">
        <v>127315</v>
      </c>
      <c r="U37" s="195">
        <v>111830</v>
      </c>
      <c r="V37" s="195">
        <f ca="1">'3. szakfeladatok'!$I$29</f>
        <v>5992</v>
      </c>
      <c r="W37" s="195">
        <v>5992</v>
      </c>
      <c r="X37" s="195">
        <v>3701</v>
      </c>
      <c r="Y37" s="195">
        <v>0</v>
      </c>
      <c r="Z37" s="195">
        <v>0</v>
      </c>
      <c r="AA37" s="195">
        <v>0</v>
      </c>
      <c r="AB37" s="265">
        <f t="shared" ref="AB37:AB63" si="13">B37+G37+L37</f>
        <v>1381.325</v>
      </c>
      <c r="AC37" s="265">
        <f t="shared" ref="AC37:AC63" si="14">C37+H37+M37+T37</f>
        <v>128696.325</v>
      </c>
      <c r="AD37" s="265">
        <f t="shared" ref="AD37:AD63" si="15">D37+I37+N37</f>
        <v>2768.3051999999998</v>
      </c>
      <c r="AE37" s="265">
        <f t="shared" ref="AE37:AE63" si="16">E37+J37+O37+V37</f>
        <v>5992</v>
      </c>
      <c r="AF37" s="265">
        <f t="shared" ref="AF37:AF63" si="17">W37</f>
        <v>5992</v>
      </c>
      <c r="AG37" s="265">
        <f t="shared" ref="AG37:AG63" si="18">X37</f>
        <v>3701</v>
      </c>
      <c r="AH37" s="265">
        <f t="shared" ref="AH37:AH63" si="19">Y37</f>
        <v>0</v>
      </c>
      <c r="AI37" s="265">
        <f t="shared" ref="AI37:AI63" si="20">Z37</f>
        <v>0</v>
      </c>
      <c r="AJ37" s="265">
        <f t="shared" ref="AJ37:AJ63" si="21">AA37</f>
        <v>0</v>
      </c>
      <c r="AK37" s="265"/>
      <c r="AL37" s="265"/>
      <c r="AM37" s="265"/>
      <c r="AN37" s="265"/>
      <c r="AO37" s="265"/>
      <c r="AP37" s="265"/>
      <c r="AQ37" s="265"/>
      <c r="AR37" s="265"/>
      <c r="AS37" s="265"/>
    </row>
    <row r="38" spans="1:46" ht="15">
      <c r="A38" s="187" t="s">
        <v>617</v>
      </c>
      <c r="B38" s="130">
        <f ca="1">'2. bevételek össz'!C7</f>
        <v>0</v>
      </c>
      <c r="C38" s="130">
        <f ca="1">'2. bevételek össz'!D7</f>
        <v>0</v>
      </c>
      <c r="D38" s="130">
        <f ca="1">'2. bevételek össz'!E7</f>
        <v>0</v>
      </c>
      <c r="E38" s="130">
        <v>0</v>
      </c>
      <c r="F38" s="130">
        <v>0</v>
      </c>
      <c r="G38" s="90">
        <f ca="1">'2. bevételek össz'!G7</f>
        <v>0</v>
      </c>
      <c r="H38" s="90">
        <f ca="1">'2. bevételek össz'!H7</f>
        <v>0</v>
      </c>
      <c r="I38" s="90">
        <f ca="1">'2. bevételek össz'!I7</f>
        <v>0</v>
      </c>
      <c r="J38" s="90">
        <v>0</v>
      </c>
      <c r="K38" s="90">
        <v>0</v>
      </c>
      <c r="L38" s="90">
        <f ca="1">'2. bevételek össz'!K7*0.6333</f>
        <v>0</v>
      </c>
      <c r="M38" s="90">
        <f ca="1">'2. bevételek össz'!L7*0.6333</f>
        <v>0</v>
      </c>
      <c r="N38" s="90">
        <f ca="1">'2. bevételek össz'!M7*0.6333</f>
        <v>0</v>
      </c>
      <c r="O38" s="90">
        <v>0</v>
      </c>
      <c r="P38" s="90">
        <f ca="1">'2. bevételek össz'!K7*0.3667</f>
        <v>0</v>
      </c>
      <c r="Q38" s="90">
        <f ca="1">'2. bevételek össz'!L7*0.3667</f>
        <v>0</v>
      </c>
      <c r="R38" s="90">
        <f ca="1">'2. bevételek össz'!M7*0.3667</f>
        <v>0</v>
      </c>
      <c r="S38" s="195">
        <f ca="1">'2. bevételek össz'!O7</f>
        <v>0</v>
      </c>
      <c r="T38" s="195">
        <v>44424</v>
      </c>
      <c r="U38" s="195"/>
      <c r="V38" s="195">
        <v>0</v>
      </c>
      <c r="W38" s="195"/>
      <c r="X38" s="195"/>
      <c r="Y38" s="195">
        <v>0</v>
      </c>
      <c r="Z38" s="195">
        <v>0</v>
      </c>
      <c r="AA38" s="195">
        <v>0</v>
      </c>
      <c r="AB38" s="265">
        <f t="shared" si="13"/>
        <v>0</v>
      </c>
      <c r="AC38" s="265">
        <f t="shared" si="14"/>
        <v>44424</v>
      </c>
      <c r="AD38" s="265">
        <f t="shared" si="15"/>
        <v>0</v>
      </c>
      <c r="AE38" s="265">
        <f t="shared" si="16"/>
        <v>0</v>
      </c>
      <c r="AF38" s="265">
        <f t="shared" si="17"/>
        <v>0</v>
      </c>
      <c r="AG38" s="265">
        <f t="shared" si="18"/>
        <v>0</v>
      </c>
      <c r="AH38" s="265">
        <f t="shared" si="19"/>
        <v>0</v>
      </c>
      <c r="AI38" s="265">
        <f t="shared" si="20"/>
        <v>0</v>
      </c>
      <c r="AJ38" s="265">
        <f t="shared" si="21"/>
        <v>0</v>
      </c>
      <c r="AK38" s="265"/>
      <c r="AL38" s="265"/>
      <c r="AM38" s="265"/>
      <c r="AN38" s="265"/>
      <c r="AO38" s="265"/>
      <c r="AP38" s="265"/>
      <c r="AQ38" s="265"/>
      <c r="AR38" s="265"/>
      <c r="AS38" s="265"/>
    </row>
    <row r="39" spans="1:46" ht="15">
      <c r="A39" s="187" t="s">
        <v>584</v>
      </c>
      <c r="B39" s="130">
        <f ca="1">'2. bevételek össz'!C8</f>
        <v>0</v>
      </c>
      <c r="C39" s="130">
        <f ca="1">'2. bevételek össz'!D8</f>
        <v>0</v>
      </c>
      <c r="D39" s="130">
        <f ca="1">'2. bevételek össz'!E8</f>
        <v>0</v>
      </c>
      <c r="E39" s="130"/>
      <c r="F39" s="130">
        <v>0</v>
      </c>
      <c r="G39" s="90">
        <f ca="1">'2. bevételek össz'!G8</f>
        <v>0</v>
      </c>
      <c r="H39" s="90">
        <f ca="1">'2. bevételek össz'!H8</f>
        <v>0</v>
      </c>
      <c r="I39" s="90">
        <f ca="1">'2. bevételek össz'!I8</f>
        <v>0</v>
      </c>
      <c r="J39" s="90">
        <v>0</v>
      </c>
      <c r="K39" s="90">
        <v>0</v>
      </c>
      <c r="L39" s="90">
        <f ca="1">'2. bevételek össz'!K8*0.6333</f>
        <v>0</v>
      </c>
      <c r="M39" s="90">
        <f ca="1">'2. bevételek össz'!L8*0.6333</f>
        <v>0</v>
      </c>
      <c r="N39" s="90">
        <f ca="1">'2. bevételek össz'!M8*0.6333</f>
        <v>0</v>
      </c>
      <c r="O39" s="90">
        <v>0</v>
      </c>
      <c r="P39" s="90">
        <f ca="1">'2. bevételek össz'!K8*0.3667</f>
        <v>0</v>
      </c>
      <c r="Q39" s="90">
        <f ca="1">'2. bevételek össz'!L8*0.3667</f>
        <v>0</v>
      </c>
      <c r="R39" s="90">
        <f ca="1">'2. bevételek össz'!M8*0.3667</f>
        <v>0</v>
      </c>
      <c r="S39" s="195">
        <f ca="1">'2. bevételek össz'!O8-20353</f>
        <v>24071</v>
      </c>
      <c r="T39" s="195"/>
      <c r="U39" s="195"/>
      <c r="V39" s="195">
        <v>0</v>
      </c>
      <c r="W39" s="195"/>
      <c r="X39" s="195"/>
      <c r="Y39" s="195">
        <v>20353</v>
      </c>
      <c r="Z39" s="195">
        <v>0</v>
      </c>
      <c r="AA39" s="195">
        <v>0</v>
      </c>
      <c r="AB39" s="265">
        <f t="shared" si="13"/>
        <v>0</v>
      </c>
      <c r="AC39" s="265">
        <f t="shared" si="14"/>
        <v>0</v>
      </c>
      <c r="AD39" s="265">
        <f t="shared" si="15"/>
        <v>0</v>
      </c>
      <c r="AE39" s="265">
        <f t="shared" si="16"/>
        <v>0</v>
      </c>
      <c r="AF39" s="265">
        <f t="shared" si="17"/>
        <v>0</v>
      </c>
      <c r="AG39" s="265">
        <f t="shared" si="18"/>
        <v>0</v>
      </c>
      <c r="AH39" s="265">
        <f t="shared" si="19"/>
        <v>20353</v>
      </c>
      <c r="AI39" s="265">
        <f t="shared" si="20"/>
        <v>0</v>
      </c>
      <c r="AJ39" s="265">
        <f t="shared" si="21"/>
        <v>0</v>
      </c>
      <c r="AK39" s="265"/>
      <c r="AL39" s="265"/>
      <c r="AM39" s="265"/>
      <c r="AN39" s="265"/>
      <c r="AO39" s="265"/>
      <c r="AP39" s="265"/>
      <c r="AQ39" s="265">
        <v>20353</v>
      </c>
      <c r="AR39" s="265"/>
      <c r="AS39" s="265"/>
    </row>
    <row r="40" spans="1:46" ht="45">
      <c r="A40" s="187" t="s">
        <v>582</v>
      </c>
      <c r="B40" s="130">
        <f ca="1">'2. bevételek össz'!C9</f>
        <v>0</v>
      </c>
      <c r="C40" s="130">
        <f ca="1">'2. bevételek össz'!D9</f>
        <v>0</v>
      </c>
      <c r="D40" s="130">
        <f ca="1">'2. bevételek össz'!E9</f>
        <v>0</v>
      </c>
      <c r="E40" s="130">
        <v>0</v>
      </c>
      <c r="F40" s="130">
        <v>0</v>
      </c>
      <c r="G40" s="90">
        <f ca="1">'2. bevételek össz'!G9</f>
        <v>0</v>
      </c>
      <c r="H40" s="90">
        <f ca="1">'2. bevételek össz'!H9</f>
        <v>0</v>
      </c>
      <c r="I40" s="90">
        <f ca="1">'2. bevételek össz'!I9</f>
        <v>0</v>
      </c>
      <c r="J40" s="90">
        <v>0</v>
      </c>
      <c r="K40" s="90">
        <v>0</v>
      </c>
      <c r="L40" s="90">
        <f ca="1">'2. bevételek össz'!K9*0.6333</f>
        <v>0</v>
      </c>
      <c r="M40" s="90">
        <f ca="1">'2. bevételek össz'!L9*0.6333</f>
        <v>0</v>
      </c>
      <c r="N40" s="90">
        <f ca="1">'2. bevételek össz'!M9*0.6333</f>
        <v>0</v>
      </c>
      <c r="O40" s="90">
        <v>0</v>
      </c>
      <c r="P40" s="90">
        <f ca="1">'2. bevételek össz'!K9*0.3667</f>
        <v>0</v>
      </c>
      <c r="Q40" s="90">
        <f ca="1">'2. bevételek össz'!L9*0.3667</f>
        <v>0</v>
      </c>
      <c r="R40" s="90">
        <f ca="1">'2. bevételek össz'!M9*0.3667</f>
        <v>0</v>
      </c>
      <c r="S40" s="195">
        <f ca="1">'2. bevételek össz'!O9</f>
        <v>122981</v>
      </c>
      <c r="T40" s="195">
        <v>203907</v>
      </c>
      <c r="U40" s="195">
        <v>190100</v>
      </c>
      <c r="V40" s="195">
        <v>0</v>
      </c>
      <c r="W40" s="195"/>
      <c r="X40" s="195"/>
      <c r="Y40" s="195">
        <v>0</v>
      </c>
      <c r="Z40" s="195">
        <v>0</v>
      </c>
      <c r="AA40" s="195">
        <v>0</v>
      </c>
      <c r="AB40" s="265">
        <f t="shared" si="13"/>
        <v>0</v>
      </c>
      <c r="AC40" s="265">
        <f t="shared" si="14"/>
        <v>203907</v>
      </c>
      <c r="AD40" s="265">
        <f t="shared" si="15"/>
        <v>0</v>
      </c>
      <c r="AE40" s="265">
        <f t="shared" si="16"/>
        <v>0</v>
      </c>
      <c r="AF40" s="265">
        <f t="shared" si="17"/>
        <v>0</v>
      </c>
      <c r="AG40" s="265">
        <f t="shared" si="18"/>
        <v>0</v>
      </c>
      <c r="AH40" s="265">
        <f t="shared" si="19"/>
        <v>0</v>
      </c>
      <c r="AI40" s="265">
        <f t="shared" si="20"/>
        <v>0</v>
      </c>
      <c r="AJ40" s="265">
        <f t="shared" si="21"/>
        <v>0</v>
      </c>
      <c r="AK40" s="265"/>
      <c r="AL40" s="265"/>
      <c r="AM40" s="265"/>
      <c r="AN40" s="265"/>
      <c r="AO40" s="265"/>
      <c r="AP40" s="265"/>
      <c r="AQ40" s="265"/>
      <c r="AR40" s="265"/>
      <c r="AS40" s="265"/>
    </row>
    <row r="41" spans="1:46" ht="15">
      <c r="A41" s="20" t="s">
        <v>586</v>
      </c>
      <c r="B41" s="130">
        <f ca="1">'2. bevételek össz'!C10</f>
        <v>0</v>
      </c>
      <c r="C41" s="130">
        <f ca="1">'2. bevételek össz'!D10</f>
        <v>0</v>
      </c>
      <c r="D41" s="130">
        <f ca="1">'2. bevételek össz'!E10</f>
        <v>0</v>
      </c>
      <c r="E41" s="130">
        <v>0</v>
      </c>
      <c r="F41" s="130">
        <v>0</v>
      </c>
      <c r="G41" s="90">
        <f ca="1">'2. bevételek össz'!G10</f>
        <v>0</v>
      </c>
      <c r="H41" s="90">
        <f ca="1">'2. bevételek össz'!H10</f>
        <v>0</v>
      </c>
      <c r="I41" s="90">
        <f ca="1">'2. bevételek össz'!I10</f>
        <v>0</v>
      </c>
      <c r="J41" s="90">
        <v>0</v>
      </c>
      <c r="K41" s="90">
        <v>0</v>
      </c>
      <c r="L41" s="90">
        <f ca="1">'2. bevételek össz'!K10*0.6333</f>
        <v>0</v>
      </c>
      <c r="M41" s="90">
        <f ca="1">'2. bevételek össz'!L10*0.6333</f>
        <v>0</v>
      </c>
      <c r="N41" s="90">
        <f ca="1">'2. bevételek össz'!M10*0.6333</f>
        <v>0</v>
      </c>
      <c r="O41" s="90">
        <v>0</v>
      </c>
      <c r="P41" s="90">
        <f ca="1">'2. bevételek össz'!K10*0.3667</f>
        <v>0</v>
      </c>
      <c r="Q41" s="90">
        <f ca="1">'2. bevételek össz'!L10*0.3667</f>
        <v>0</v>
      </c>
      <c r="R41" s="90">
        <f ca="1">'2. bevételek össz'!M10*0.3667</f>
        <v>0</v>
      </c>
      <c r="S41" s="195">
        <f ca="1">'2. bevételek össz'!O10</f>
        <v>0</v>
      </c>
      <c r="T41" s="195"/>
      <c r="U41" s="195"/>
      <c r="V41" s="195">
        <v>0</v>
      </c>
      <c r="W41" s="195"/>
      <c r="X41" s="195"/>
      <c r="Y41" s="195">
        <v>0</v>
      </c>
      <c r="Z41" s="195">
        <v>0</v>
      </c>
      <c r="AA41" s="195">
        <v>0</v>
      </c>
      <c r="AB41" s="265">
        <f t="shared" si="13"/>
        <v>0</v>
      </c>
      <c r="AC41" s="265">
        <f t="shared" si="14"/>
        <v>0</v>
      </c>
      <c r="AD41" s="265">
        <f t="shared" si="15"/>
        <v>0</v>
      </c>
      <c r="AE41" s="265">
        <f t="shared" si="16"/>
        <v>0</v>
      </c>
      <c r="AF41" s="265">
        <f t="shared" si="17"/>
        <v>0</v>
      </c>
      <c r="AG41" s="265">
        <f t="shared" si="18"/>
        <v>0</v>
      </c>
      <c r="AH41" s="265">
        <f t="shared" si="19"/>
        <v>0</v>
      </c>
      <c r="AI41" s="265">
        <f t="shared" si="20"/>
        <v>0</v>
      </c>
      <c r="AJ41" s="265">
        <f t="shared" si="21"/>
        <v>0</v>
      </c>
      <c r="AK41" s="265"/>
      <c r="AL41" s="265"/>
      <c r="AM41" s="265"/>
      <c r="AN41" s="265"/>
      <c r="AO41" s="265"/>
      <c r="AP41" s="265"/>
      <c r="AQ41" s="265"/>
      <c r="AR41" s="265"/>
      <c r="AS41" s="265"/>
    </row>
    <row r="42" spans="1:46" ht="15">
      <c r="A42" s="188" t="s">
        <v>621</v>
      </c>
      <c r="B42" s="130">
        <f ca="1">'2. bevételek össz'!C11</f>
        <v>0</v>
      </c>
      <c r="C42" s="130">
        <f ca="1">'2. bevételek össz'!D11</f>
        <v>0</v>
      </c>
      <c r="D42" s="130">
        <f ca="1">'2. bevételek össz'!E11</f>
        <v>0</v>
      </c>
      <c r="E42" s="130">
        <v>0</v>
      </c>
      <c r="F42" s="130">
        <v>0</v>
      </c>
      <c r="G42" s="90">
        <f ca="1">'2. bevételek össz'!G11</f>
        <v>1223</v>
      </c>
      <c r="H42" s="90">
        <f ca="1">'2. bevételek össz'!H11</f>
        <v>1223</v>
      </c>
      <c r="I42" s="90">
        <f ca="1">'2. bevételek össz'!I11</f>
        <v>1118.8140000000001</v>
      </c>
      <c r="J42" s="90">
        <v>0</v>
      </c>
      <c r="K42" s="90">
        <v>0</v>
      </c>
      <c r="L42" s="90">
        <f ca="1">'2. bevételek össz'!K11*0.6333</f>
        <v>158.32499999999999</v>
      </c>
      <c r="M42" s="90">
        <f ca="1">'2. bevételek össz'!L11*0.6333</f>
        <v>158.32499999999999</v>
      </c>
      <c r="N42" s="90">
        <f ca="1">'2. bevételek össz'!M11*0.6333</f>
        <v>800.49119999999994</v>
      </c>
      <c r="O42" s="90">
        <v>0</v>
      </c>
      <c r="P42" s="90">
        <f ca="1">'2. bevételek össz'!K11*0.3667</f>
        <v>91.675000000000011</v>
      </c>
      <c r="Q42" s="90">
        <f ca="1">'2. bevételek össz'!L11*0.3667</f>
        <v>91.675000000000011</v>
      </c>
      <c r="R42" s="90">
        <f ca="1">'2. bevételek össz'!M11*0.3667</f>
        <v>463.50880000000001</v>
      </c>
      <c r="S42" s="195">
        <f ca="1">S36+S37+S39+S40</f>
        <v>308696</v>
      </c>
      <c r="T42" s="195">
        <f>T36+T37+T39+T40+T38</f>
        <v>510496</v>
      </c>
      <c r="U42" s="195">
        <f>U36+U37+U39+U40</f>
        <v>470721</v>
      </c>
      <c r="V42" s="195">
        <f>V36+V37+V39+V40</f>
        <v>56600</v>
      </c>
      <c r="W42" s="195">
        <f>W36+W37+W39+W40</f>
        <v>5992</v>
      </c>
      <c r="X42" s="195">
        <f>X36+X37+X39+X40</f>
        <v>3701</v>
      </c>
      <c r="Y42" s="195">
        <v>20353</v>
      </c>
      <c r="Z42" s="195">
        <v>0</v>
      </c>
      <c r="AA42" s="195">
        <v>0</v>
      </c>
      <c r="AB42" s="265">
        <f t="shared" si="13"/>
        <v>1381.325</v>
      </c>
      <c r="AC42" s="265">
        <f t="shared" si="14"/>
        <v>511877.32500000001</v>
      </c>
      <c r="AD42" s="265">
        <f t="shared" si="15"/>
        <v>1919.3052</v>
      </c>
      <c r="AE42" s="265">
        <f t="shared" si="16"/>
        <v>56600</v>
      </c>
      <c r="AF42" s="265">
        <f t="shared" si="17"/>
        <v>5992</v>
      </c>
      <c r="AG42" s="265">
        <f t="shared" si="18"/>
        <v>3701</v>
      </c>
      <c r="AH42" s="265">
        <f t="shared" si="19"/>
        <v>20353</v>
      </c>
      <c r="AI42" s="265">
        <f t="shared" si="20"/>
        <v>0</v>
      </c>
      <c r="AJ42" s="265">
        <f t="shared" si="21"/>
        <v>0</v>
      </c>
      <c r="AK42" s="265"/>
      <c r="AL42" s="265"/>
      <c r="AM42" s="265"/>
      <c r="AN42" s="265"/>
      <c r="AO42" s="265"/>
      <c r="AP42" s="265"/>
      <c r="AQ42" s="265">
        <v>20353</v>
      </c>
      <c r="AR42" s="265"/>
      <c r="AS42" s="265"/>
    </row>
    <row r="43" spans="1:46" ht="15">
      <c r="A43" s="189" t="s">
        <v>592</v>
      </c>
      <c r="B43" s="130">
        <f ca="1">'2. bevételek össz'!C12</f>
        <v>47651</v>
      </c>
      <c r="C43" s="130">
        <f ca="1">'2. bevételek össz'!D12</f>
        <v>52663.542000000001</v>
      </c>
      <c r="D43" s="130">
        <f ca="1">'2. bevételek össz'!E12</f>
        <v>51638</v>
      </c>
      <c r="E43" s="130"/>
      <c r="F43" s="130">
        <v>0</v>
      </c>
      <c r="G43" s="90">
        <f ca="1">'2. bevételek össz'!G12</f>
        <v>23731</v>
      </c>
      <c r="H43" s="90">
        <f ca="1">'2. bevételek össz'!H12</f>
        <v>24578.414000000001</v>
      </c>
      <c r="I43" s="90">
        <f ca="1">'2. bevételek össz'!I12</f>
        <v>22913</v>
      </c>
      <c r="J43" s="90">
        <v>0</v>
      </c>
      <c r="K43" s="90">
        <v>0</v>
      </c>
      <c r="L43" s="90">
        <f ca="1">'2. bevételek össz'!K12*0.6333</f>
        <v>35150.683199999999</v>
      </c>
      <c r="M43" s="90">
        <f ca="1">'2. bevételek össz'!L12*0.6333</f>
        <v>40150.5867</v>
      </c>
      <c r="N43" s="90">
        <f ca="1">'2. bevételek össz'!M12*0.6333</f>
        <v>35498.3649</v>
      </c>
      <c r="O43" s="90">
        <v>0</v>
      </c>
      <c r="P43" s="90">
        <f ca="1">'2. bevételek össz'!K12*0.3667</f>
        <v>20353.316800000001</v>
      </c>
      <c r="Q43" s="90">
        <f ca="1">'2. bevételek össz'!L12*0.3667</f>
        <v>23248.4133</v>
      </c>
      <c r="R43" s="90">
        <f ca="1">'2. bevételek össz'!M12*0.3667</f>
        <v>20554.635100000003</v>
      </c>
      <c r="S43" s="195">
        <f ca="1">'2. bevételek össz'!O12</f>
        <v>0</v>
      </c>
      <c r="T43" s="195"/>
      <c r="U43" s="195"/>
      <c r="V43" s="195">
        <v>0</v>
      </c>
      <c r="W43" s="195"/>
      <c r="X43" s="195"/>
      <c r="Y43" s="195">
        <v>0</v>
      </c>
      <c r="Z43" s="195">
        <v>0</v>
      </c>
      <c r="AA43" s="195">
        <v>0</v>
      </c>
      <c r="AB43" s="265">
        <f t="shared" si="13"/>
        <v>106532.6832</v>
      </c>
      <c r="AC43" s="265">
        <f>C43+H43+M43</f>
        <v>117392.54270000001</v>
      </c>
      <c r="AD43" s="265">
        <f t="shared" si="15"/>
        <v>110049.3649</v>
      </c>
      <c r="AE43" s="265">
        <f t="shared" si="16"/>
        <v>0</v>
      </c>
      <c r="AF43" s="265">
        <f>Q43</f>
        <v>23248.4133</v>
      </c>
      <c r="AG43" s="265">
        <f t="shared" si="18"/>
        <v>0</v>
      </c>
      <c r="AH43" s="265">
        <f t="shared" si="19"/>
        <v>0</v>
      </c>
      <c r="AI43" s="265">
        <f t="shared" si="20"/>
        <v>0</v>
      </c>
      <c r="AJ43" s="265">
        <f t="shared" si="21"/>
        <v>0</v>
      </c>
      <c r="AK43" s="265">
        <f>AB43</f>
        <v>106532.6832</v>
      </c>
      <c r="AL43" s="265">
        <v>140041</v>
      </c>
      <c r="AM43" s="265">
        <v>130604</v>
      </c>
      <c r="AN43" s="265"/>
      <c r="AO43" s="265"/>
      <c r="AP43" s="265"/>
      <c r="AQ43" s="265"/>
      <c r="AR43" s="265"/>
      <c r="AS43" s="265"/>
    </row>
    <row r="44" spans="1:46" ht="15">
      <c r="A44" s="190" t="s">
        <v>619</v>
      </c>
      <c r="B44" s="130">
        <f ca="1">'2. bevételek össz'!C13</f>
        <v>75</v>
      </c>
      <c r="C44" s="130">
        <f ca="1">'2. bevételek össz'!D13</f>
        <v>75</v>
      </c>
      <c r="D44" s="130">
        <f ca="1">'2. bevételek össz'!E13</f>
        <v>0</v>
      </c>
      <c r="E44" s="130">
        <v>0</v>
      </c>
      <c r="F44" s="130">
        <v>0</v>
      </c>
      <c r="G44" s="90">
        <f ca="1">'2. bevételek össz'!G13</f>
        <v>120</v>
      </c>
      <c r="H44" s="90">
        <f ca="1">'2. bevételek össz'!H13</f>
        <v>120</v>
      </c>
      <c r="I44" s="90">
        <f ca="1">'2. bevételek össz'!I13</f>
        <v>0</v>
      </c>
      <c r="J44" s="90">
        <v>0</v>
      </c>
      <c r="K44" s="90">
        <v>0</v>
      </c>
      <c r="L44" s="90">
        <f ca="1">'2. bevételek össz'!K13*0.6333</f>
        <v>70.296300000000002</v>
      </c>
      <c r="M44" s="90">
        <f ca="1">'2. bevételek össz'!L13*0.6333</f>
        <v>70.296300000000002</v>
      </c>
      <c r="N44" s="90">
        <f ca="1">'2. bevételek össz'!M13*0.6333</f>
        <v>0</v>
      </c>
      <c r="O44" s="90">
        <v>0</v>
      </c>
      <c r="P44" s="90">
        <f ca="1">'2. bevételek össz'!K13*0.3667</f>
        <v>40.703700000000005</v>
      </c>
      <c r="Q44" s="90">
        <f ca="1">'2. bevételek össz'!L13*0.3667</f>
        <v>40.703700000000005</v>
      </c>
      <c r="R44" s="90">
        <f ca="1">'2. bevételek össz'!M13*0.3667</f>
        <v>0</v>
      </c>
      <c r="S44" s="195">
        <f ca="1">'2. bevételek össz'!O13</f>
        <v>23897</v>
      </c>
      <c r="T44" s="195">
        <v>23897</v>
      </c>
      <c r="U44" s="195"/>
      <c r="V44" s="195">
        <v>0</v>
      </c>
      <c r="W44" s="195"/>
      <c r="X44" s="195"/>
      <c r="Y44" s="195">
        <v>0</v>
      </c>
      <c r="Z44" s="195">
        <v>0</v>
      </c>
      <c r="AA44" s="195">
        <v>0</v>
      </c>
      <c r="AB44" s="265">
        <f t="shared" si="13"/>
        <v>265.29629999999997</v>
      </c>
      <c r="AC44" s="265">
        <f t="shared" si="14"/>
        <v>24162.296300000002</v>
      </c>
      <c r="AD44" s="265">
        <f t="shared" si="15"/>
        <v>0</v>
      </c>
      <c r="AE44" s="265">
        <f t="shared" si="16"/>
        <v>0</v>
      </c>
      <c r="AF44" s="265">
        <f t="shared" si="17"/>
        <v>0</v>
      </c>
      <c r="AG44" s="265">
        <f t="shared" si="18"/>
        <v>0</v>
      </c>
      <c r="AH44" s="265">
        <f t="shared" si="19"/>
        <v>0</v>
      </c>
      <c r="AI44" s="265">
        <f t="shared" si="20"/>
        <v>0</v>
      </c>
      <c r="AJ44" s="265">
        <f t="shared" si="21"/>
        <v>0</v>
      </c>
      <c r="AK44" s="265"/>
      <c r="AL44" s="265"/>
      <c r="AM44" s="265"/>
      <c r="AN44" s="265"/>
      <c r="AO44" s="265"/>
      <c r="AP44" s="265"/>
      <c r="AQ44" s="265"/>
      <c r="AR44" s="265"/>
      <c r="AS44" s="265"/>
    </row>
    <row r="45" spans="1:46" ht="15">
      <c r="A45" s="44" t="s">
        <v>879</v>
      </c>
      <c r="B45" s="130">
        <f ca="1">'2. bevételek össz'!C14</f>
        <v>47726</v>
      </c>
      <c r="C45" s="130">
        <f ca="1">'2. bevételek össz'!D14</f>
        <v>52738.542000000001</v>
      </c>
      <c r="D45" s="130">
        <f ca="1">'2. bevételek össz'!E14</f>
        <v>52487</v>
      </c>
      <c r="E45" s="130">
        <v>0</v>
      </c>
      <c r="F45" s="130">
        <v>0</v>
      </c>
      <c r="G45" s="90">
        <f ca="1">'2. bevételek össz'!G14</f>
        <v>25074</v>
      </c>
      <c r="H45" s="90">
        <f ca="1">'2. bevételek össz'!H14</f>
        <v>25921.414000000001</v>
      </c>
      <c r="I45" s="90">
        <f ca="1">'2. bevételek össz'!I14</f>
        <v>24031.813999999998</v>
      </c>
      <c r="J45" s="90">
        <v>0</v>
      </c>
      <c r="K45" s="90">
        <v>0</v>
      </c>
      <c r="L45" s="90">
        <f ca="1">'2. bevételek össz'!K14*0.6333</f>
        <v>35379.304499999998</v>
      </c>
      <c r="M45" s="90">
        <f ca="1">'2. bevételek össz'!L14*0.6333</f>
        <v>40379.207999999999</v>
      </c>
      <c r="N45" s="90">
        <f ca="1">'2. bevételek össz'!M14*0.6333</f>
        <v>36298.856099999997</v>
      </c>
      <c r="O45" s="90">
        <v>0</v>
      </c>
      <c r="P45" s="90">
        <f ca="1">'2. bevételek össz'!K14*0.3667</f>
        <v>20485.695500000002</v>
      </c>
      <c r="Q45" s="90">
        <f ca="1">'2. bevételek össz'!L14*0.3667</f>
        <v>23380.792000000001</v>
      </c>
      <c r="R45" s="90">
        <f ca="1">'2. bevételek össz'!M14*0.3667</f>
        <v>21018.143900000003</v>
      </c>
      <c r="S45" s="195">
        <f t="shared" ref="S45:X45" si="22">S44+S42</f>
        <v>332593</v>
      </c>
      <c r="T45" s="195">
        <f t="shared" si="22"/>
        <v>534393</v>
      </c>
      <c r="U45" s="195">
        <f t="shared" si="22"/>
        <v>470721</v>
      </c>
      <c r="V45" s="195">
        <f t="shared" si="22"/>
        <v>56600</v>
      </c>
      <c r="W45" s="195">
        <f t="shared" si="22"/>
        <v>5992</v>
      </c>
      <c r="X45" s="195">
        <f t="shared" si="22"/>
        <v>3701</v>
      </c>
      <c r="Y45" s="195">
        <v>20353</v>
      </c>
      <c r="Z45" s="195">
        <v>0</v>
      </c>
      <c r="AA45" s="195">
        <v>0</v>
      </c>
      <c r="AB45" s="265">
        <f t="shared" si="13"/>
        <v>108179.3045</v>
      </c>
      <c r="AC45" s="265">
        <f t="shared" si="14"/>
        <v>653432.16399999999</v>
      </c>
      <c r="AD45" s="265">
        <f t="shared" si="15"/>
        <v>112817.67009999999</v>
      </c>
      <c r="AE45" s="265">
        <f t="shared" si="16"/>
        <v>56600</v>
      </c>
      <c r="AF45" s="265">
        <f t="shared" si="17"/>
        <v>5992</v>
      </c>
      <c r="AG45" s="265">
        <f t="shared" si="18"/>
        <v>3701</v>
      </c>
      <c r="AH45" s="265">
        <f t="shared" si="19"/>
        <v>20353</v>
      </c>
      <c r="AI45" s="265">
        <f t="shared" si="20"/>
        <v>0</v>
      </c>
      <c r="AJ45" s="265">
        <f t="shared" si="21"/>
        <v>0</v>
      </c>
      <c r="AK45" s="265">
        <v>106533</v>
      </c>
      <c r="AL45" s="265">
        <f>AL43</f>
        <v>140041</v>
      </c>
      <c r="AM45" s="265">
        <v>130604</v>
      </c>
      <c r="AN45" s="265"/>
      <c r="AO45" s="265"/>
      <c r="AP45" s="265"/>
      <c r="AQ45" s="265">
        <v>20353</v>
      </c>
      <c r="AR45" s="265"/>
      <c r="AS45" s="265"/>
    </row>
    <row r="46" spans="1:46" ht="15">
      <c r="A46" s="191" t="s">
        <v>624</v>
      </c>
      <c r="B46" s="130">
        <f ca="1">'2. bevételek össz'!C15</f>
        <v>0</v>
      </c>
      <c r="C46" s="130">
        <f ca="1">'2. bevételek össz'!D15</f>
        <v>0</v>
      </c>
      <c r="D46" s="130">
        <f ca="1">'2. bevételek össz'!E15</f>
        <v>0</v>
      </c>
      <c r="E46" s="130">
        <v>0</v>
      </c>
      <c r="F46" s="130">
        <v>0</v>
      </c>
      <c r="G46" s="90">
        <f ca="1">'2. bevételek össz'!G15</f>
        <v>0</v>
      </c>
      <c r="H46" s="90">
        <f ca="1">'2. bevételek össz'!H15</f>
        <v>0</v>
      </c>
      <c r="I46" s="90">
        <f ca="1">'2. bevételek össz'!I15</f>
        <v>424.20899999999892</v>
      </c>
      <c r="J46" s="90">
        <v>0</v>
      </c>
      <c r="K46" s="90">
        <v>0</v>
      </c>
      <c r="L46" s="90">
        <f ca="1">'2. bevételek össz'!K15*0.6333</f>
        <v>0</v>
      </c>
      <c r="M46" s="90">
        <f ca="1">'2. bevételek össz'!L15*0.6333</f>
        <v>9.1195200000147442E-2</v>
      </c>
      <c r="N46" s="90">
        <f ca="1">'2. bevételek össz'!M15*0.6333</f>
        <v>782.17109760000005</v>
      </c>
      <c r="O46" s="90">
        <v>0</v>
      </c>
      <c r="P46" s="90">
        <f ca="1">'2. bevételek össz'!K15*0.3667</f>
        <v>0</v>
      </c>
      <c r="Q46" s="90">
        <f ca="1">'2. bevételek össz'!L15*0.3667</f>
        <v>5.2804800000085382E-2</v>
      </c>
      <c r="R46" s="90">
        <f ca="1">'2. bevételek össz'!M15*0.3667</f>
        <v>452.90090240000006</v>
      </c>
      <c r="S46" s="195">
        <f ca="1">S45-S17</f>
        <v>0</v>
      </c>
      <c r="T46" s="195">
        <f t="shared" ref="T46:Y46" si="23">T45-T17</f>
        <v>65241.468999999983</v>
      </c>
      <c r="U46" s="195">
        <f t="shared" si="23"/>
        <v>109286.011</v>
      </c>
      <c r="V46" s="195">
        <f t="shared" si="23"/>
        <v>0</v>
      </c>
      <c r="W46" s="195">
        <f t="shared" si="23"/>
        <v>-51441</v>
      </c>
      <c r="X46" s="195">
        <f t="shared" si="23"/>
        <v>-47081.582999999999</v>
      </c>
      <c r="Y46" s="195">
        <f t="shared" si="23"/>
        <v>0</v>
      </c>
      <c r="Z46" s="195">
        <v>0</v>
      </c>
      <c r="AA46" s="195">
        <v>0</v>
      </c>
      <c r="AB46" s="265">
        <f t="shared" si="13"/>
        <v>0</v>
      </c>
      <c r="AC46" s="265">
        <f t="shared" si="14"/>
        <v>65241.560195199985</v>
      </c>
      <c r="AD46" s="265">
        <f t="shared" si="15"/>
        <v>1206.3800975999989</v>
      </c>
      <c r="AE46" s="265">
        <f t="shared" si="16"/>
        <v>0</v>
      </c>
      <c r="AF46" s="265">
        <f t="shared" si="17"/>
        <v>-51441</v>
      </c>
      <c r="AG46" s="265">
        <f t="shared" si="18"/>
        <v>-47081.582999999999</v>
      </c>
      <c r="AH46" s="265">
        <f t="shared" si="19"/>
        <v>0</v>
      </c>
      <c r="AI46" s="265">
        <f t="shared" si="20"/>
        <v>0</v>
      </c>
      <c r="AJ46" s="265">
        <f t="shared" si="21"/>
        <v>0</v>
      </c>
      <c r="AK46" s="265"/>
      <c r="AL46" s="265"/>
      <c r="AM46" s="265"/>
      <c r="AN46" s="265"/>
      <c r="AO46" s="265"/>
      <c r="AP46" s="265"/>
      <c r="AQ46" s="265"/>
      <c r="AR46" s="265"/>
      <c r="AS46" s="265"/>
    </row>
    <row r="47" spans="1:46" ht="15">
      <c r="A47" s="185" t="s">
        <v>625</v>
      </c>
      <c r="B47" s="130">
        <f ca="1">'2. bevételek össz'!C16</f>
        <v>0</v>
      </c>
      <c r="C47" s="130">
        <f ca="1">'2. bevételek össz'!D16</f>
        <v>0</v>
      </c>
      <c r="D47" s="130">
        <f ca="1">'2. bevételek össz'!E16</f>
        <v>0</v>
      </c>
      <c r="E47" s="130"/>
      <c r="F47" s="130">
        <v>0</v>
      </c>
      <c r="G47" s="90">
        <f ca="1">'2. bevételek össz'!G16</f>
        <v>0</v>
      </c>
      <c r="H47" s="90">
        <f ca="1">'2. bevételek össz'!H16</f>
        <v>0</v>
      </c>
      <c r="I47" s="90">
        <f ca="1">'2. bevételek össz'!I16</f>
        <v>0</v>
      </c>
      <c r="J47" s="90">
        <v>0</v>
      </c>
      <c r="K47" s="90">
        <v>0</v>
      </c>
      <c r="L47" s="90">
        <f ca="1">'2. bevételek össz'!K16*0.6333</f>
        <v>0</v>
      </c>
      <c r="M47" s="90">
        <f ca="1">'2. bevételek össz'!L16*0.6333</f>
        <v>0</v>
      </c>
      <c r="N47" s="90">
        <f ca="1">'2. bevételek össz'!M16*0.6333</f>
        <v>0</v>
      </c>
      <c r="O47" s="90">
        <v>0</v>
      </c>
      <c r="P47" s="90">
        <f ca="1">'2. bevételek össz'!K16*0.3667</f>
        <v>0</v>
      </c>
      <c r="Q47" s="90">
        <f ca="1">'2. bevételek össz'!L16*0.3667</f>
        <v>0</v>
      </c>
      <c r="R47" s="90">
        <f ca="1">'2. bevételek össz'!M16*0.3667</f>
        <v>0</v>
      </c>
      <c r="S47" s="195">
        <f ca="1">'2. bevételek össz'!O16</f>
        <v>0</v>
      </c>
      <c r="T47" s="195"/>
      <c r="U47" s="195"/>
      <c r="V47" s="195">
        <v>0</v>
      </c>
      <c r="W47" s="195"/>
      <c r="X47" s="195"/>
      <c r="Y47" s="195">
        <v>0</v>
      </c>
      <c r="Z47" s="195">
        <v>0</v>
      </c>
      <c r="AA47" s="195">
        <v>0</v>
      </c>
      <c r="AB47" s="265">
        <f t="shared" si="13"/>
        <v>0</v>
      </c>
      <c r="AC47" s="265">
        <f t="shared" si="14"/>
        <v>0</v>
      </c>
      <c r="AD47" s="265">
        <f t="shared" si="15"/>
        <v>0</v>
      </c>
      <c r="AE47" s="265">
        <f t="shared" si="16"/>
        <v>0</v>
      </c>
      <c r="AF47" s="265">
        <f t="shared" si="17"/>
        <v>0</v>
      </c>
      <c r="AG47" s="265">
        <f t="shared" si="18"/>
        <v>0</v>
      </c>
      <c r="AH47" s="265">
        <f t="shared" si="19"/>
        <v>0</v>
      </c>
      <c r="AI47" s="265">
        <f t="shared" si="20"/>
        <v>0</v>
      </c>
      <c r="AJ47" s="265">
        <f t="shared" si="21"/>
        <v>0</v>
      </c>
      <c r="AK47" s="265"/>
      <c r="AL47" s="265"/>
      <c r="AM47" s="265"/>
      <c r="AN47" s="265"/>
      <c r="AO47" s="265"/>
      <c r="AP47" s="265"/>
      <c r="AQ47" s="265"/>
      <c r="AR47" s="265"/>
      <c r="AS47" s="265"/>
    </row>
    <row r="48" spans="1:46" ht="15">
      <c r="A48" s="187" t="s">
        <v>618</v>
      </c>
      <c r="B48" s="130">
        <f ca="1">'2. bevételek össz'!C17</f>
        <v>0</v>
      </c>
      <c r="C48" s="130">
        <f ca="1">'2. bevételek össz'!D17</f>
        <v>0</v>
      </c>
      <c r="D48" s="130">
        <f ca="1">'2. bevételek össz'!E17</f>
        <v>600</v>
      </c>
      <c r="E48" s="130">
        <v>0</v>
      </c>
      <c r="F48" s="130">
        <v>0</v>
      </c>
      <c r="G48" s="90">
        <f ca="1">'2. bevételek össz'!G17</f>
        <v>0</v>
      </c>
      <c r="H48" s="90">
        <f ca="1">'2. bevételek össz'!H17</f>
        <v>0</v>
      </c>
      <c r="I48" s="90">
        <f ca="1">'2. bevételek össz'!I17</f>
        <v>0</v>
      </c>
      <c r="J48" s="90">
        <v>0</v>
      </c>
      <c r="K48" s="90">
        <v>0</v>
      </c>
      <c r="L48" s="90">
        <f ca="1">'2. bevételek össz'!K17*0.6333</f>
        <v>0</v>
      </c>
      <c r="M48" s="90">
        <f ca="1">'2. bevételek össz'!L17*0.6333</f>
        <v>0</v>
      </c>
      <c r="N48" s="90">
        <f ca="1">'2. bevételek össz'!M17*0.6333</f>
        <v>0</v>
      </c>
      <c r="O48" s="90">
        <v>0</v>
      </c>
      <c r="P48" s="90">
        <f ca="1">'2. bevételek össz'!K17*0.3667</f>
        <v>0</v>
      </c>
      <c r="Q48" s="90">
        <f ca="1">'2. bevételek össz'!L17*0.3667</f>
        <v>0</v>
      </c>
      <c r="R48" s="90">
        <f ca="1">'2. bevételek össz'!M17*0.3667</f>
        <v>0</v>
      </c>
      <c r="S48" s="195">
        <f ca="1">'2. bevételek össz'!O17-31405</f>
        <v>41986</v>
      </c>
      <c r="T48" s="195">
        <f>41986-14951</f>
        <v>27035</v>
      </c>
      <c r="U48" s="195">
        <f>27035</f>
        <v>27035</v>
      </c>
      <c r="V48" s="195">
        <v>31405</v>
      </c>
      <c r="W48" s="195">
        <f>31405+14951</f>
        <v>46356</v>
      </c>
      <c r="X48" s="195">
        <f>47563-27035</f>
        <v>20528</v>
      </c>
      <c r="Y48" s="195">
        <v>0</v>
      </c>
      <c r="Z48" s="195">
        <v>0</v>
      </c>
      <c r="AA48" s="195">
        <v>0</v>
      </c>
      <c r="AB48" s="265">
        <f t="shared" si="13"/>
        <v>0</v>
      </c>
      <c r="AC48" s="265">
        <f t="shared" si="14"/>
        <v>27035</v>
      </c>
      <c r="AD48" s="265">
        <f t="shared" si="15"/>
        <v>600</v>
      </c>
      <c r="AE48" s="265">
        <f t="shared" si="16"/>
        <v>31405</v>
      </c>
      <c r="AF48" s="265">
        <f t="shared" si="17"/>
        <v>46356</v>
      </c>
      <c r="AG48" s="265">
        <f t="shared" si="18"/>
        <v>20528</v>
      </c>
      <c r="AH48" s="265">
        <f t="shared" si="19"/>
        <v>0</v>
      </c>
      <c r="AI48" s="265">
        <f t="shared" si="20"/>
        <v>0</v>
      </c>
      <c r="AJ48" s="265">
        <f t="shared" si="21"/>
        <v>0</v>
      </c>
      <c r="AK48" s="265"/>
      <c r="AL48" s="265"/>
      <c r="AM48" s="265"/>
      <c r="AN48" s="265"/>
      <c r="AO48" s="265"/>
      <c r="AP48" s="265"/>
      <c r="AQ48" s="265"/>
      <c r="AR48" s="265"/>
      <c r="AS48" s="265"/>
    </row>
    <row r="49" spans="1:45" ht="15">
      <c r="A49" s="187" t="s">
        <v>597</v>
      </c>
      <c r="B49" s="130">
        <f ca="1">'2. bevételek össz'!C18</f>
        <v>0</v>
      </c>
      <c r="C49" s="130">
        <f ca="1">'2. bevételek össz'!D18</f>
        <v>0</v>
      </c>
      <c r="D49" s="130">
        <f ca="1">'2. bevételek össz'!E18</f>
        <v>0</v>
      </c>
      <c r="E49" s="130">
        <v>0</v>
      </c>
      <c r="F49" s="130">
        <v>0</v>
      </c>
      <c r="G49" s="90">
        <f ca="1">'2. bevételek össz'!G18</f>
        <v>0</v>
      </c>
      <c r="H49" s="90">
        <f ca="1">'2. bevételek össz'!H18</f>
        <v>0</v>
      </c>
      <c r="I49" s="90">
        <f ca="1">'2. bevételek össz'!I18</f>
        <v>0</v>
      </c>
      <c r="J49" s="90">
        <v>0</v>
      </c>
      <c r="K49" s="90">
        <v>0</v>
      </c>
      <c r="L49" s="90">
        <f ca="1">'2. bevételek össz'!K18*0.6333</f>
        <v>0</v>
      </c>
      <c r="M49" s="90">
        <f ca="1">'2. bevételek össz'!L18*0.6333</f>
        <v>0</v>
      </c>
      <c r="N49" s="90">
        <f ca="1">'2. bevételek össz'!M18*0.6333</f>
        <v>0</v>
      </c>
      <c r="O49" s="90">
        <v>0</v>
      </c>
      <c r="P49" s="90">
        <f ca="1">'2. bevételek össz'!K18*0.3667</f>
        <v>0</v>
      </c>
      <c r="Q49" s="90">
        <f ca="1">'2. bevételek össz'!L18*0.3667</f>
        <v>0</v>
      </c>
      <c r="R49" s="90">
        <f ca="1">'2. bevételek össz'!M18*0.3667</f>
        <v>0</v>
      </c>
      <c r="S49" s="195">
        <f ca="1">'2. bevételek össz'!O18</f>
        <v>0</v>
      </c>
      <c r="T49" s="195"/>
      <c r="U49" s="195"/>
      <c r="V49" s="195">
        <v>0</v>
      </c>
      <c r="W49" s="195"/>
      <c r="X49" s="195"/>
      <c r="Y49" s="195">
        <v>0</v>
      </c>
      <c r="Z49" s="195">
        <v>0</v>
      </c>
      <c r="AA49" s="195">
        <v>0</v>
      </c>
      <c r="AB49" s="265">
        <f t="shared" si="13"/>
        <v>0</v>
      </c>
      <c r="AC49" s="265">
        <f t="shared" si="14"/>
        <v>0</v>
      </c>
      <c r="AD49" s="265">
        <f t="shared" si="15"/>
        <v>0</v>
      </c>
      <c r="AE49" s="265">
        <f t="shared" si="16"/>
        <v>0</v>
      </c>
      <c r="AF49" s="265">
        <f t="shared" si="17"/>
        <v>0</v>
      </c>
      <c r="AG49" s="265">
        <f t="shared" si="18"/>
        <v>0</v>
      </c>
      <c r="AH49" s="265">
        <f t="shared" si="19"/>
        <v>0</v>
      </c>
      <c r="AI49" s="265">
        <f t="shared" si="20"/>
        <v>0</v>
      </c>
      <c r="AJ49" s="265">
        <f t="shared" si="21"/>
        <v>0</v>
      </c>
      <c r="AK49" s="265"/>
      <c r="AL49" s="265"/>
      <c r="AM49" s="265"/>
      <c r="AN49" s="265"/>
      <c r="AO49" s="265"/>
      <c r="AP49" s="265"/>
      <c r="AQ49" s="265"/>
      <c r="AR49" s="265"/>
      <c r="AS49" s="265"/>
    </row>
    <row r="50" spans="1:45" ht="15">
      <c r="A50" s="187" t="s">
        <v>773</v>
      </c>
      <c r="B50" s="130">
        <f ca="1">'2. bevételek össz'!C19</f>
        <v>0</v>
      </c>
      <c r="C50" s="130">
        <f ca="1">'2. bevételek össz'!D19</f>
        <v>0</v>
      </c>
      <c r="D50" s="130">
        <f ca="1">'2. bevételek össz'!E19</f>
        <v>0</v>
      </c>
      <c r="E50" s="130">
        <v>0</v>
      </c>
      <c r="F50" s="130">
        <v>0</v>
      </c>
      <c r="G50" s="90">
        <f ca="1">'2. bevételek össz'!G19</f>
        <v>0</v>
      </c>
      <c r="H50" s="90">
        <f ca="1">'2. bevételek össz'!H19</f>
        <v>0</v>
      </c>
      <c r="I50" s="90">
        <f ca="1">'2. bevételek össz'!I19</f>
        <v>0</v>
      </c>
      <c r="J50" s="90">
        <v>0</v>
      </c>
      <c r="K50" s="90">
        <v>0</v>
      </c>
      <c r="L50" s="90">
        <f ca="1">'2. bevételek össz'!K19*0.6333</f>
        <v>0</v>
      </c>
      <c r="M50" s="90">
        <f ca="1">'2. bevételek össz'!L19*0.6333</f>
        <v>0</v>
      </c>
      <c r="N50" s="90">
        <f ca="1">'2. bevételek össz'!M19*0.6333</f>
        <v>0</v>
      </c>
      <c r="O50" s="90">
        <v>0</v>
      </c>
      <c r="P50" s="90">
        <f ca="1">'2. bevételek össz'!K19*0.3667</f>
        <v>0</v>
      </c>
      <c r="Q50" s="90">
        <f ca="1">'2. bevételek össz'!L19*0.3667</f>
        <v>0</v>
      </c>
      <c r="R50" s="90">
        <f ca="1">'2. bevételek össz'!M19*0.3667</f>
        <v>0</v>
      </c>
      <c r="S50" s="195">
        <f ca="1">'2. bevételek össz'!O19</f>
        <v>0</v>
      </c>
      <c r="T50" s="195"/>
      <c r="U50" s="195"/>
      <c r="V50" s="195">
        <v>0</v>
      </c>
      <c r="W50" s="195"/>
      <c r="X50" s="195"/>
      <c r="Y50" s="195">
        <v>0</v>
      </c>
      <c r="Z50" s="195">
        <v>0</v>
      </c>
      <c r="AA50" s="195">
        <v>0</v>
      </c>
      <c r="AB50" s="265">
        <f t="shared" si="13"/>
        <v>0</v>
      </c>
      <c r="AC50" s="265">
        <f t="shared" si="14"/>
        <v>0</v>
      </c>
      <c r="AD50" s="265">
        <f t="shared" si="15"/>
        <v>0</v>
      </c>
      <c r="AE50" s="265">
        <f t="shared" si="16"/>
        <v>0</v>
      </c>
      <c r="AF50" s="265">
        <f t="shared" si="17"/>
        <v>0</v>
      </c>
      <c r="AG50" s="265">
        <f t="shared" si="18"/>
        <v>0</v>
      </c>
      <c r="AH50" s="265">
        <f t="shared" si="19"/>
        <v>0</v>
      </c>
      <c r="AI50" s="265">
        <f t="shared" si="20"/>
        <v>0</v>
      </c>
      <c r="AJ50" s="265">
        <f t="shared" si="21"/>
        <v>0</v>
      </c>
      <c r="AK50" s="265"/>
      <c r="AL50" s="265"/>
      <c r="AM50" s="265"/>
      <c r="AN50" s="265"/>
      <c r="AO50" s="265"/>
      <c r="AP50" s="265"/>
      <c r="AQ50" s="265"/>
      <c r="AR50" s="265"/>
      <c r="AS50" s="265"/>
    </row>
    <row r="51" spans="1:45" ht="30">
      <c r="A51" s="187" t="s">
        <v>585</v>
      </c>
      <c r="B51" s="130">
        <f ca="1">'2. bevételek össz'!C20</f>
        <v>0</v>
      </c>
      <c r="C51" s="130">
        <f ca="1">'2. bevételek össz'!D20</f>
        <v>0</v>
      </c>
      <c r="D51" s="130">
        <f ca="1">'2. bevételek össz'!E20</f>
        <v>0</v>
      </c>
      <c r="E51" s="130"/>
      <c r="F51" s="130">
        <v>0</v>
      </c>
      <c r="G51" s="90">
        <f ca="1">'2. bevételek össz'!G20</f>
        <v>0</v>
      </c>
      <c r="H51" s="90">
        <f ca="1">'2. bevételek össz'!H20</f>
        <v>0</v>
      </c>
      <c r="I51" s="90">
        <f ca="1">'2. bevételek össz'!I20</f>
        <v>0</v>
      </c>
      <c r="J51" s="90">
        <v>0</v>
      </c>
      <c r="K51" s="90">
        <v>0</v>
      </c>
      <c r="L51" s="90">
        <f ca="1">'2. bevételek össz'!K20*0.6333</f>
        <v>0</v>
      </c>
      <c r="M51" s="90">
        <f ca="1">'2. bevételek össz'!L20*0.6333</f>
        <v>0</v>
      </c>
      <c r="N51" s="90">
        <f ca="1">'2. bevételek össz'!M20*0.6333</f>
        <v>0</v>
      </c>
      <c r="O51" s="90">
        <v>0</v>
      </c>
      <c r="P51" s="90">
        <f ca="1">'2. bevételek össz'!K20*0.3667</f>
        <v>0</v>
      </c>
      <c r="Q51" s="90">
        <f ca="1">'2. bevételek össz'!L20*0.3667</f>
        <v>0</v>
      </c>
      <c r="R51" s="90">
        <f ca="1">'2. bevételek össz'!M20*0.3667</f>
        <v>0</v>
      </c>
      <c r="S51" s="195">
        <f ca="1">'2. bevételek össz'!O20-'3. szakfeladatok'!$AD$34</f>
        <v>0</v>
      </c>
      <c r="T51" s="195"/>
      <c r="U51" s="195"/>
      <c r="V51" s="195">
        <f ca="1">'3. szakfeladatok'!$AD$34</f>
        <v>148860</v>
      </c>
      <c r="W51" s="195">
        <v>148860</v>
      </c>
      <c r="X51" s="195"/>
      <c r="Y51" s="195">
        <v>0</v>
      </c>
      <c r="Z51" s="195">
        <v>0</v>
      </c>
      <c r="AA51" s="195">
        <v>0</v>
      </c>
      <c r="AB51" s="265">
        <f t="shared" si="13"/>
        <v>0</v>
      </c>
      <c r="AC51" s="265">
        <f t="shared" si="14"/>
        <v>0</v>
      </c>
      <c r="AD51" s="265">
        <f t="shared" si="15"/>
        <v>0</v>
      </c>
      <c r="AE51" s="265">
        <f t="shared" si="16"/>
        <v>148860</v>
      </c>
      <c r="AF51" s="265">
        <f t="shared" si="17"/>
        <v>148860</v>
      </c>
      <c r="AG51" s="265">
        <f t="shared" si="18"/>
        <v>0</v>
      </c>
      <c r="AH51" s="265">
        <f t="shared" si="19"/>
        <v>0</v>
      </c>
      <c r="AI51" s="265">
        <f t="shared" si="20"/>
        <v>0</v>
      </c>
      <c r="AJ51" s="265">
        <f t="shared" si="21"/>
        <v>0</v>
      </c>
      <c r="AK51" s="265"/>
      <c r="AL51" s="265"/>
      <c r="AM51" s="265"/>
      <c r="AN51" s="265"/>
      <c r="AO51" s="265"/>
      <c r="AP51" s="265"/>
      <c r="AQ51" s="265"/>
      <c r="AR51" s="265"/>
      <c r="AS51" s="265"/>
    </row>
    <row r="52" spans="1:45" ht="30">
      <c r="A52" s="187" t="s">
        <v>590</v>
      </c>
      <c r="B52" s="130">
        <f ca="1">'2. bevételek össz'!C21</f>
        <v>0</v>
      </c>
      <c r="C52" s="130">
        <f ca="1">'2. bevételek össz'!D21</f>
        <v>0</v>
      </c>
      <c r="D52" s="130">
        <f ca="1">'2. bevételek össz'!E21</f>
        <v>0</v>
      </c>
      <c r="E52" s="130">
        <v>0</v>
      </c>
      <c r="F52" s="130">
        <v>0</v>
      </c>
      <c r="G52" s="90">
        <f ca="1">'2. bevételek össz'!G21</f>
        <v>0</v>
      </c>
      <c r="H52" s="90">
        <f ca="1">'2. bevételek össz'!H21</f>
        <v>0</v>
      </c>
      <c r="I52" s="90">
        <f ca="1">'2. bevételek össz'!I21</f>
        <v>0</v>
      </c>
      <c r="J52" s="90">
        <v>0</v>
      </c>
      <c r="K52" s="90">
        <v>0</v>
      </c>
      <c r="L52" s="90">
        <f ca="1">'2. bevételek össz'!K21*0.6333</f>
        <v>0</v>
      </c>
      <c r="M52" s="90">
        <f ca="1">'2. bevételek össz'!L21*0.6333</f>
        <v>0</v>
      </c>
      <c r="N52" s="90">
        <f ca="1">'2. bevételek össz'!M21*0.6333</f>
        <v>0</v>
      </c>
      <c r="O52" s="90">
        <v>0</v>
      </c>
      <c r="P52" s="90">
        <f ca="1">'2. bevételek össz'!K21*0.3667</f>
        <v>0</v>
      </c>
      <c r="Q52" s="90">
        <f ca="1">'2. bevételek össz'!L21*0.3667</f>
        <v>0</v>
      </c>
      <c r="R52" s="90">
        <f ca="1">'2. bevételek össz'!M21*0.3667</f>
        <v>0</v>
      </c>
      <c r="S52" s="195">
        <f ca="1">'2. bevételek össz'!O21</f>
        <v>0</v>
      </c>
      <c r="T52" s="195"/>
      <c r="U52" s="195"/>
      <c r="V52" s="195">
        <v>0</v>
      </c>
      <c r="W52" s="195"/>
      <c r="X52" s="195"/>
      <c r="Y52" s="195">
        <v>0</v>
      </c>
      <c r="Z52" s="195">
        <v>0</v>
      </c>
      <c r="AA52" s="195">
        <v>0</v>
      </c>
      <c r="AB52" s="265">
        <f t="shared" si="13"/>
        <v>0</v>
      </c>
      <c r="AC52" s="265">
        <f t="shared" si="14"/>
        <v>0</v>
      </c>
      <c r="AD52" s="265">
        <f t="shared" si="15"/>
        <v>0</v>
      </c>
      <c r="AE52" s="265">
        <f t="shared" si="16"/>
        <v>0</v>
      </c>
      <c r="AF52" s="265">
        <f t="shared" si="17"/>
        <v>0</v>
      </c>
      <c r="AG52" s="265">
        <f t="shared" si="18"/>
        <v>0</v>
      </c>
      <c r="AH52" s="265">
        <f t="shared" si="19"/>
        <v>0</v>
      </c>
      <c r="AI52" s="265">
        <f t="shared" si="20"/>
        <v>0</v>
      </c>
      <c r="AJ52" s="265">
        <f t="shared" si="21"/>
        <v>0</v>
      </c>
      <c r="AK52" s="265"/>
      <c r="AL52" s="265"/>
      <c r="AM52" s="265"/>
      <c r="AN52" s="265"/>
      <c r="AO52" s="265"/>
      <c r="AP52" s="265"/>
      <c r="AQ52" s="265"/>
      <c r="AR52" s="265"/>
      <c r="AS52" s="265"/>
    </row>
    <row r="53" spans="1:45" ht="15">
      <c r="A53" s="182" t="s">
        <v>583</v>
      </c>
      <c r="B53" s="130">
        <f ca="1">'2. bevételek össz'!C22</f>
        <v>0</v>
      </c>
      <c r="C53" s="130">
        <f ca="1">'2. bevételek össz'!D22</f>
        <v>0</v>
      </c>
      <c r="D53" s="130">
        <f ca="1">'2. bevételek össz'!E22</f>
        <v>0</v>
      </c>
      <c r="E53" s="130">
        <v>0</v>
      </c>
      <c r="F53" s="130">
        <v>0</v>
      </c>
      <c r="G53" s="90">
        <f ca="1">'2. bevételek össz'!G22</f>
        <v>0</v>
      </c>
      <c r="H53" s="90">
        <f ca="1">'2. bevételek össz'!H22</f>
        <v>0</v>
      </c>
      <c r="I53" s="90">
        <f ca="1">'2. bevételek össz'!I22</f>
        <v>0</v>
      </c>
      <c r="J53" s="90">
        <v>0</v>
      </c>
      <c r="K53" s="90">
        <v>0</v>
      </c>
      <c r="L53" s="90">
        <f ca="1">'2. bevételek össz'!K22*0.6333</f>
        <v>0</v>
      </c>
      <c r="M53" s="90">
        <f ca="1">'2. bevételek össz'!L22*0.6333</f>
        <v>0</v>
      </c>
      <c r="N53" s="90">
        <f ca="1">'2. bevételek össz'!M22*0.6333</f>
        <v>0</v>
      </c>
      <c r="O53" s="90">
        <v>0</v>
      </c>
      <c r="P53" s="90">
        <f ca="1">'2. bevételek össz'!K22*0.3667</f>
        <v>0</v>
      </c>
      <c r="Q53" s="90">
        <f ca="1">'2. bevételek össz'!L22*0.3667</f>
        <v>0</v>
      </c>
      <c r="R53" s="90">
        <f ca="1">'2. bevételek össz'!M22*0.3667</f>
        <v>0</v>
      </c>
      <c r="S53" s="195">
        <f ca="1">'2. bevételek össz'!O22</f>
        <v>0</v>
      </c>
      <c r="T53" s="195"/>
      <c r="U53" s="195"/>
      <c r="V53" s="195">
        <v>0</v>
      </c>
      <c r="W53" s="195"/>
      <c r="X53" s="195"/>
      <c r="Y53" s="195">
        <v>0</v>
      </c>
      <c r="Z53" s="195">
        <v>0</v>
      </c>
      <c r="AA53" s="195">
        <v>0</v>
      </c>
      <c r="AB53" s="265">
        <f t="shared" si="13"/>
        <v>0</v>
      </c>
      <c r="AC53" s="265">
        <f t="shared" si="14"/>
        <v>0</v>
      </c>
      <c r="AD53" s="265">
        <f t="shared" si="15"/>
        <v>0</v>
      </c>
      <c r="AE53" s="265">
        <f t="shared" si="16"/>
        <v>0</v>
      </c>
      <c r="AF53" s="265">
        <f t="shared" si="17"/>
        <v>0</v>
      </c>
      <c r="AG53" s="265">
        <f t="shared" si="18"/>
        <v>0</v>
      </c>
      <c r="AH53" s="265">
        <f t="shared" si="19"/>
        <v>0</v>
      </c>
      <c r="AI53" s="265">
        <f t="shared" si="20"/>
        <v>0</v>
      </c>
      <c r="AJ53" s="265">
        <f t="shared" si="21"/>
        <v>0</v>
      </c>
      <c r="AK53" s="265"/>
      <c r="AL53" s="265"/>
      <c r="AM53" s="265"/>
      <c r="AN53" s="265"/>
      <c r="AO53" s="265"/>
      <c r="AP53" s="265"/>
      <c r="AQ53" s="265"/>
      <c r="AR53" s="265"/>
      <c r="AS53" s="265"/>
    </row>
    <row r="54" spans="1:45" ht="15">
      <c r="A54" s="20" t="s">
        <v>587</v>
      </c>
      <c r="B54" s="130">
        <f ca="1">'2. bevételek össz'!C23</f>
        <v>0</v>
      </c>
      <c r="C54" s="130">
        <f ca="1">'2. bevételek össz'!D23</f>
        <v>0</v>
      </c>
      <c r="D54" s="130">
        <f ca="1">'2. bevételek össz'!E23</f>
        <v>0</v>
      </c>
      <c r="E54" s="130">
        <v>0</v>
      </c>
      <c r="F54" s="130">
        <v>0</v>
      </c>
      <c r="G54" s="90">
        <f ca="1">'2. bevételek össz'!G23</f>
        <v>0</v>
      </c>
      <c r="H54" s="90">
        <f ca="1">'2. bevételek össz'!H23</f>
        <v>0</v>
      </c>
      <c r="I54" s="90">
        <f ca="1">'2. bevételek össz'!I23</f>
        <v>0</v>
      </c>
      <c r="J54" s="90">
        <v>0</v>
      </c>
      <c r="K54" s="90">
        <v>0</v>
      </c>
      <c r="L54" s="90">
        <f ca="1">'2. bevételek össz'!K23*0.6333</f>
        <v>0</v>
      </c>
      <c r="M54" s="90">
        <f ca="1">'2. bevételek össz'!L23*0.6333</f>
        <v>0</v>
      </c>
      <c r="N54" s="90">
        <f ca="1">'2. bevételek össz'!M23*0.6333</f>
        <v>0</v>
      </c>
      <c r="O54" s="90">
        <v>0</v>
      </c>
      <c r="P54" s="90">
        <f ca="1">'2. bevételek össz'!K23*0.3667</f>
        <v>0</v>
      </c>
      <c r="Q54" s="90">
        <f ca="1">'2. bevételek össz'!L23*0.3667</f>
        <v>0</v>
      </c>
      <c r="R54" s="90">
        <f ca="1">'2. bevételek össz'!M23*0.3667</f>
        <v>0</v>
      </c>
      <c r="S54" s="195">
        <f ca="1">'2. bevételek össz'!O23</f>
        <v>0</v>
      </c>
      <c r="T54" s="195"/>
      <c r="U54" s="195"/>
      <c r="V54" s="195">
        <v>0</v>
      </c>
      <c r="W54" s="195"/>
      <c r="X54" s="195"/>
      <c r="Y54" s="195">
        <v>0</v>
      </c>
      <c r="Z54" s="195">
        <v>0</v>
      </c>
      <c r="AA54" s="195">
        <v>0</v>
      </c>
      <c r="AB54" s="265">
        <f t="shared" si="13"/>
        <v>0</v>
      </c>
      <c r="AC54" s="265">
        <f t="shared" si="14"/>
        <v>0</v>
      </c>
      <c r="AD54" s="265">
        <f t="shared" si="15"/>
        <v>0</v>
      </c>
      <c r="AE54" s="265">
        <f t="shared" si="16"/>
        <v>0</v>
      </c>
      <c r="AF54" s="265">
        <f t="shared" si="17"/>
        <v>0</v>
      </c>
      <c r="AG54" s="265">
        <f t="shared" si="18"/>
        <v>0</v>
      </c>
      <c r="AH54" s="265">
        <f t="shared" si="19"/>
        <v>0</v>
      </c>
      <c r="AI54" s="265">
        <f t="shared" si="20"/>
        <v>0</v>
      </c>
      <c r="AJ54" s="265">
        <f t="shared" si="21"/>
        <v>0</v>
      </c>
      <c r="AK54" s="265"/>
      <c r="AL54" s="265"/>
      <c r="AM54" s="265"/>
      <c r="AN54" s="265"/>
      <c r="AO54" s="265"/>
      <c r="AP54" s="265"/>
      <c r="AQ54" s="265"/>
      <c r="AR54" s="265"/>
      <c r="AS54" s="265"/>
    </row>
    <row r="55" spans="1:45" ht="15">
      <c r="A55" s="188" t="s">
        <v>620</v>
      </c>
      <c r="B55" s="130">
        <f ca="1">'2. bevételek össz'!C24</f>
        <v>0</v>
      </c>
      <c r="C55" s="130">
        <f ca="1">'2. bevételek össz'!D24</f>
        <v>0</v>
      </c>
      <c r="D55" s="130">
        <f ca="1">'2. bevételek össz'!E24</f>
        <v>0</v>
      </c>
      <c r="E55" s="130"/>
      <c r="F55" s="130">
        <v>0</v>
      </c>
      <c r="G55" s="90">
        <f ca="1">'2. bevételek össz'!G24</f>
        <v>0</v>
      </c>
      <c r="H55" s="90">
        <f ca="1">'2. bevételek össz'!H24</f>
        <v>0</v>
      </c>
      <c r="I55" s="90">
        <f ca="1">'2. bevételek össz'!I24</f>
        <v>0</v>
      </c>
      <c r="J55" s="90">
        <v>0</v>
      </c>
      <c r="K55" s="90">
        <v>0</v>
      </c>
      <c r="L55" s="90">
        <f ca="1">'2. bevételek össz'!K24*0.6333</f>
        <v>0</v>
      </c>
      <c r="M55" s="90">
        <f ca="1">'2. bevételek össz'!L24*0.6333</f>
        <v>0</v>
      </c>
      <c r="N55" s="90">
        <f ca="1">'2. bevételek össz'!M24*0.6333</f>
        <v>0</v>
      </c>
      <c r="O55" s="90">
        <v>0</v>
      </c>
      <c r="P55" s="90">
        <f ca="1">'2. bevételek össz'!K24*0.3667</f>
        <v>0</v>
      </c>
      <c r="Q55" s="90">
        <f ca="1">'2. bevételek össz'!L24*0.3667</f>
        <v>0</v>
      </c>
      <c r="R55" s="90">
        <f ca="1">'2. bevételek össz'!M24*0.3667</f>
        <v>0</v>
      </c>
      <c r="S55" s="195">
        <f ca="1">S51+S48</f>
        <v>41986</v>
      </c>
      <c r="T55" s="195">
        <v>27035</v>
      </c>
      <c r="U55" s="195"/>
      <c r="V55" s="195">
        <f>V51+V48</f>
        <v>180265</v>
      </c>
      <c r="W55" s="195">
        <f>W51+W48</f>
        <v>195216</v>
      </c>
      <c r="X55" s="195"/>
      <c r="Y55" s="195">
        <v>0</v>
      </c>
      <c r="Z55" s="195">
        <v>0</v>
      </c>
      <c r="AA55" s="195">
        <v>0</v>
      </c>
      <c r="AB55" s="265">
        <f t="shared" si="13"/>
        <v>0</v>
      </c>
      <c r="AC55" s="265">
        <f t="shared" si="14"/>
        <v>27035</v>
      </c>
      <c r="AD55" s="265">
        <f t="shared" si="15"/>
        <v>0</v>
      </c>
      <c r="AE55" s="265">
        <f t="shared" si="16"/>
        <v>180265</v>
      </c>
      <c r="AF55" s="265">
        <f t="shared" si="17"/>
        <v>195216</v>
      </c>
      <c r="AG55" s="265">
        <f t="shared" si="18"/>
        <v>0</v>
      </c>
      <c r="AH55" s="265">
        <f t="shared" si="19"/>
        <v>0</v>
      </c>
      <c r="AI55" s="265">
        <f t="shared" si="20"/>
        <v>0</v>
      </c>
      <c r="AJ55" s="265">
        <f t="shared" si="21"/>
        <v>0</v>
      </c>
      <c r="AK55" s="265"/>
      <c r="AL55" s="265"/>
      <c r="AM55" s="265"/>
      <c r="AN55" s="265"/>
      <c r="AO55" s="265"/>
      <c r="AP55" s="265"/>
      <c r="AQ55" s="265"/>
      <c r="AR55" s="265"/>
      <c r="AS55" s="265"/>
    </row>
    <row r="56" spans="1:45" ht="15">
      <c r="A56" s="189" t="s">
        <v>593</v>
      </c>
      <c r="B56" s="130">
        <f ca="1">'2. bevételek össz'!C25</f>
        <v>1524</v>
      </c>
      <c r="C56" s="130">
        <f ca="1">'2. bevételek össz'!D25</f>
        <v>924</v>
      </c>
      <c r="D56" s="130">
        <f ca="1">'2. bevételek össz'!E25</f>
        <v>0</v>
      </c>
      <c r="E56" s="130">
        <v>0</v>
      </c>
      <c r="F56" s="130">
        <v>0</v>
      </c>
      <c r="G56" s="90">
        <f ca="1">'2. bevételek össz'!G25</f>
        <v>4826</v>
      </c>
      <c r="H56" s="90">
        <f ca="1">'2. bevételek össz'!H25</f>
        <v>4826</v>
      </c>
      <c r="I56" s="90">
        <f ca="1">'2. bevételek össz'!I25</f>
        <v>962</v>
      </c>
      <c r="J56" s="90">
        <v>0</v>
      </c>
      <c r="K56" s="90">
        <v>0</v>
      </c>
      <c r="L56" s="90">
        <f ca="1">'2. bevételek össz'!K25*0.6333</f>
        <v>402.14549999999997</v>
      </c>
      <c r="M56" s="90">
        <f ca="1">'2. bevételek össz'!L25*0.6333</f>
        <v>402.14549999999997</v>
      </c>
      <c r="N56" s="90">
        <f ca="1">'2. bevételek össz'!M25*0.6333</f>
        <v>75.995999999999995</v>
      </c>
      <c r="O56" s="90">
        <v>0</v>
      </c>
      <c r="P56" s="90">
        <f ca="1">'2. bevételek össz'!K25*0.3667</f>
        <v>232.85450000000003</v>
      </c>
      <c r="Q56" s="90">
        <f ca="1">'2. bevételek össz'!L25*0.3667</f>
        <v>232.85450000000003</v>
      </c>
      <c r="R56" s="90">
        <f ca="1">'2. bevételek össz'!M25*0.3667</f>
        <v>44.004000000000005</v>
      </c>
      <c r="S56" s="195">
        <f ca="1">'2. bevételek össz'!O25</f>
        <v>0</v>
      </c>
      <c r="T56" s="195"/>
      <c r="U56" s="195"/>
      <c r="V56" s="195">
        <v>0</v>
      </c>
      <c r="W56" s="195"/>
      <c r="X56" s="195"/>
      <c r="Y56" s="195">
        <v>0</v>
      </c>
      <c r="Z56" s="195">
        <v>0</v>
      </c>
      <c r="AA56" s="195">
        <v>0</v>
      </c>
      <c r="AB56" s="265">
        <f t="shared" si="13"/>
        <v>6752.1454999999996</v>
      </c>
      <c r="AC56" s="265">
        <f t="shared" si="14"/>
        <v>6152.1454999999996</v>
      </c>
      <c r="AD56" s="265">
        <f t="shared" si="15"/>
        <v>1037.9960000000001</v>
      </c>
      <c r="AE56" s="265">
        <f t="shared" si="16"/>
        <v>0</v>
      </c>
      <c r="AF56" s="265">
        <f t="shared" si="17"/>
        <v>0</v>
      </c>
      <c r="AG56" s="265">
        <f t="shared" si="18"/>
        <v>0</v>
      </c>
      <c r="AH56" s="265">
        <f t="shared" si="19"/>
        <v>0</v>
      </c>
      <c r="AI56" s="265">
        <f t="shared" si="20"/>
        <v>0</v>
      </c>
      <c r="AJ56" s="265">
        <f t="shared" si="21"/>
        <v>0</v>
      </c>
      <c r="AK56" s="265">
        <f>AB56</f>
        <v>6752.1454999999996</v>
      </c>
      <c r="AL56" s="265">
        <v>6385</v>
      </c>
      <c r="AM56" s="265">
        <v>2763</v>
      </c>
      <c r="AN56" s="265"/>
      <c r="AO56" s="265"/>
      <c r="AP56" s="265"/>
      <c r="AQ56" s="265"/>
      <c r="AR56" s="265"/>
      <c r="AS56" s="265"/>
    </row>
    <row r="57" spans="1:45" ht="15">
      <c r="A57" s="192" t="s">
        <v>623</v>
      </c>
      <c r="B57" s="130">
        <f ca="1">'2. bevételek össz'!C26</f>
        <v>0</v>
      </c>
      <c r="C57" s="130">
        <f ca="1">'2. bevételek össz'!D26</f>
        <v>0</v>
      </c>
      <c r="D57" s="130">
        <f ca="1">'2. bevételek össz'!E26</f>
        <v>0</v>
      </c>
      <c r="E57" s="130">
        <v>0</v>
      </c>
      <c r="F57" s="130">
        <v>0</v>
      </c>
      <c r="G57" s="90">
        <f ca="1">'2. bevételek össz'!G26</f>
        <v>0</v>
      </c>
      <c r="H57" s="90">
        <f ca="1">'2. bevételek össz'!H26</f>
        <v>0</v>
      </c>
      <c r="I57" s="90">
        <f ca="1">'2. bevételek össz'!I26</f>
        <v>0</v>
      </c>
      <c r="J57" s="90">
        <v>0</v>
      </c>
      <c r="K57" s="90">
        <v>0</v>
      </c>
      <c r="L57" s="90">
        <f ca="1">'2. bevételek össz'!K26*0.6333</f>
        <v>0</v>
      </c>
      <c r="M57" s="90">
        <f ca="1">'2. bevételek össz'!L26*0.6333</f>
        <v>0</v>
      </c>
      <c r="N57" s="90">
        <f ca="1">'2. bevételek össz'!M26*0.6333</f>
        <v>0</v>
      </c>
      <c r="O57" s="90">
        <v>0</v>
      </c>
      <c r="P57" s="90">
        <f ca="1">'2. bevételek össz'!K26*0.3667</f>
        <v>0</v>
      </c>
      <c r="Q57" s="90">
        <f ca="1">'2. bevételek össz'!L26*0.3667</f>
        <v>0</v>
      </c>
      <c r="R57" s="90">
        <f ca="1">'2. bevételek össz'!M26*0.3667</f>
        <v>0</v>
      </c>
      <c r="S57" s="195">
        <f ca="1">'2. bevételek össz'!O26</f>
        <v>36490</v>
      </c>
      <c r="T57" s="195"/>
      <c r="U57" s="195"/>
      <c r="V57" s="195">
        <v>0</v>
      </c>
      <c r="W57" s="195">
        <v>36490</v>
      </c>
      <c r="X57" s="195"/>
      <c r="Y57" s="195">
        <v>0</v>
      </c>
      <c r="Z57" s="195">
        <v>0</v>
      </c>
      <c r="AA57" s="195">
        <v>0</v>
      </c>
      <c r="AB57" s="265">
        <f t="shared" si="13"/>
        <v>0</v>
      </c>
      <c r="AC57" s="265">
        <f t="shared" si="14"/>
        <v>0</v>
      </c>
      <c r="AD57" s="265">
        <f t="shared" si="15"/>
        <v>0</v>
      </c>
      <c r="AE57" s="265">
        <f t="shared" si="16"/>
        <v>0</v>
      </c>
      <c r="AF57" s="265">
        <f t="shared" si="17"/>
        <v>36490</v>
      </c>
      <c r="AG57" s="265">
        <f t="shared" si="18"/>
        <v>0</v>
      </c>
      <c r="AH57" s="265">
        <f t="shared" si="19"/>
        <v>0</v>
      </c>
      <c r="AI57" s="265">
        <f t="shared" si="20"/>
        <v>0</v>
      </c>
      <c r="AJ57" s="265">
        <f t="shared" si="21"/>
        <v>0</v>
      </c>
      <c r="AK57" s="265"/>
      <c r="AL57" s="265"/>
      <c r="AM57" s="265"/>
      <c r="AN57" s="265"/>
      <c r="AO57" s="265"/>
      <c r="AP57" s="265"/>
      <c r="AQ57" s="265"/>
      <c r="AR57" s="265"/>
      <c r="AS57" s="265"/>
    </row>
    <row r="58" spans="1:45" ht="15">
      <c r="A58" s="171" t="s">
        <v>596</v>
      </c>
      <c r="B58" s="130">
        <f ca="1">'2. bevételek össz'!C27</f>
        <v>0</v>
      </c>
      <c r="C58" s="130">
        <f ca="1">'2. bevételek össz'!D27</f>
        <v>0</v>
      </c>
      <c r="D58" s="130">
        <f ca="1">'2. bevételek össz'!E27</f>
        <v>0</v>
      </c>
      <c r="E58" s="130">
        <v>0</v>
      </c>
      <c r="F58" s="130">
        <v>0</v>
      </c>
      <c r="G58" s="90">
        <f ca="1">'2. bevételek össz'!G27</f>
        <v>0</v>
      </c>
      <c r="H58" s="90">
        <f ca="1">'2. bevételek össz'!H27</f>
        <v>0</v>
      </c>
      <c r="I58" s="90">
        <f ca="1">'2. bevételek össz'!I27</f>
        <v>0</v>
      </c>
      <c r="J58" s="90">
        <v>0</v>
      </c>
      <c r="K58" s="90">
        <v>0</v>
      </c>
      <c r="L58" s="90">
        <f ca="1">'2. bevételek össz'!K27*0.6333</f>
        <v>0</v>
      </c>
      <c r="M58" s="90">
        <f ca="1">'2. bevételek össz'!L27*0.6333</f>
        <v>0</v>
      </c>
      <c r="N58" s="90">
        <f ca="1">'2. bevételek össz'!M27*0.6333</f>
        <v>0</v>
      </c>
      <c r="O58" s="90">
        <v>0</v>
      </c>
      <c r="P58" s="90">
        <f ca="1">'2. bevételek össz'!K27*0.3667</f>
        <v>0</v>
      </c>
      <c r="Q58" s="90">
        <f ca="1">'2. bevételek össz'!L27*0.3667</f>
        <v>0</v>
      </c>
      <c r="R58" s="90">
        <f ca="1">'2. bevételek össz'!M27*0.3667</f>
        <v>0</v>
      </c>
      <c r="S58" s="195">
        <f ca="1">'2. bevételek össz'!O27</f>
        <v>0</v>
      </c>
      <c r="T58" s="195"/>
      <c r="U58" s="195"/>
      <c r="V58" s="195">
        <v>0</v>
      </c>
      <c r="W58" s="195"/>
      <c r="X58" s="195"/>
      <c r="Y58" s="195">
        <v>0</v>
      </c>
      <c r="Z58" s="195">
        <v>0</v>
      </c>
      <c r="AA58" s="195">
        <v>0</v>
      </c>
      <c r="AB58" s="265">
        <f t="shared" si="13"/>
        <v>0</v>
      </c>
      <c r="AC58" s="265">
        <f t="shared" si="14"/>
        <v>0</v>
      </c>
      <c r="AD58" s="265">
        <f t="shared" si="15"/>
        <v>0</v>
      </c>
      <c r="AE58" s="265">
        <f t="shared" si="16"/>
        <v>0</v>
      </c>
      <c r="AF58" s="265">
        <f t="shared" si="17"/>
        <v>0</v>
      </c>
      <c r="AG58" s="265">
        <f t="shared" si="18"/>
        <v>0</v>
      </c>
      <c r="AH58" s="265">
        <f t="shared" si="19"/>
        <v>0</v>
      </c>
      <c r="AI58" s="265">
        <f t="shared" si="20"/>
        <v>0</v>
      </c>
      <c r="AJ58" s="265">
        <f t="shared" si="21"/>
        <v>0</v>
      </c>
      <c r="AK58" s="265"/>
      <c r="AL58" s="265"/>
      <c r="AM58" s="265"/>
      <c r="AN58" s="265"/>
      <c r="AO58" s="265"/>
      <c r="AP58" s="265"/>
      <c r="AQ58" s="265"/>
      <c r="AR58" s="265"/>
      <c r="AS58" s="265"/>
    </row>
    <row r="59" spans="1:45" ht="15">
      <c r="A59" s="171" t="s">
        <v>622</v>
      </c>
      <c r="B59" s="130">
        <f ca="1">'2. bevételek össz'!C28</f>
        <v>0</v>
      </c>
      <c r="C59" s="130">
        <f ca="1">'2. bevételek össz'!D28</f>
        <v>0</v>
      </c>
      <c r="D59" s="130">
        <f ca="1">'2. bevételek össz'!E28</f>
        <v>0</v>
      </c>
      <c r="E59" s="130"/>
      <c r="F59" s="130">
        <v>0</v>
      </c>
      <c r="G59" s="90">
        <f ca="1">'2. bevételek össz'!G28</f>
        <v>0</v>
      </c>
      <c r="H59" s="90">
        <f ca="1">'2. bevételek össz'!H28</f>
        <v>0</v>
      </c>
      <c r="I59" s="90">
        <f ca="1">'2. bevételek össz'!I28</f>
        <v>0</v>
      </c>
      <c r="J59" s="90">
        <v>0</v>
      </c>
      <c r="K59" s="90">
        <v>0</v>
      </c>
      <c r="L59" s="90">
        <f ca="1">'2. bevételek össz'!K28*0.6333</f>
        <v>0</v>
      </c>
      <c r="M59" s="90">
        <f ca="1">'2. bevételek össz'!L28*0.6333</f>
        <v>0</v>
      </c>
      <c r="N59" s="90">
        <f ca="1">'2. bevételek össz'!M28*0.6333</f>
        <v>0</v>
      </c>
      <c r="O59" s="90">
        <v>0</v>
      </c>
      <c r="P59" s="90">
        <f ca="1">'2. bevételek össz'!K28*0.3667</f>
        <v>0</v>
      </c>
      <c r="Q59" s="90">
        <f ca="1">'2. bevételek össz'!L28*0.3667</f>
        <v>0</v>
      </c>
      <c r="R59" s="90">
        <f ca="1">'2. bevételek össz'!M28*0.3667</f>
        <v>0</v>
      </c>
      <c r="S59" s="195">
        <f ca="1">'2. bevételek össz'!O28</f>
        <v>50000</v>
      </c>
      <c r="T59" s="195">
        <v>50000</v>
      </c>
      <c r="U59" s="195"/>
      <c r="V59" s="195"/>
      <c r="W59" s="195"/>
      <c r="X59" s="195"/>
      <c r="Y59" s="195">
        <v>0</v>
      </c>
      <c r="Z59" s="195">
        <v>0</v>
      </c>
      <c r="AA59" s="195">
        <v>0</v>
      </c>
      <c r="AB59" s="265">
        <f t="shared" si="13"/>
        <v>0</v>
      </c>
      <c r="AC59" s="265">
        <f t="shared" si="14"/>
        <v>50000</v>
      </c>
      <c r="AD59" s="265">
        <f t="shared" si="15"/>
        <v>0</v>
      </c>
      <c r="AE59" s="265">
        <f t="shared" si="16"/>
        <v>0</v>
      </c>
      <c r="AF59" s="265">
        <f t="shared" si="17"/>
        <v>0</v>
      </c>
      <c r="AG59" s="265">
        <f t="shared" si="18"/>
        <v>0</v>
      </c>
      <c r="AH59" s="265">
        <f t="shared" si="19"/>
        <v>0</v>
      </c>
      <c r="AI59" s="265">
        <f t="shared" si="20"/>
        <v>0</v>
      </c>
      <c r="AJ59" s="265">
        <f t="shared" si="21"/>
        <v>0</v>
      </c>
      <c r="AK59" s="265"/>
      <c r="AL59" s="265"/>
      <c r="AM59" s="265"/>
      <c r="AN59" s="265"/>
      <c r="AO59" s="265"/>
      <c r="AP59" s="265"/>
      <c r="AQ59" s="265"/>
      <c r="AR59" s="265"/>
      <c r="AS59" s="265"/>
    </row>
    <row r="60" spans="1:45" ht="15">
      <c r="A60" s="44" t="s">
        <v>589</v>
      </c>
      <c r="B60" s="130">
        <f ca="1">'2. bevételek össz'!C29</f>
        <v>1524</v>
      </c>
      <c r="C60" s="130">
        <f ca="1">'2. bevételek össz'!D29</f>
        <v>924</v>
      </c>
      <c r="D60" s="130">
        <f ca="1">'2. bevételek össz'!E29</f>
        <v>600</v>
      </c>
      <c r="E60" s="130">
        <v>0</v>
      </c>
      <c r="F60" s="130">
        <v>0</v>
      </c>
      <c r="G60" s="90">
        <f ca="1">'2. bevételek össz'!G29</f>
        <v>4826</v>
      </c>
      <c r="H60" s="90">
        <f ca="1">'2. bevételek össz'!H29</f>
        <v>4826</v>
      </c>
      <c r="I60" s="90">
        <f ca="1">'2. bevételek össz'!I29</f>
        <v>962</v>
      </c>
      <c r="J60" s="90">
        <v>0</v>
      </c>
      <c r="K60" s="90">
        <v>0</v>
      </c>
      <c r="L60" s="90">
        <f ca="1">'2. bevételek össz'!K29*0.6333</f>
        <v>402.14549999999997</v>
      </c>
      <c r="M60" s="90">
        <f ca="1">'2. bevételek össz'!L29*0.6333</f>
        <v>402.14549999999997</v>
      </c>
      <c r="N60" s="90">
        <f ca="1">'2. bevételek össz'!M29*0.6333</f>
        <v>75.995999999999995</v>
      </c>
      <c r="O60" s="90">
        <v>0</v>
      </c>
      <c r="P60" s="90">
        <f ca="1">'2. bevételek össz'!K29*0.3667</f>
        <v>232.85450000000003</v>
      </c>
      <c r="Q60" s="90">
        <f ca="1">'2. bevételek össz'!L29*0.3667</f>
        <v>232.85450000000003</v>
      </c>
      <c r="R60" s="90">
        <f ca="1">'2. bevételek össz'!M29*0.3667</f>
        <v>44.004000000000005</v>
      </c>
      <c r="S60" s="195">
        <f t="shared" ref="S60:Y60" si="24">S55+S57+S59</f>
        <v>128476</v>
      </c>
      <c r="T60" s="195">
        <f t="shared" si="24"/>
        <v>77035</v>
      </c>
      <c r="U60" s="195">
        <f t="shared" si="24"/>
        <v>0</v>
      </c>
      <c r="V60" s="195">
        <f t="shared" si="24"/>
        <v>180265</v>
      </c>
      <c r="W60" s="195">
        <f t="shared" si="24"/>
        <v>231706</v>
      </c>
      <c r="X60" s="195">
        <f t="shared" si="24"/>
        <v>0</v>
      </c>
      <c r="Y60" s="195">
        <f t="shared" si="24"/>
        <v>0</v>
      </c>
      <c r="Z60" s="195">
        <v>0</v>
      </c>
      <c r="AA60" s="195">
        <v>0</v>
      </c>
      <c r="AB60" s="265">
        <f t="shared" si="13"/>
        <v>6752.1454999999996</v>
      </c>
      <c r="AC60" s="265">
        <f t="shared" si="14"/>
        <v>83187.145499999999</v>
      </c>
      <c r="AD60" s="265">
        <f t="shared" si="15"/>
        <v>1637.9960000000001</v>
      </c>
      <c r="AE60" s="265">
        <f t="shared" si="16"/>
        <v>180265</v>
      </c>
      <c r="AF60" s="265">
        <f t="shared" si="17"/>
        <v>231706</v>
      </c>
      <c r="AG60" s="265">
        <f t="shared" si="18"/>
        <v>0</v>
      </c>
      <c r="AH60" s="265">
        <f t="shared" si="19"/>
        <v>0</v>
      </c>
      <c r="AI60" s="265">
        <f t="shared" si="20"/>
        <v>0</v>
      </c>
      <c r="AJ60" s="265">
        <f t="shared" si="21"/>
        <v>0</v>
      </c>
      <c r="AK60" s="265"/>
      <c r="AL60" s="265"/>
      <c r="AM60" s="265"/>
      <c r="AN60" s="265"/>
      <c r="AO60" s="265"/>
      <c r="AP60" s="265"/>
      <c r="AQ60" s="265"/>
      <c r="AR60" s="265"/>
      <c r="AS60" s="265"/>
    </row>
    <row r="61" spans="1:45" ht="15">
      <c r="A61" s="191" t="s">
        <v>626</v>
      </c>
      <c r="B61" s="130">
        <f ca="1">'2. bevételek össz'!C30</f>
        <v>0</v>
      </c>
      <c r="C61" s="130">
        <f ca="1">'2. bevételek össz'!D30</f>
        <v>0</v>
      </c>
      <c r="D61" s="130">
        <f ca="1">'2. bevételek össz'!E30</f>
        <v>-0.10000000000002274</v>
      </c>
      <c r="E61" s="130">
        <v>0</v>
      </c>
      <c r="F61" s="130">
        <v>0</v>
      </c>
      <c r="G61" s="90">
        <f ca="1">'2. bevételek össz'!G30</f>
        <v>0</v>
      </c>
      <c r="H61" s="90">
        <f ca="1">'2. bevételek össz'!H30</f>
        <v>0</v>
      </c>
      <c r="I61" s="90">
        <f ca="1">'2. bevételek össz'!I30</f>
        <v>0</v>
      </c>
      <c r="J61" s="90">
        <v>0</v>
      </c>
      <c r="K61" s="90">
        <v>0</v>
      </c>
      <c r="L61" s="90">
        <f ca="1">'2. bevételek össz'!K30*0.6333</f>
        <v>0</v>
      </c>
      <c r="M61" s="90">
        <f ca="1">'2. bevételek össz'!L30*0.6333</f>
        <v>0</v>
      </c>
      <c r="N61" s="90">
        <f ca="1">'2. bevételek össz'!M30*0.6333</f>
        <v>0</v>
      </c>
      <c r="O61" s="90">
        <v>0</v>
      </c>
      <c r="P61" s="90">
        <f ca="1">'2. bevételek össz'!K30*0.3667</f>
        <v>0</v>
      </c>
      <c r="Q61" s="90">
        <f ca="1">'2. bevételek össz'!L30*0.3667</f>
        <v>0</v>
      </c>
      <c r="R61" s="90">
        <f ca="1">'2. bevételek össz'!M30*0.3667</f>
        <v>0</v>
      </c>
      <c r="S61" s="195">
        <f ca="1">'2. bevételek össz'!O30</f>
        <v>0</v>
      </c>
      <c r="T61" s="195"/>
      <c r="U61" s="195"/>
      <c r="V61" s="195">
        <v>0</v>
      </c>
      <c r="W61" s="195"/>
      <c r="X61" s="195"/>
      <c r="Y61" s="195">
        <v>0</v>
      </c>
      <c r="Z61" s="195">
        <v>0</v>
      </c>
      <c r="AA61" s="195">
        <v>0</v>
      </c>
      <c r="AB61" s="265">
        <f t="shared" si="13"/>
        <v>0</v>
      </c>
      <c r="AC61" s="265">
        <f t="shared" si="14"/>
        <v>0</v>
      </c>
      <c r="AD61" s="265">
        <f t="shared" si="15"/>
        <v>-0.10000000000002274</v>
      </c>
      <c r="AE61" s="265">
        <f t="shared" si="16"/>
        <v>0</v>
      </c>
      <c r="AF61" s="265">
        <f t="shared" si="17"/>
        <v>0</v>
      </c>
      <c r="AG61" s="265">
        <f t="shared" si="18"/>
        <v>0</v>
      </c>
      <c r="AH61" s="265">
        <f t="shared" si="19"/>
        <v>0</v>
      </c>
      <c r="AI61" s="265">
        <f t="shared" si="20"/>
        <v>0</v>
      </c>
      <c r="AJ61" s="265">
        <f t="shared" si="21"/>
        <v>0</v>
      </c>
      <c r="AK61" s="265"/>
      <c r="AL61" s="265"/>
      <c r="AM61" s="265"/>
      <c r="AN61" s="265"/>
      <c r="AO61" s="265"/>
      <c r="AP61" s="265"/>
      <c r="AQ61" s="265"/>
      <c r="AR61" s="265"/>
      <c r="AS61" s="265"/>
    </row>
    <row r="62" spans="1:45" ht="15">
      <c r="A62" s="185" t="s">
        <v>627</v>
      </c>
      <c r="B62" s="130">
        <f ca="1">'2. bevételek össz'!C31</f>
        <v>0</v>
      </c>
      <c r="C62" s="130">
        <f ca="1">'2. bevételek össz'!D31</f>
        <v>0</v>
      </c>
      <c r="D62" s="130">
        <f ca="1">'2. bevételek össz'!E31</f>
        <v>0</v>
      </c>
      <c r="E62" s="130">
        <v>0</v>
      </c>
      <c r="F62" s="130">
        <v>0</v>
      </c>
      <c r="G62" s="90">
        <f ca="1">'2. bevételek össz'!G31</f>
        <v>0</v>
      </c>
      <c r="H62" s="90">
        <f ca="1">'2. bevételek össz'!H31</f>
        <v>0</v>
      </c>
      <c r="I62" s="90">
        <f ca="1">'2. bevételek össz'!I31</f>
        <v>0</v>
      </c>
      <c r="J62" s="90">
        <v>0</v>
      </c>
      <c r="K62" s="90">
        <v>0</v>
      </c>
      <c r="L62" s="90">
        <f ca="1">'2. bevételek össz'!K31*0.6333</f>
        <v>0</v>
      </c>
      <c r="M62" s="90">
        <f ca="1">'2. bevételek össz'!L31*0.6333</f>
        <v>0</v>
      </c>
      <c r="N62" s="90">
        <f ca="1">'2. bevételek össz'!M31*0.6333</f>
        <v>0</v>
      </c>
      <c r="O62" s="90">
        <v>0</v>
      </c>
      <c r="P62" s="90">
        <f ca="1">'2. bevételek össz'!K31*0.3667</f>
        <v>0</v>
      </c>
      <c r="Q62" s="90">
        <f ca="1">'2. bevételek össz'!L31*0.3667</f>
        <v>0</v>
      </c>
      <c r="R62" s="90">
        <f ca="1">'2. bevételek össz'!M31*0.3667</f>
        <v>0</v>
      </c>
      <c r="S62" s="195">
        <f ca="1">'2. bevételek össz'!O31</f>
        <v>0</v>
      </c>
      <c r="T62" s="195"/>
      <c r="U62" s="195"/>
      <c r="V62" s="195">
        <v>0</v>
      </c>
      <c r="W62" s="195"/>
      <c r="X62" s="195"/>
      <c r="Y62" s="195">
        <v>0</v>
      </c>
      <c r="Z62" s="195">
        <v>0</v>
      </c>
      <c r="AA62" s="195">
        <v>0</v>
      </c>
      <c r="AB62" s="265">
        <f t="shared" si="13"/>
        <v>0</v>
      </c>
      <c r="AC62" s="265">
        <f t="shared" si="14"/>
        <v>0</v>
      </c>
      <c r="AD62" s="265">
        <f t="shared" si="15"/>
        <v>0</v>
      </c>
      <c r="AE62" s="265">
        <f t="shared" si="16"/>
        <v>0</v>
      </c>
      <c r="AF62" s="265">
        <f t="shared" si="17"/>
        <v>0</v>
      </c>
      <c r="AG62" s="265">
        <f t="shared" si="18"/>
        <v>0</v>
      </c>
      <c r="AH62" s="265">
        <f t="shared" si="19"/>
        <v>0</v>
      </c>
      <c r="AI62" s="265">
        <f t="shared" si="20"/>
        <v>0</v>
      </c>
      <c r="AJ62" s="265">
        <f t="shared" si="21"/>
        <v>0</v>
      </c>
      <c r="AK62" s="265"/>
      <c r="AL62" s="265"/>
      <c r="AM62" s="265"/>
      <c r="AN62" s="265"/>
      <c r="AO62" s="265"/>
      <c r="AP62" s="265"/>
      <c r="AQ62" s="265"/>
      <c r="AR62" s="265"/>
      <c r="AS62" s="265"/>
    </row>
    <row r="63" spans="1:45" ht="15">
      <c r="A63" s="180" t="s">
        <v>628</v>
      </c>
      <c r="B63" s="130">
        <f ca="1">'2. bevételek össz'!C32</f>
        <v>49250</v>
      </c>
      <c r="C63" s="130">
        <f ca="1">'2. bevételek össz'!D32</f>
        <v>53662.542000000001</v>
      </c>
      <c r="D63" s="130">
        <f ca="1">'2. bevételek össz'!E32</f>
        <v>53087</v>
      </c>
      <c r="E63" s="130"/>
      <c r="F63" s="130">
        <v>0</v>
      </c>
      <c r="G63" s="90">
        <f ca="1">'2. bevételek össz'!G32</f>
        <v>29900</v>
      </c>
      <c r="H63" s="90">
        <f ca="1">'2. bevételek össz'!H32</f>
        <v>30747.414000000001</v>
      </c>
      <c r="I63" s="90">
        <f ca="1">'2. bevételek össz'!I32</f>
        <v>24993.813999999998</v>
      </c>
      <c r="J63" s="90">
        <v>0</v>
      </c>
      <c r="K63" s="90">
        <v>0</v>
      </c>
      <c r="L63" s="90">
        <f ca="1">'2. bevételek össz'!K32*0.6333</f>
        <v>35781.449999999997</v>
      </c>
      <c r="M63" s="90">
        <f ca="1">'2. bevételek össz'!L32*0.6333</f>
        <v>40781.353499999997</v>
      </c>
      <c r="N63" s="90">
        <f ca="1">'2. bevételek össz'!M32*0.6333</f>
        <v>36374.852099999996</v>
      </c>
      <c r="O63" s="90">
        <v>0</v>
      </c>
      <c r="P63" s="90">
        <f ca="1">'2. bevételek össz'!K32*0.3667</f>
        <v>20718.550000000003</v>
      </c>
      <c r="Q63" s="90">
        <f ca="1">'2. bevételek össz'!L32*0.3667</f>
        <v>23613.646500000003</v>
      </c>
      <c r="R63" s="90">
        <f ca="1">'2. bevételek össz'!M32*0.3667</f>
        <v>21062.1479</v>
      </c>
      <c r="S63" s="195">
        <f ca="1">S60+S45</f>
        <v>461069</v>
      </c>
      <c r="T63" s="195">
        <f t="shared" ref="T63:Y63" si="25">T60+T45</f>
        <v>611428</v>
      </c>
      <c r="U63" s="195">
        <f t="shared" si="25"/>
        <v>470721</v>
      </c>
      <c r="V63" s="195">
        <f t="shared" si="25"/>
        <v>236865</v>
      </c>
      <c r="W63" s="195">
        <f t="shared" si="25"/>
        <v>237698</v>
      </c>
      <c r="X63" s="195">
        <f t="shared" si="25"/>
        <v>3701</v>
      </c>
      <c r="Y63" s="195">
        <f t="shared" si="25"/>
        <v>20353</v>
      </c>
      <c r="Z63" s="195">
        <v>0</v>
      </c>
      <c r="AA63" s="195">
        <v>0</v>
      </c>
      <c r="AB63" s="265">
        <f t="shared" si="13"/>
        <v>114931.45</v>
      </c>
      <c r="AC63" s="265">
        <f t="shared" si="14"/>
        <v>736619.30949999997</v>
      </c>
      <c r="AD63" s="265">
        <f t="shared" si="15"/>
        <v>114455.6661</v>
      </c>
      <c r="AE63" s="265">
        <f t="shared" si="16"/>
        <v>236865</v>
      </c>
      <c r="AF63" s="265">
        <f t="shared" si="17"/>
        <v>237698</v>
      </c>
      <c r="AG63" s="265">
        <f t="shared" si="18"/>
        <v>3701</v>
      </c>
      <c r="AH63" s="265">
        <f t="shared" si="19"/>
        <v>20353</v>
      </c>
      <c r="AI63" s="265">
        <f t="shared" si="20"/>
        <v>0</v>
      </c>
      <c r="AJ63" s="265">
        <f t="shared" si="21"/>
        <v>0</v>
      </c>
      <c r="AK63" s="265">
        <v>106533</v>
      </c>
      <c r="AL63" s="265">
        <f t="shared" ref="AL63:AQ63" si="26">AL56+AL45</f>
        <v>146426</v>
      </c>
      <c r="AM63" s="265">
        <f t="shared" si="26"/>
        <v>133367</v>
      </c>
      <c r="AN63" s="265">
        <f t="shared" si="26"/>
        <v>0</v>
      </c>
      <c r="AO63" s="265">
        <f t="shared" si="26"/>
        <v>0</v>
      </c>
      <c r="AP63" s="265">
        <f t="shared" si="26"/>
        <v>0</v>
      </c>
      <c r="AQ63" s="265">
        <f t="shared" si="26"/>
        <v>20353</v>
      </c>
      <c r="AR63" s="265"/>
      <c r="AS63" s="265"/>
    </row>
    <row r="64" spans="1:45" ht="15">
      <c r="A64" s="2"/>
      <c r="B64" s="262"/>
      <c r="C64" s="262"/>
      <c r="D64" s="262"/>
      <c r="E64" s="262"/>
      <c r="F64" s="262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</row>
    <row r="65" spans="1:18" ht="15">
      <c r="A65" s="71"/>
      <c r="B65" s="262"/>
      <c r="C65" s="262"/>
      <c r="D65" s="262"/>
      <c r="E65" s="262"/>
      <c r="F65" s="262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</row>
    <row r="66" spans="1:18" ht="15">
      <c r="A66" s="2"/>
      <c r="B66" s="262"/>
      <c r="C66" s="262"/>
      <c r="D66" s="262"/>
      <c r="E66" s="262"/>
      <c r="F66" s="262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</row>
    <row r="67" spans="1:18" ht="15">
      <c r="A67" s="2"/>
      <c r="B67" s="262"/>
      <c r="C67" s="262"/>
      <c r="D67" s="262"/>
      <c r="E67" s="262"/>
      <c r="F67" s="262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</row>
    <row r="68" spans="1:18" ht="15">
      <c r="A68" s="2"/>
      <c r="B68" s="262"/>
      <c r="C68" s="262"/>
      <c r="D68" s="262"/>
      <c r="E68" s="262"/>
      <c r="F68" s="262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</row>
    <row r="69" spans="1:18" ht="15">
      <c r="A69" s="2"/>
      <c r="B69" s="262"/>
      <c r="C69" s="262"/>
      <c r="D69" s="262"/>
      <c r="E69" s="262"/>
      <c r="F69" s="262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</row>
    <row r="70" spans="1:18" ht="15">
      <c r="A70" s="2"/>
      <c r="B70" s="262"/>
      <c r="C70" s="262"/>
      <c r="D70" s="262"/>
      <c r="E70" s="262"/>
      <c r="F70" s="262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</row>
    <row r="71" spans="1:18" ht="15">
      <c r="A71" s="2"/>
      <c r="B71" s="262"/>
      <c r="C71" s="262"/>
      <c r="D71" s="262"/>
      <c r="E71" s="262"/>
      <c r="F71" s="262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</row>
    <row r="72" spans="1:18" ht="15">
      <c r="A72" s="2"/>
      <c r="B72" s="262"/>
      <c r="C72" s="262"/>
      <c r="D72" s="262"/>
      <c r="E72" s="262"/>
      <c r="F72" s="262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</row>
    <row r="73" spans="1:18" ht="15">
      <c r="A73" s="2"/>
      <c r="B73" s="262"/>
      <c r="C73" s="262"/>
      <c r="D73" s="262"/>
      <c r="E73" s="262"/>
      <c r="F73" s="262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</row>
    <row r="74" spans="1:18" ht="15">
      <c r="A74" s="2"/>
      <c r="B74" s="262"/>
      <c r="C74" s="262"/>
      <c r="D74" s="262"/>
      <c r="E74" s="262"/>
      <c r="F74" s="262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</row>
    <row r="75" spans="1:18" ht="15">
      <c r="A75" s="2"/>
      <c r="B75" s="262"/>
      <c r="C75" s="262"/>
      <c r="D75" s="262"/>
      <c r="E75" s="262"/>
      <c r="F75" s="262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</row>
    <row r="76" spans="1:18" ht="15">
      <c r="A76" s="2"/>
      <c r="B76" s="262"/>
      <c r="C76" s="262"/>
      <c r="D76" s="262"/>
      <c r="E76" s="262"/>
      <c r="F76" s="262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</row>
    <row r="77" spans="1:18" ht="15">
      <c r="A77" s="2"/>
      <c r="B77" s="262"/>
      <c r="C77" s="262"/>
      <c r="D77" s="262"/>
      <c r="E77" s="262"/>
      <c r="F77" s="262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</row>
    <row r="78" spans="1:18" ht="15">
      <c r="A78" s="2"/>
      <c r="B78" s="262"/>
      <c r="C78" s="262"/>
      <c r="D78" s="262"/>
      <c r="E78" s="262"/>
      <c r="F78" s="262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</row>
    <row r="79" spans="1:18" ht="15">
      <c r="A79" s="2"/>
      <c r="B79" s="262"/>
      <c r="C79" s="262"/>
      <c r="D79" s="262"/>
      <c r="E79" s="262"/>
      <c r="F79" s="262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</row>
    <row r="80" spans="1:18" ht="15">
      <c r="A80" s="2"/>
      <c r="B80" s="262"/>
      <c r="C80" s="262"/>
      <c r="D80" s="262"/>
      <c r="E80" s="262"/>
      <c r="F80" s="262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</row>
    <row r="81" spans="1:18" ht="15">
      <c r="A81" s="2"/>
      <c r="B81" s="262"/>
      <c r="C81" s="262"/>
      <c r="D81" s="262"/>
      <c r="E81" s="262"/>
      <c r="F81" s="262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</row>
    <row r="82" spans="1:18" ht="15">
      <c r="A82" s="2"/>
      <c r="B82" s="262"/>
      <c r="C82" s="262"/>
      <c r="D82" s="262"/>
      <c r="E82" s="262"/>
      <c r="F82" s="262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</row>
    <row r="83" spans="1:18" ht="15">
      <c r="A83" s="2"/>
      <c r="B83" s="262"/>
      <c r="C83" s="262"/>
      <c r="D83" s="262"/>
      <c r="E83" s="262"/>
      <c r="F83" s="262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</row>
    <row r="84" spans="1:18" ht="15">
      <c r="A84" s="2"/>
      <c r="B84" s="262"/>
      <c r="C84" s="262"/>
      <c r="D84" s="262"/>
      <c r="E84" s="262"/>
      <c r="F84" s="262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</row>
    <row r="85" spans="1:18" ht="15">
      <c r="A85" s="2"/>
      <c r="B85" s="262"/>
      <c r="C85" s="262"/>
      <c r="D85" s="262"/>
      <c r="E85" s="262"/>
      <c r="F85" s="262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</row>
    <row r="86" spans="1:18" ht="15">
      <c r="A86" s="2"/>
      <c r="B86" s="262"/>
      <c r="C86" s="262"/>
      <c r="D86" s="262"/>
      <c r="E86" s="262"/>
      <c r="F86" s="262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</row>
    <row r="87" spans="1:18" ht="15">
      <c r="A87" s="2"/>
      <c r="B87" s="262"/>
      <c r="C87" s="262"/>
      <c r="D87" s="262"/>
      <c r="E87" s="262"/>
      <c r="F87" s="262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</row>
    <row r="88" spans="1:18" ht="15">
      <c r="A88" s="2"/>
      <c r="B88" s="262"/>
      <c r="C88" s="262"/>
      <c r="D88" s="262"/>
      <c r="E88" s="262"/>
      <c r="F88" s="262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</row>
    <row r="89" spans="1:18" ht="15">
      <c r="A89" s="2"/>
      <c r="B89" s="262"/>
      <c r="C89" s="262"/>
      <c r="D89" s="262"/>
      <c r="E89" s="262"/>
      <c r="F89" s="262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</row>
    <row r="90" spans="1:18" ht="15">
      <c r="A90" s="2"/>
      <c r="B90" s="262"/>
      <c r="C90" s="262"/>
      <c r="D90" s="262"/>
      <c r="E90" s="262"/>
      <c r="F90" s="262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</row>
    <row r="91" spans="1:18" ht="15">
      <c r="A91" s="2"/>
      <c r="B91" s="262"/>
      <c r="C91" s="262"/>
      <c r="D91" s="262"/>
      <c r="E91" s="262"/>
      <c r="F91" s="262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</row>
    <row r="92" spans="1:18" ht="15">
      <c r="A92" s="2"/>
      <c r="B92" s="262"/>
      <c r="C92" s="262"/>
      <c r="D92" s="262"/>
      <c r="E92" s="262"/>
      <c r="F92" s="262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</row>
    <row r="93" spans="1:18" ht="15">
      <c r="A93" s="2"/>
      <c r="B93" s="262"/>
      <c r="C93" s="262"/>
      <c r="D93" s="262"/>
      <c r="E93" s="262"/>
      <c r="F93" s="262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</row>
    <row r="94" spans="1:18" ht="15">
      <c r="A94" s="2"/>
      <c r="B94" s="262"/>
      <c r="C94" s="262"/>
      <c r="D94" s="262"/>
      <c r="E94" s="262"/>
      <c r="F94" s="262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</row>
    <row r="95" spans="1:18" ht="15">
      <c r="A95" s="2"/>
      <c r="B95" s="262"/>
      <c r="C95" s="262"/>
      <c r="D95" s="262"/>
      <c r="E95" s="262"/>
      <c r="F95" s="262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</row>
    <row r="96" spans="1:18" ht="15">
      <c r="A96" s="2"/>
      <c r="B96" s="262"/>
      <c r="C96" s="262"/>
      <c r="D96" s="262"/>
      <c r="E96" s="262"/>
      <c r="F96" s="262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</row>
    <row r="97" spans="1:18" ht="15">
      <c r="A97" s="2"/>
      <c r="B97" s="262"/>
      <c r="C97" s="262"/>
      <c r="D97" s="262"/>
      <c r="E97" s="262"/>
      <c r="F97" s="262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</row>
    <row r="98" spans="1:18" ht="15">
      <c r="A98" s="2"/>
      <c r="B98" s="262"/>
      <c r="C98" s="262"/>
      <c r="D98" s="262"/>
      <c r="E98" s="262"/>
      <c r="F98" s="262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</row>
    <row r="99" spans="1:18" ht="15">
      <c r="A99" s="2"/>
      <c r="B99" s="262"/>
      <c r="C99" s="262"/>
      <c r="D99" s="262"/>
      <c r="E99" s="262"/>
      <c r="F99" s="262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</row>
    <row r="100" spans="1:18" ht="15">
      <c r="A100" s="2"/>
      <c r="B100" s="262"/>
      <c r="C100" s="262"/>
      <c r="D100" s="262"/>
      <c r="E100" s="262"/>
      <c r="F100" s="262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</row>
    <row r="101" spans="1:18" ht="15">
      <c r="A101" s="2"/>
      <c r="B101" s="262"/>
      <c r="C101" s="262"/>
      <c r="D101" s="262"/>
      <c r="E101" s="262"/>
      <c r="F101" s="262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</row>
    <row r="102" spans="1:18" ht="15">
      <c r="A102" s="2"/>
      <c r="B102" s="262"/>
      <c r="C102" s="262"/>
      <c r="D102" s="262"/>
      <c r="E102" s="262"/>
      <c r="F102" s="262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</row>
    <row r="103" spans="1:18" ht="15">
      <c r="A103" s="2"/>
      <c r="B103" s="262"/>
      <c r="C103" s="262"/>
      <c r="D103" s="262"/>
      <c r="E103" s="262"/>
      <c r="F103" s="262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</row>
    <row r="104" spans="1:18" ht="15">
      <c r="A104" s="2"/>
      <c r="B104" s="262"/>
      <c r="C104" s="262"/>
      <c r="D104" s="262"/>
      <c r="E104" s="262"/>
      <c r="F104" s="262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</row>
    <row r="105" spans="1:18" ht="15">
      <c r="A105" s="2"/>
      <c r="B105" s="262"/>
      <c r="C105" s="262"/>
      <c r="D105" s="262"/>
      <c r="E105" s="262"/>
      <c r="F105" s="262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</row>
    <row r="106" spans="1:18" ht="15">
      <c r="A106" s="2"/>
      <c r="B106" s="262"/>
      <c r="C106" s="262"/>
      <c r="D106" s="262"/>
      <c r="E106" s="262"/>
      <c r="F106" s="262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</row>
    <row r="107" spans="1:18" ht="15">
      <c r="A107" s="2"/>
      <c r="B107" s="262"/>
      <c r="C107" s="262"/>
      <c r="D107" s="262"/>
      <c r="E107" s="262"/>
      <c r="F107" s="262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</row>
    <row r="108" spans="1:18" ht="15">
      <c r="A108" s="2"/>
      <c r="B108" s="262"/>
      <c r="C108" s="262"/>
      <c r="D108" s="262"/>
      <c r="E108" s="262"/>
      <c r="F108" s="262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</row>
    <row r="109" spans="1:18" ht="15">
      <c r="A109" s="2"/>
      <c r="B109" s="262"/>
      <c r="C109" s="262"/>
      <c r="D109" s="262"/>
      <c r="E109" s="262"/>
      <c r="F109" s="262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</row>
  </sheetData>
  <mergeCells count="12">
    <mergeCell ref="B3:F3"/>
    <mergeCell ref="G3:K3"/>
    <mergeCell ref="B34:F34"/>
    <mergeCell ref="G34:K34"/>
    <mergeCell ref="AK3:AS3"/>
    <mergeCell ref="AB34:AH34"/>
    <mergeCell ref="AK34:AS34"/>
    <mergeCell ref="S34:Y34"/>
    <mergeCell ref="L34:P34"/>
    <mergeCell ref="L3:R3"/>
    <mergeCell ref="S3:AA3"/>
    <mergeCell ref="AB3:AJ3"/>
  </mergeCells>
  <phoneticPr fontId="7" type="noConversion"/>
  <pageMargins left="0.21" right="0.16" top="0.17" bottom="0.28000000000000003" header="0.1" footer="0.08"/>
  <pageSetup paperSize="8" scale="2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G28"/>
  <sheetViews>
    <sheetView topLeftCell="A25" workbookViewId="0">
      <selection activeCell="A2" sqref="A2"/>
    </sheetView>
  </sheetViews>
  <sheetFormatPr defaultRowHeight="12.75"/>
  <cols>
    <col min="1" max="1" width="46.28515625" customWidth="1"/>
    <col min="2" max="2" width="16.5703125" style="269" customWidth="1"/>
    <col min="3" max="3" width="14.7109375" style="95" customWidth="1"/>
    <col min="4" max="4" width="18.140625" style="95" customWidth="1"/>
    <col min="5" max="5" width="17.5703125" style="95" customWidth="1"/>
    <col min="6" max="6" width="18" style="95" customWidth="1"/>
    <col min="7" max="7" width="17.5703125" style="95" customWidth="1"/>
  </cols>
  <sheetData>
    <row r="1" spans="1:7">
      <c r="A1" t="s">
        <v>641</v>
      </c>
    </row>
    <row r="2" spans="1:7">
      <c r="A2" t="s">
        <v>221</v>
      </c>
    </row>
    <row r="4" spans="1:7" ht="60">
      <c r="A4" s="16" t="s">
        <v>629</v>
      </c>
      <c r="B4" s="260" t="s">
        <v>804</v>
      </c>
      <c r="C4" s="97" t="s">
        <v>805</v>
      </c>
      <c r="D4" s="97" t="s">
        <v>806</v>
      </c>
      <c r="E4" s="97" t="s">
        <v>48</v>
      </c>
      <c r="F4" s="97" t="s">
        <v>49</v>
      </c>
      <c r="G4" s="97" t="s">
        <v>50</v>
      </c>
    </row>
    <row r="5" spans="1:7" ht="30">
      <c r="A5" s="7" t="s">
        <v>640</v>
      </c>
      <c r="B5" s="130"/>
      <c r="C5" s="90"/>
      <c r="D5" s="90"/>
      <c r="E5" s="90">
        <f ca="1">'29. támogatások'!E12/1000</f>
        <v>1551</v>
      </c>
      <c r="F5" s="90">
        <v>1551</v>
      </c>
      <c r="G5" s="90"/>
    </row>
    <row r="6" spans="1:7" ht="45">
      <c r="A6" s="7" t="s">
        <v>657</v>
      </c>
      <c r="B6" s="130"/>
      <c r="C6" s="90"/>
      <c r="D6" s="90"/>
      <c r="E6" s="90"/>
      <c r="F6" s="90"/>
      <c r="G6" s="90"/>
    </row>
    <row r="7" spans="1:7" ht="60">
      <c r="A7" s="7" t="s">
        <v>658</v>
      </c>
      <c r="B7" s="130"/>
      <c r="C7" s="90"/>
      <c r="D7" s="90"/>
      <c r="E7" s="90"/>
      <c r="F7" s="90"/>
      <c r="G7" s="90"/>
    </row>
    <row r="8" spans="1:7" ht="30">
      <c r="A8" s="7" t="s">
        <v>659</v>
      </c>
      <c r="B8" s="130"/>
      <c r="C8" s="90"/>
      <c r="D8" s="90"/>
      <c r="E8" s="90"/>
      <c r="F8" s="90"/>
      <c r="G8" s="90"/>
    </row>
    <row r="9" spans="1:7" ht="30">
      <c r="A9" s="7" t="s">
        <v>660</v>
      </c>
      <c r="B9" s="130"/>
      <c r="C9" s="90"/>
      <c r="D9" s="90"/>
      <c r="E9" s="90"/>
      <c r="F9" s="90"/>
      <c r="G9" s="90"/>
    </row>
    <row r="10" spans="1:7" ht="45">
      <c r="A10" s="7" t="s">
        <v>661</v>
      </c>
      <c r="B10" s="130"/>
      <c r="C10" s="90"/>
      <c r="D10" s="90"/>
      <c r="E10" s="90">
        <f ca="1">'29. támogatások'!E10/1000</f>
        <v>300</v>
      </c>
      <c r="F10" s="90">
        <v>300</v>
      </c>
      <c r="G10" s="90"/>
    </row>
    <row r="11" spans="1:7" ht="30">
      <c r="A11" s="7" t="s">
        <v>662</v>
      </c>
      <c r="B11" s="130"/>
      <c r="C11" s="90"/>
      <c r="D11" s="90"/>
      <c r="E11" s="90">
        <v>5000</v>
      </c>
      <c r="F11" s="90">
        <v>5000</v>
      </c>
      <c r="G11" s="90"/>
    </row>
    <row r="12" spans="1:7" ht="45">
      <c r="A12" s="7" t="s">
        <v>663</v>
      </c>
      <c r="B12" s="130"/>
      <c r="C12" s="90"/>
      <c r="D12" s="90"/>
      <c r="E12" s="90"/>
      <c r="F12" s="90"/>
      <c r="G12" s="90"/>
    </row>
    <row r="13" spans="1:7" ht="45">
      <c r="A13" s="7" t="s">
        <v>664</v>
      </c>
      <c r="B13" s="130"/>
      <c r="C13" s="90"/>
      <c r="D13" s="90"/>
      <c r="E13" s="90"/>
      <c r="F13" s="90"/>
      <c r="G13" s="90"/>
    </row>
    <row r="14" spans="1:7" ht="24.75" customHeight="1">
      <c r="A14" s="7"/>
      <c r="B14" s="130"/>
      <c r="C14" s="90"/>
      <c r="D14" s="90"/>
      <c r="E14" s="90"/>
      <c r="F14" s="90"/>
      <c r="G14" s="90"/>
    </row>
    <row r="15" spans="1:7" ht="31.5">
      <c r="A15" s="24" t="s">
        <v>665</v>
      </c>
      <c r="B15" s="130">
        <f>SUM(B5:B14)</f>
        <v>0</v>
      </c>
      <c r="C15" s="90">
        <f>SUM(C5:C14)</f>
        <v>0</v>
      </c>
      <c r="D15" s="90">
        <f>SUM(D5:D14)</f>
        <v>0</v>
      </c>
      <c r="E15" s="90">
        <f>SUM(E5:E14)</f>
        <v>6851</v>
      </c>
      <c r="F15" s="90">
        <f>SUM(F5:F14)</f>
        <v>6851</v>
      </c>
      <c r="G15" s="90"/>
    </row>
    <row r="16" spans="1:7" ht="15">
      <c r="A16" s="23"/>
    </row>
    <row r="17" spans="1:7" ht="15">
      <c r="A17" s="23"/>
    </row>
    <row r="18" spans="1:7" ht="60">
      <c r="A18" s="16" t="s">
        <v>629</v>
      </c>
      <c r="B18" s="260" t="s">
        <v>804</v>
      </c>
      <c r="C18" s="97" t="s">
        <v>805</v>
      </c>
      <c r="D18" s="97" t="s">
        <v>806</v>
      </c>
      <c r="E18" s="97" t="s">
        <v>48</v>
      </c>
      <c r="F18" s="97" t="s">
        <v>49</v>
      </c>
      <c r="G18" s="97" t="s">
        <v>50</v>
      </c>
    </row>
    <row r="19" spans="1:7" ht="30">
      <c r="A19" s="7" t="s">
        <v>666</v>
      </c>
      <c r="B19" s="130"/>
      <c r="C19" s="90"/>
      <c r="D19" s="90"/>
      <c r="E19" s="90"/>
      <c r="F19" s="90"/>
      <c r="G19" s="90"/>
    </row>
    <row r="20" spans="1:7" ht="45">
      <c r="A20" s="7" t="s">
        <v>667</v>
      </c>
      <c r="B20" s="130"/>
      <c r="C20" s="90"/>
      <c r="D20" s="90"/>
      <c r="E20" s="90"/>
      <c r="F20" s="90"/>
      <c r="G20" s="90"/>
    </row>
    <row r="21" spans="1:7" ht="60">
      <c r="A21" s="7" t="s">
        <v>668</v>
      </c>
      <c r="B21" s="130"/>
      <c r="C21" s="90"/>
      <c r="D21" s="90"/>
      <c r="E21" s="90"/>
      <c r="F21" s="90"/>
      <c r="G21" s="90"/>
    </row>
    <row r="22" spans="1:7" ht="30">
      <c r="A22" s="7" t="s">
        <v>669</v>
      </c>
      <c r="B22" s="130"/>
      <c r="C22" s="90"/>
      <c r="D22" s="90"/>
      <c r="E22" s="90"/>
      <c r="F22" s="90"/>
      <c r="G22" s="90"/>
    </row>
    <row r="23" spans="1:7" ht="30">
      <c r="A23" s="7" t="s">
        <v>670</v>
      </c>
      <c r="B23" s="130"/>
      <c r="C23" s="90"/>
      <c r="D23" s="90"/>
      <c r="E23" s="90"/>
      <c r="F23" s="90"/>
      <c r="G23" s="90"/>
    </row>
    <row r="24" spans="1:7" ht="45">
      <c r="A24" s="7" t="s">
        <v>671</v>
      </c>
      <c r="B24" s="130"/>
      <c r="C24" s="90"/>
      <c r="D24" s="90"/>
      <c r="E24" s="90"/>
      <c r="F24" s="90"/>
      <c r="G24" s="90"/>
    </row>
    <row r="25" spans="1:7" ht="30">
      <c r="A25" s="7" t="s">
        <v>672</v>
      </c>
      <c r="B25" s="130"/>
      <c r="C25" s="90"/>
      <c r="D25" s="90"/>
      <c r="E25" s="90"/>
      <c r="F25" s="90"/>
      <c r="G25" s="90"/>
    </row>
    <row r="26" spans="1:7" ht="45">
      <c r="A26" s="7" t="s">
        <v>673</v>
      </c>
      <c r="B26" s="130"/>
      <c r="C26" s="90"/>
      <c r="D26" s="90"/>
      <c r="E26" s="90"/>
      <c r="F26" s="90"/>
      <c r="G26" s="90"/>
    </row>
    <row r="27" spans="1:7" ht="25.5" customHeight="1">
      <c r="A27" s="7"/>
      <c r="B27" s="130"/>
      <c r="C27" s="90"/>
      <c r="D27" s="90"/>
      <c r="E27" s="90"/>
      <c r="F27" s="90"/>
      <c r="G27" s="90"/>
    </row>
    <row r="28" spans="1:7" ht="31.5">
      <c r="A28" s="24" t="s">
        <v>674</v>
      </c>
      <c r="B28" s="130"/>
      <c r="C28" s="90"/>
      <c r="D28" s="90"/>
      <c r="E28" s="90"/>
      <c r="F28" s="90"/>
      <c r="G28" s="90"/>
    </row>
  </sheetData>
  <phoneticPr fontId="7" type="noConversion"/>
  <pageMargins left="0.31" right="0.19" top="0.16" bottom="0.33" header="0.11" footer="7158278.8200000003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G28"/>
  <sheetViews>
    <sheetView topLeftCell="A7" workbookViewId="0">
      <selection activeCell="A2" sqref="A2"/>
    </sheetView>
  </sheetViews>
  <sheetFormatPr defaultRowHeight="12.75"/>
  <cols>
    <col min="1" max="1" width="46.28515625" customWidth="1"/>
    <col min="2" max="2" width="16.5703125" customWidth="1"/>
    <col min="3" max="3" width="17.5703125" customWidth="1"/>
    <col min="4" max="4" width="18.140625" customWidth="1"/>
    <col min="5" max="7" width="17.7109375" customWidth="1"/>
  </cols>
  <sheetData>
    <row r="1" spans="1:7">
      <c r="A1" s="213" t="s">
        <v>27</v>
      </c>
    </row>
    <row r="2" spans="1:7">
      <c r="A2" s="213" t="s">
        <v>222</v>
      </c>
    </row>
    <row r="4" spans="1:7" ht="60">
      <c r="A4" s="16" t="s">
        <v>629</v>
      </c>
      <c r="B4" s="260" t="s">
        <v>804</v>
      </c>
      <c r="C4" s="97" t="s">
        <v>805</v>
      </c>
      <c r="D4" s="97" t="s">
        <v>806</v>
      </c>
      <c r="E4" s="97" t="s">
        <v>48</v>
      </c>
      <c r="F4" s="97" t="s">
        <v>49</v>
      </c>
      <c r="G4" s="97" t="s">
        <v>50</v>
      </c>
    </row>
    <row r="5" spans="1:7" ht="30">
      <c r="A5" s="7" t="s">
        <v>675</v>
      </c>
      <c r="B5" s="20"/>
      <c r="C5" s="20"/>
      <c r="D5" s="20"/>
      <c r="E5" s="90">
        <f ca="1">('29. támogatások'!E4+'29. támogatások'!E5+'29. támogatások'!E7+'29. támogatások'!E8+'29. támogatások'!E11-250000)/1000</f>
        <v>4547</v>
      </c>
      <c r="F5" s="90">
        <v>4547</v>
      </c>
      <c r="G5" s="90">
        <f>300+540+108+1200+1900-250</f>
        <v>3798</v>
      </c>
    </row>
    <row r="6" spans="1:7" ht="30">
      <c r="A6" s="7" t="s">
        <v>676</v>
      </c>
      <c r="B6" s="20"/>
      <c r="C6" s="20"/>
      <c r="D6" s="20"/>
      <c r="E6" s="90">
        <v>250</v>
      </c>
      <c r="F6" s="90">
        <v>250</v>
      </c>
      <c r="G6" s="90">
        <v>250</v>
      </c>
    </row>
    <row r="7" spans="1:7" ht="30">
      <c r="A7" s="7" t="s">
        <v>677</v>
      </c>
      <c r="B7" s="20"/>
      <c r="C7" s="20"/>
      <c r="D7" s="20"/>
      <c r="E7" s="90">
        <f ca="1">('29. támogatások'!E6+'29. támogatások'!E9+'29. támogatások'!E14+'29. támogatások'!E15+'29. támogatások'!E17)/1000</f>
        <v>3280</v>
      </c>
      <c r="F7" s="90">
        <v>3280</v>
      </c>
      <c r="G7" s="90">
        <v>1615</v>
      </c>
    </row>
    <row r="8" spans="1:7" ht="30">
      <c r="A8" s="7" t="s">
        <v>678</v>
      </c>
      <c r="B8" s="20"/>
      <c r="C8" s="20"/>
      <c r="D8" s="20"/>
      <c r="E8" s="90">
        <f ca="1">'29. támogatások'!E16/1000</f>
        <v>3000</v>
      </c>
      <c r="F8" s="90">
        <v>3000</v>
      </c>
      <c r="G8" s="90">
        <v>247</v>
      </c>
    </row>
    <row r="9" spans="1:7" ht="30">
      <c r="A9" s="7" t="s">
        <v>679</v>
      </c>
      <c r="B9" s="20"/>
      <c r="C9" s="20"/>
      <c r="D9" s="20"/>
      <c r="E9" s="90"/>
      <c r="F9" s="90"/>
      <c r="G9" s="90"/>
    </row>
    <row r="10" spans="1:7" ht="45">
      <c r="A10" s="7" t="s">
        <v>680</v>
      </c>
      <c r="B10" s="20"/>
      <c r="C10" s="20"/>
      <c r="D10" s="20"/>
      <c r="E10" s="90"/>
      <c r="F10" s="90"/>
      <c r="G10" s="90"/>
    </row>
    <row r="11" spans="1:7" ht="30">
      <c r="A11" s="7" t="s">
        <v>681</v>
      </c>
      <c r="B11" s="20"/>
      <c r="C11" s="20"/>
      <c r="D11" s="20"/>
      <c r="E11" s="90"/>
      <c r="F11" s="90"/>
      <c r="G11" s="90"/>
    </row>
    <row r="12" spans="1:7" ht="30">
      <c r="A12" s="7" t="s">
        <v>642</v>
      </c>
      <c r="B12" s="20"/>
      <c r="C12" s="20"/>
      <c r="D12" s="20"/>
      <c r="E12" s="90"/>
      <c r="F12" s="90">
        <v>2503</v>
      </c>
      <c r="G12" s="90">
        <v>3240</v>
      </c>
    </row>
    <row r="13" spans="1:7" ht="24.75" customHeight="1">
      <c r="A13" s="7"/>
      <c r="B13" s="20"/>
      <c r="C13" s="20"/>
      <c r="D13" s="20"/>
      <c r="E13" s="90"/>
      <c r="F13" s="90"/>
      <c r="G13" s="90"/>
    </row>
    <row r="14" spans="1:7" ht="31.5">
      <c r="A14" s="24" t="s">
        <v>682</v>
      </c>
      <c r="B14" s="20">
        <f t="shared" ref="B14:G14" si="0">SUM(B5:B13)</f>
        <v>0</v>
      </c>
      <c r="C14" s="20">
        <f t="shared" si="0"/>
        <v>0</v>
      </c>
      <c r="D14" s="20">
        <f t="shared" si="0"/>
        <v>0</v>
      </c>
      <c r="E14" s="90">
        <f t="shared" si="0"/>
        <v>11077</v>
      </c>
      <c r="F14" s="90">
        <f t="shared" si="0"/>
        <v>13580</v>
      </c>
      <c r="G14" s="90">
        <f t="shared" si="0"/>
        <v>9150</v>
      </c>
    </row>
    <row r="15" spans="1:7" ht="15">
      <c r="A15" s="23"/>
      <c r="E15" s="95"/>
      <c r="F15" s="95"/>
      <c r="G15" s="95"/>
    </row>
    <row r="16" spans="1:7" ht="60">
      <c r="A16" s="16" t="s">
        <v>629</v>
      </c>
      <c r="B16" s="260" t="s">
        <v>804</v>
      </c>
      <c r="C16" s="97" t="s">
        <v>805</v>
      </c>
      <c r="D16" s="97" t="s">
        <v>806</v>
      </c>
      <c r="E16" s="97" t="s">
        <v>48</v>
      </c>
      <c r="F16" s="97" t="s">
        <v>49</v>
      </c>
      <c r="G16" s="97" t="s">
        <v>50</v>
      </c>
    </row>
    <row r="17" spans="1:7" ht="30">
      <c r="A17" s="7" t="s">
        <v>683</v>
      </c>
      <c r="B17" s="20"/>
      <c r="C17" s="20"/>
      <c r="D17" s="20"/>
      <c r="E17" s="90"/>
      <c r="F17" s="90"/>
      <c r="G17" s="90"/>
    </row>
    <row r="18" spans="1:7" ht="30">
      <c r="A18" s="7" t="s">
        <v>684</v>
      </c>
      <c r="B18" s="20"/>
      <c r="C18" s="20"/>
      <c r="D18" s="20"/>
      <c r="E18" s="90"/>
      <c r="F18" s="90"/>
      <c r="G18" s="90"/>
    </row>
    <row r="19" spans="1:7" ht="30">
      <c r="A19" s="7" t="s">
        <v>685</v>
      </c>
      <c r="B19" s="20"/>
      <c r="C19" s="20"/>
      <c r="D19" s="20"/>
      <c r="E19" s="90"/>
      <c r="F19" s="90"/>
      <c r="G19" s="90"/>
    </row>
    <row r="20" spans="1:7" ht="30">
      <c r="A20" s="7" t="s">
        <v>686</v>
      </c>
      <c r="B20" s="20"/>
      <c r="C20" s="20"/>
      <c r="D20" s="20"/>
      <c r="E20" s="90"/>
      <c r="F20" s="90"/>
      <c r="G20" s="90"/>
    </row>
    <row r="21" spans="1:7" ht="30">
      <c r="A21" s="7" t="s">
        <v>687</v>
      </c>
      <c r="B21" s="20"/>
      <c r="C21" s="20"/>
      <c r="D21" s="20"/>
      <c r="E21" s="90"/>
      <c r="F21" s="90"/>
      <c r="G21" s="90"/>
    </row>
    <row r="22" spans="1:7" ht="45">
      <c r="A22" s="7" t="s">
        <v>688</v>
      </c>
      <c r="B22" s="20"/>
      <c r="C22" s="20"/>
      <c r="D22" s="20"/>
      <c r="E22" s="90"/>
      <c r="F22" s="90"/>
      <c r="G22" s="90"/>
    </row>
    <row r="23" spans="1:7" ht="30">
      <c r="A23" s="7" t="s">
        <v>689</v>
      </c>
      <c r="B23" s="20"/>
      <c r="C23" s="20"/>
      <c r="D23" s="20"/>
      <c r="E23" s="20"/>
      <c r="F23" s="20"/>
      <c r="G23" s="20"/>
    </row>
    <row r="24" spans="1:7" ht="15">
      <c r="A24" s="7" t="s">
        <v>690</v>
      </c>
      <c r="B24" s="20"/>
      <c r="C24" s="20"/>
      <c r="D24" s="20"/>
      <c r="E24" s="20"/>
      <c r="F24" s="20"/>
      <c r="G24" s="20"/>
    </row>
    <row r="25" spans="1:7" ht="30">
      <c r="A25" s="7" t="s">
        <v>691</v>
      </c>
      <c r="B25" s="20"/>
      <c r="C25" s="20"/>
      <c r="D25" s="20"/>
      <c r="E25" s="20"/>
      <c r="F25" s="20"/>
      <c r="G25" s="20"/>
    </row>
    <row r="26" spans="1:7" ht="45">
      <c r="A26" s="7" t="s">
        <v>692</v>
      </c>
      <c r="B26" s="20"/>
      <c r="C26" s="20"/>
      <c r="D26" s="20"/>
      <c r="E26" s="20"/>
      <c r="F26" s="20"/>
      <c r="G26" s="20"/>
    </row>
    <row r="27" spans="1:7" ht="26.25" customHeight="1">
      <c r="A27" s="7"/>
      <c r="B27" s="20"/>
      <c r="C27" s="20"/>
      <c r="D27" s="20"/>
      <c r="E27" s="20"/>
      <c r="F27" s="20"/>
      <c r="G27" s="20"/>
    </row>
    <row r="28" spans="1:7" ht="47.25">
      <c r="A28" s="24" t="s">
        <v>693</v>
      </c>
      <c r="B28" s="20"/>
      <c r="C28" s="20"/>
      <c r="D28" s="20"/>
      <c r="E28" s="20"/>
      <c r="F28" s="20"/>
      <c r="G28" s="20"/>
    </row>
  </sheetData>
  <phoneticPr fontId="7" type="noConversion"/>
  <pageMargins left="0.75" right="0.75" top="1" bottom="1" header="0.5" footer="0.5"/>
  <pageSetup paperSize="9" scale="5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G95"/>
  <sheetViews>
    <sheetView workbookViewId="0">
      <selection activeCell="A2" sqref="A2"/>
    </sheetView>
  </sheetViews>
  <sheetFormatPr defaultRowHeight="12.75"/>
  <cols>
    <col min="1" max="1" width="32.140625" bestFit="1" customWidth="1"/>
    <col min="2" max="2" width="16.5703125" customWidth="1"/>
    <col min="3" max="3" width="15.7109375" customWidth="1"/>
    <col min="4" max="4" width="18.140625" customWidth="1"/>
    <col min="5" max="7" width="16.7109375" customWidth="1"/>
  </cols>
  <sheetData>
    <row r="1" spans="1:7" ht="15">
      <c r="A1" s="2" t="s">
        <v>643</v>
      </c>
    </row>
    <row r="2" spans="1:7" ht="15">
      <c r="A2" s="2" t="s">
        <v>223</v>
      </c>
      <c r="B2" s="2"/>
      <c r="C2" s="2"/>
      <c r="D2" s="2"/>
      <c r="E2" s="2"/>
      <c r="F2" s="2"/>
      <c r="G2" s="2"/>
    </row>
    <row r="3" spans="1:7" ht="15">
      <c r="A3" s="2"/>
      <c r="B3" s="2"/>
      <c r="C3" s="2"/>
      <c r="D3" s="2"/>
      <c r="E3" s="2"/>
      <c r="F3" s="2"/>
      <c r="G3" s="2"/>
    </row>
    <row r="4" spans="1:7" ht="60">
      <c r="A4" s="16" t="s">
        <v>629</v>
      </c>
      <c r="B4" s="260" t="s">
        <v>804</v>
      </c>
      <c r="C4" s="97" t="s">
        <v>805</v>
      </c>
      <c r="D4" s="97" t="s">
        <v>806</v>
      </c>
      <c r="E4" s="97" t="s">
        <v>48</v>
      </c>
      <c r="F4" s="97" t="s">
        <v>49</v>
      </c>
      <c r="G4" s="97" t="s">
        <v>50</v>
      </c>
    </row>
    <row r="5" spans="1:7" ht="15">
      <c r="A5" s="143" t="s">
        <v>821</v>
      </c>
      <c r="B5" s="90"/>
      <c r="C5" s="90"/>
      <c r="D5" s="90"/>
      <c r="E5" s="144">
        <f ca="1">'30.segély'!C5/1000</f>
        <v>1500</v>
      </c>
      <c r="F5" s="144">
        <v>1609</v>
      </c>
      <c r="G5" s="144">
        <v>1609</v>
      </c>
    </row>
    <row r="6" spans="1:7" ht="15">
      <c r="A6" s="143" t="s">
        <v>822</v>
      </c>
      <c r="B6" s="90"/>
      <c r="C6" s="90"/>
      <c r="D6" s="90"/>
      <c r="E6" s="144">
        <f ca="1">'30.segély'!C6/1000</f>
        <v>2500</v>
      </c>
      <c r="F6" s="144">
        <v>4058</v>
      </c>
      <c r="G6" s="144">
        <v>4056</v>
      </c>
    </row>
    <row r="7" spans="1:7" ht="15">
      <c r="A7" s="143" t="s">
        <v>826</v>
      </c>
      <c r="B7" s="90"/>
      <c r="C7" s="90"/>
      <c r="D7" s="90"/>
      <c r="E7" s="144">
        <f ca="1">'30.segély'!C7/1000</f>
        <v>3900</v>
      </c>
      <c r="F7" s="144">
        <v>4600</v>
      </c>
      <c r="G7" s="144">
        <v>4395</v>
      </c>
    </row>
    <row r="8" spans="1:7" ht="15">
      <c r="A8" s="143" t="s">
        <v>827</v>
      </c>
      <c r="B8" s="90"/>
      <c r="C8" s="90"/>
      <c r="D8" s="90"/>
      <c r="E8" s="144">
        <f ca="1">'30.segély'!C8/1000</f>
        <v>566</v>
      </c>
      <c r="F8" s="144">
        <v>655</v>
      </c>
      <c r="G8" s="144">
        <v>656</v>
      </c>
    </row>
    <row r="9" spans="1:7" ht="30">
      <c r="A9" s="143" t="s">
        <v>828</v>
      </c>
      <c r="B9" s="90"/>
      <c r="C9" s="90"/>
      <c r="D9" s="90"/>
      <c r="E9" s="144">
        <f ca="1">'30.segély'!C9/1000</f>
        <v>700</v>
      </c>
      <c r="F9" s="144">
        <v>700</v>
      </c>
      <c r="G9" s="144">
        <v>131</v>
      </c>
    </row>
    <row r="10" spans="1:7" ht="30">
      <c r="A10" s="143" t="s">
        <v>829</v>
      </c>
      <c r="B10" s="90"/>
      <c r="C10" s="90"/>
      <c r="D10" s="90"/>
      <c r="E10" s="144">
        <f ca="1">'30.segély'!C10/1000</f>
        <v>150</v>
      </c>
      <c r="F10" s="144">
        <v>230</v>
      </c>
      <c r="G10" s="144">
        <v>236</v>
      </c>
    </row>
    <row r="11" spans="1:7" ht="15">
      <c r="A11" s="143" t="s">
        <v>830</v>
      </c>
      <c r="B11" s="90"/>
      <c r="C11" s="90"/>
      <c r="D11" s="90"/>
      <c r="E11" s="144">
        <f ca="1">'30.segély'!C11/1000</f>
        <v>1000</v>
      </c>
      <c r="F11" s="144">
        <v>1000</v>
      </c>
      <c r="G11" s="144">
        <v>1065</v>
      </c>
    </row>
    <row r="12" spans="1:7" ht="15">
      <c r="A12" s="143" t="s">
        <v>831</v>
      </c>
      <c r="B12" s="90"/>
      <c r="C12" s="90"/>
      <c r="D12" s="90"/>
      <c r="E12" s="144">
        <f ca="1">'30.segély'!C12/1000</f>
        <v>500</v>
      </c>
      <c r="F12" s="144">
        <v>500</v>
      </c>
      <c r="G12" s="144">
        <v>180</v>
      </c>
    </row>
    <row r="13" spans="1:7" ht="30">
      <c r="A13" s="143" t="s">
        <v>832</v>
      </c>
      <c r="B13" s="90"/>
      <c r="C13" s="90"/>
      <c r="D13" s="90"/>
      <c r="E13" s="144">
        <f ca="1">'30.segély'!C13/1000</f>
        <v>700</v>
      </c>
      <c r="F13" s="144">
        <v>700</v>
      </c>
      <c r="G13" s="144">
        <v>0</v>
      </c>
    </row>
    <row r="14" spans="1:7" ht="30">
      <c r="A14" s="143" t="s">
        <v>833</v>
      </c>
      <c r="B14" s="90"/>
      <c r="C14" s="90"/>
      <c r="D14" s="90"/>
      <c r="E14" s="144">
        <f ca="1">'30.segély'!C14/1000</f>
        <v>30</v>
      </c>
      <c r="F14" s="144">
        <v>0</v>
      </c>
      <c r="G14" s="144">
        <v>0</v>
      </c>
    </row>
    <row r="15" spans="1:7" ht="30">
      <c r="A15" s="143" t="s">
        <v>834</v>
      </c>
      <c r="B15" s="90"/>
      <c r="C15" s="90"/>
      <c r="D15" s="90"/>
      <c r="E15" s="144">
        <f ca="1">'30.segély'!C15/1000</f>
        <v>2800</v>
      </c>
      <c r="F15" s="144">
        <v>5300</v>
      </c>
      <c r="G15" s="144">
        <v>946</v>
      </c>
    </row>
    <row r="16" spans="1:7" ht="15">
      <c r="A16" s="143" t="s">
        <v>835</v>
      </c>
      <c r="B16" s="90"/>
      <c r="C16" s="90"/>
      <c r="D16" s="90"/>
      <c r="E16" s="144">
        <f ca="1">'30.segély'!C16/1000</f>
        <v>150</v>
      </c>
      <c r="F16" s="144">
        <v>70</v>
      </c>
      <c r="G16" s="144">
        <v>0</v>
      </c>
    </row>
    <row r="17" spans="1:7" ht="15">
      <c r="A17" s="143" t="s">
        <v>836</v>
      </c>
      <c r="B17" s="90"/>
      <c r="C17" s="90"/>
      <c r="D17" s="90"/>
      <c r="E17" s="144">
        <f ca="1">'30.segély'!C17/1000</f>
        <v>8000</v>
      </c>
      <c r="F17" s="144">
        <v>8000</v>
      </c>
      <c r="G17" s="144">
        <v>9086</v>
      </c>
    </row>
    <row r="18" spans="1:7" ht="15">
      <c r="A18" s="143" t="s">
        <v>837</v>
      </c>
      <c r="B18" s="90"/>
      <c r="C18" s="90"/>
      <c r="D18" s="90"/>
      <c r="E18" s="144">
        <f ca="1">'30.segély'!C18/1000</f>
        <v>1000</v>
      </c>
      <c r="F18" s="144">
        <v>1000</v>
      </c>
      <c r="G18" s="144">
        <v>840</v>
      </c>
    </row>
    <row r="19" spans="1:7" s="101" customFormat="1">
      <c r="A19" s="39" t="s">
        <v>701</v>
      </c>
      <c r="B19" s="91">
        <f t="shared" ref="B19:G19" si="0">SUM(B5:B18)</f>
        <v>0</v>
      </c>
      <c r="C19" s="91">
        <f t="shared" si="0"/>
        <v>0</v>
      </c>
      <c r="D19" s="91">
        <f t="shared" si="0"/>
        <v>0</v>
      </c>
      <c r="E19" s="91">
        <f t="shared" si="0"/>
        <v>23496</v>
      </c>
      <c r="F19" s="91">
        <f t="shared" si="0"/>
        <v>28422</v>
      </c>
      <c r="G19" s="91">
        <f t="shared" si="0"/>
        <v>23200</v>
      </c>
    </row>
    <row r="20" spans="1:7" ht="15">
      <c r="A20" s="2"/>
      <c r="B20" s="2"/>
      <c r="C20" s="2"/>
      <c r="D20" s="2"/>
      <c r="E20" s="2"/>
      <c r="F20" s="2"/>
      <c r="G20" s="2"/>
    </row>
    <row r="21" spans="1:7" ht="15">
      <c r="A21" s="2"/>
      <c r="B21" s="2"/>
      <c r="C21" s="2"/>
      <c r="D21" s="2"/>
      <c r="E21" s="2"/>
      <c r="F21" s="2"/>
      <c r="G21" s="2"/>
    </row>
    <row r="22" spans="1:7" ht="15">
      <c r="A22" s="2"/>
      <c r="B22" s="2"/>
      <c r="C22" s="2"/>
      <c r="D22" s="2"/>
      <c r="E22" s="2"/>
      <c r="F22" s="2"/>
      <c r="G22" s="2"/>
    </row>
    <row r="23" spans="1:7" ht="15">
      <c r="A23" s="2"/>
      <c r="B23" s="2"/>
      <c r="C23" s="2"/>
      <c r="D23" s="2"/>
      <c r="E23" s="2"/>
      <c r="F23" s="2"/>
      <c r="G23" s="2"/>
    </row>
    <row r="24" spans="1:7" ht="15">
      <c r="A24" s="2"/>
      <c r="B24" s="2"/>
      <c r="C24" s="2"/>
      <c r="D24" s="2"/>
      <c r="E24" s="2"/>
      <c r="F24" s="2"/>
      <c r="G24" s="2"/>
    </row>
    <row r="25" spans="1:7" ht="15">
      <c r="A25" s="2"/>
      <c r="B25" s="2"/>
      <c r="C25" s="2"/>
      <c r="D25" s="2"/>
      <c r="E25" s="2"/>
      <c r="F25" s="2"/>
      <c r="G25" s="2"/>
    </row>
    <row r="26" spans="1:7" ht="15">
      <c r="A26" s="2"/>
      <c r="B26" s="2"/>
      <c r="C26" s="2"/>
      <c r="D26" s="2"/>
      <c r="E26" s="2"/>
      <c r="F26" s="2"/>
      <c r="G26" s="2"/>
    </row>
    <row r="27" spans="1:7" ht="15">
      <c r="A27" s="2"/>
      <c r="B27" s="2"/>
      <c r="C27" s="2"/>
      <c r="D27" s="2"/>
      <c r="E27" s="2"/>
      <c r="F27" s="2"/>
      <c r="G27" s="2"/>
    </row>
    <row r="28" spans="1:7" ht="15">
      <c r="A28" s="2"/>
      <c r="B28" s="2"/>
      <c r="C28" s="2"/>
      <c r="D28" s="2"/>
      <c r="E28" s="2"/>
      <c r="F28" s="2"/>
      <c r="G28" s="2"/>
    </row>
    <row r="29" spans="1:7" ht="15">
      <c r="A29" s="2"/>
      <c r="B29" s="2"/>
      <c r="C29" s="2"/>
      <c r="D29" s="2"/>
      <c r="E29" s="2"/>
      <c r="F29" s="2"/>
      <c r="G29" s="2"/>
    </row>
    <row r="30" spans="1:7" ht="15">
      <c r="A30" s="2"/>
      <c r="B30" s="2"/>
      <c r="C30" s="2"/>
      <c r="D30" s="2"/>
      <c r="E30" s="2"/>
      <c r="F30" s="2"/>
      <c r="G30" s="2"/>
    </row>
    <row r="31" spans="1:7" ht="15">
      <c r="A31" s="2"/>
      <c r="B31" s="2"/>
      <c r="C31" s="2"/>
      <c r="D31" s="2"/>
      <c r="E31" s="2"/>
      <c r="F31" s="2"/>
      <c r="G31" s="2"/>
    </row>
    <row r="32" spans="1:7" ht="15">
      <c r="A32" s="2"/>
      <c r="B32" s="2"/>
      <c r="C32" s="2"/>
      <c r="D32" s="2"/>
      <c r="E32" s="2"/>
      <c r="F32" s="2"/>
      <c r="G32" s="2"/>
    </row>
    <row r="33" spans="1:7" ht="15">
      <c r="A33" s="2"/>
      <c r="B33" s="2"/>
      <c r="C33" s="2"/>
      <c r="D33" s="2"/>
      <c r="E33" s="2"/>
      <c r="F33" s="2"/>
      <c r="G33" s="2"/>
    </row>
    <row r="34" spans="1:7" ht="15">
      <c r="A34" s="2"/>
      <c r="B34" s="2"/>
      <c r="C34" s="2"/>
      <c r="D34" s="2"/>
      <c r="E34" s="2"/>
      <c r="F34" s="2"/>
      <c r="G34" s="2"/>
    </row>
    <row r="35" spans="1:7" ht="15">
      <c r="A35" s="2"/>
      <c r="B35" s="2"/>
      <c r="C35" s="2"/>
      <c r="D35" s="2"/>
      <c r="E35" s="2"/>
      <c r="F35" s="2"/>
      <c r="G35" s="2"/>
    </row>
    <row r="36" spans="1:7" ht="15">
      <c r="A36" s="2"/>
      <c r="B36" s="2"/>
      <c r="C36" s="2"/>
      <c r="D36" s="2"/>
      <c r="E36" s="2"/>
      <c r="F36" s="2"/>
      <c r="G36" s="2"/>
    </row>
    <row r="37" spans="1:7" ht="15">
      <c r="A37" s="2"/>
      <c r="B37" s="2"/>
      <c r="C37" s="2"/>
      <c r="D37" s="2"/>
      <c r="E37" s="2"/>
      <c r="F37" s="2"/>
      <c r="G37" s="2"/>
    </row>
    <row r="38" spans="1:7" ht="15">
      <c r="A38" s="2"/>
      <c r="B38" s="2"/>
      <c r="C38" s="2"/>
      <c r="D38" s="2"/>
      <c r="E38" s="2"/>
      <c r="F38" s="2"/>
      <c r="G38" s="2"/>
    </row>
    <row r="39" spans="1:7" ht="15">
      <c r="A39" s="2"/>
      <c r="B39" s="2"/>
      <c r="C39" s="2"/>
      <c r="D39" s="2"/>
      <c r="E39" s="2"/>
      <c r="F39" s="2"/>
      <c r="G39" s="2"/>
    </row>
    <row r="40" spans="1:7" ht="15">
      <c r="A40" s="2"/>
      <c r="B40" s="2"/>
      <c r="C40" s="2"/>
      <c r="D40" s="2"/>
      <c r="E40" s="2"/>
      <c r="F40" s="2"/>
      <c r="G40" s="2"/>
    </row>
    <row r="41" spans="1:7" ht="15">
      <c r="A41" s="2"/>
      <c r="B41" s="2"/>
      <c r="C41" s="2"/>
      <c r="D41" s="2"/>
      <c r="E41" s="2"/>
      <c r="F41" s="2"/>
      <c r="G41" s="2"/>
    </row>
    <row r="42" spans="1:7" ht="15">
      <c r="A42" s="2"/>
      <c r="B42" s="2"/>
      <c r="C42" s="2"/>
      <c r="D42" s="2"/>
      <c r="E42" s="2"/>
      <c r="F42" s="2"/>
      <c r="G42" s="2"/>
    </row>
    <row r="43" spans="1:7" ht="15">
      <c r="A43" s="2"/>
      <c r="B43" s="2"/>
      <c r="C43" s="2"/>
      <c r="D43" s="2"/>
      <c r="E43" s="2"/>
      <c r="F43" s="2"/>
      <c r="G43" s="2"/>
    </row>
    <row r="44" spans="1:7" ht="15">
      <c r="A44" s="2"/>
      <c r="B44" s="2"/>
      <c r="C44" s="2"/>
      <c r="D44" s="2"/>
      <c r="E44" s="2"/>
      <c r="F44" s="2"/>
      <c r="G44" s="2"/>
    </row>
    <row r="45" spans="1:7" ht="15">
      <c r="A45" s="2"/>
      <c r="B45" s="2"/>
      <c r="C45" s="2"/>
      <c r="D45" s="2"/>
      <c r="E45" s="2"/>
      <c r="F45" s="2"/>
      <c r="G45" s="2"/>
    </row>
    <row r="46" spans="1:7" ht="15">
      <c r="A46" s="2"/>
      <c r="B46" s="2"/>
      <c r="C46" s="2"/>
      <c r="D46" s="2"/>
      <c r="E46" s="2"/>
      <c r="F46" s="2"/>
      <c r="G46" s="2"/>
    </row>
    <row r="47" spans="1:7" ht="15">
      <c r="A47" s="2"/>
      <c r="B47" s="2"/>
      <c r="C47" s="2"/>
      <c r="D47" s="2"/>
      <c r="E47" s="2"/>
      <c r="F47" s="2"/>
      <c r="G47" s="2"/>
    </row>
    <row r="48" spans="1:7" ht="15">
      <c r="A48" s="2"/>
      <c r="B48" s="2"/>
      <c r="C48" s="2"/>
      <c r="D48" s="2"/>
      <c r="E48" s="2"/>
      <c r="F48" s="2"/>
      <c r="G48" s="2"/>
    </row>
    <row r="49" spans="1:7" ht="15">
      <c r="A49" s="2"/>
      <c r="B49" s="2"/>
      <c r="C49" s="2"/>
      <c r="D49" s="2"/>
      <c r="E49" s="2"/>
      <c r="F49" s="2"/>
      <c r="G49" s="2"/>
    </row>
    <row r="50" spans="1:7" ht="15">
      <c r="A50" s="2"/>
      <c r="B50" s="2"/>
      <c r="C50" s="2"/>
      <c r="D50" s="2"/>
      <c r="E50" s="2"/>
      <c r="F50" s="2"/>
      <c r="G50" s="2"/>
    </row>
    <row r="51" spans="1:7" ht="15">
      <c r="A51" s="2"/>
      <c r="B51" s="2"/>
      <c r="C51" s="2"/>
      <c r="D51" s="2"/>
      <c r="E51" s="2"/>
      <c r="F51" s="2"/>
      <c r="G51" s="2"/>
    </row>
    <row r="52" spans="1:7" ht="15">
      <c r="A52" s="2"/>
      <c r="B52" s="2"/>
      <c r="C52" s="2"/>
      <c r="D52" s="2"/>
      <c r="E52" s="2"/>
      <c r="F52" s="2"/>
      <c r="G52" s="2"/>
    </row>
    <row r="53" spans="1:7" ht="15">
      <c r="A53" s="2"/>
      <c r="B53" s="2"/>
      <c r="C53" s="2"/>
      <c r="D53" s="2"/>
      <c r="E53" s="2"/>
      <c r="F53" s="2"/>
      <c r="G53" s="2"/>
    </row>
    <row r="54" spans="1:7" ht="15">
      <c r="A54" s="2"/>
      <c r="B54" s="2"/>
      <c r="C54" s="2"/>
      <c r="D54" s="2"/>
      <c r="E54" s="2"/>
      <c r="F54" s="2"/>
      <c r="G54" s="2"/>
    </row>
    <row r="55" spans="1:7" ht="15">
      <c r="A55" s="2"/>
      <c r="B55" s="2"/>
      <c r="C55" s="2"/>
      <c r="D55" s="2"/>
      <c r="E55" s="2"/>
      <c r="F55" s="2"/>
      <c r="G55" s="2"/>
    </row>
    <row r="56" spans="1:7" ht="15">
      <c r="A56" s="2"/>
      <c r="B56" s="2"/>
      <c r="C56" s="2"/>
      <c r="D56" s="2"/>
      <c r="E56" s="2"/>
      <c r="F56" s="2"/>
      <c r="G56" s="2"/>
    </row>
    <row r="57" spans="1:7" ht="15">
      <c r="A57" s="2"/>
      <c r="B57" s="2"/>
      <c r="C57" s="2"/>
      <c r="D57" s="2"/>
      <c r="E57" s="2"/>
      <c r="F57" s="2"/>
      <c r="G57" s="2"/>
    </row>
    <row r="58" spans="1:7" ht="15">
      <c r="A58" s="2"/>
      <c r="B58" s="2"/>
      <c r="C58" s="2"/>
      <c r="D58" s="2"/>
      <c r="E58" s="2"/>
      <c r="F58" s="2"/>
      <c r="G58" s="2"/>
    </row>
    <row r="59" spans="1:7" ht="15">
      <c r="A59" s="2"/>
      <c r="B59" s="2"/>
      <c r="C59" s="2"/>
      <c r="D59" s="2"/>
      <c r="E59" s="2"/>
      <c r="F59" s="2"/>
      <c r="G59" s="2"/>
    </row>
    <row r="60" spans="1:7" ht="15">
      <c r="A60" s="2"/>
      <c r="B60" s="2"/>
      <c r="C60" s="2"/>
      <c r="D60" s="2"/>
      <c r="E60" s="2"/>
      <c r="F60" s="2"/>
      <c r="G60" s="2"/>
    </row>
    <row r="61" spans="1:7" ht="15">
      <c r="A61" s="2"/>
      <c r="B61" s="2"/>
      <c r="C61" s="2"/>
      <c r="D61" s="2"/>
      <c r="E61" s="2"/>
      <c r="F61" s="2"/>
      <c r="G61" s="2"/>
    </row>
    <row r="62" spans="1:7" ht="15">
      <c r="A62" s="2"/>
      <c r="B62" s="2"/>
      <c r="C62" s="2"/>
      <c r="D62" s="2"/>
      <c r="E62" s="2"/>
      <c r="F62" s="2"/>
      <c r="G62" s="2"/>
    </row>
    <row r="63" spans="1:7" ht="15">
      <c r="A63" s="2"/>
      <c r="B63" s="2"/>
      <c r="C63" s="2"/>
      <c r="D63" s="2"/>
      <c r="E63" s="2"/>
      <c r="F63" s="2"/>
      <c r="G63" s="2"/>
    </row>
    <row r="64" spans="1:7" ht="15">
      <c r="A64" s="2"/>
      <c r="B64" s="2"/>
      <c r="C64" s="2"/>
      <c r="D64" s="2"/>
      <c r="E64" s="2"/>
      <c r="F64" s="2"/>
      <c r="G64" s="2"/>
    </row>
    <row r="65" spans="1:7" ht="15">
      <c r="A65" s="2"/>
      <c r="B65" s="2"/>
      <c r="C65" s="2"/>
      <c r="D65" s="2"/>
      <c r="E65" s="2"/>
      <c r="F65" s="2"/>
      <c r="G65" s="2"/>
    </row>
    <row r="66" spans="1:7" ht="15">
      <c r="A66" s="2"/>
      <c r="B66" s="2"/>
      <c r="C66" s="2"/>
      <c r="D66" s="2"/>
      <c r="E66" s="2"/>
      <c r="F66" s="2"/>
      <c r="G66" s="2"/>
    </row>
    <row r="67" spans="1:7" ht="15">
      <c r="A67" s="2"/>
      <c r="B67" s="2"/>
      <c r="C67" s="2"/>
      <c r="D67" s="2"/>
      <c r="E67" s="2"/>
      <c r="F67" s="2"/>
      <c r="G67" s="2"/>
    </row>
    <row r="68" spans="1:7" ht="15">
      <c r="A68" s="2"/>
      <c r="B68" s="2"/>
      <c r="C68" s="2"/>
      <c r="D68" s="2"/>
      <c r="E68" s="2"/>
      <c r="F68" s="2"/>
      <c r="G68" s="2"/>
    </row>
    <row r="69" spans="1:7" ht="15">
      <c r="A69" s="2"/>
      <c r="B69" s="2"/>
      <c r="C69" s="2"/>
      <c r="D69" s="2"/>
      <c r="E69" s="2"/>
      <c r="F69" s="2"/>
      <c r="G69" s="2"/>
    </row>
    <row r="70" spans="1:7" ht="15">
      <c r="A70" s="2"/>
      <c r="B70" s="2"/>
      <c r="C70" s="2"/>
      <c r="D70" s="2"/>
      <c r="E70" s="2"/>
      <c r="F70" s="2"/>
      <c r="G70" s="2"/>
    </row>
    <row r="71" spans="1:7" ht="15">
      <c r="A71" s="2"/>
      <c r="B71" s="2"/>
      <c r="C71" s="2"/>
      <c r="D71" s="2"/>
      <c r="E71" s="2"/>
      <c r="F71" s="2"/>
      <c r="G71" s="2"/>
    </row>
    <row r="72" spans="1:7" ht="15">
      <c r="A72" s="2"/>
      <c r="B72" s="2"/>
      <c r="C72" s="2"/>
      <c r="D72" s="2"/>
      <c r="E72" s="2"/>
      <c r="F72" s="2"/>
      <c r="G72" s="2"/>
    </row>
    <row r="73" spans="1:7" ht="15">
      <c r="A73" s="2"/>
      <c r="B73" s="2"/>
      <c r="C73" s="2"/>
      <c r="D73" s="2"/>
      <c r="E73" s="2"/>
      <c r="F73" s="2"/>
      <c r="G73" s="2"/>
    </row>
    <row r="74" spans="1:7" ht="15">
      <c r="A74" s="2"/>
      <c r="B74" s="2"/>
      <c r="C74" s="2"/>
      <c r="D74" s="2"/>
      <c r="E74" s="2"/>
      <c r="F74" s="2"/>
      <c r="G74" s="2"/>
    </row>
    <row r="75" spans="1:7" ht="15">
      <c r="A75" s="2"/>
      <c r="B75" s="2"/>
      <c r="C75" s="2"/>
      <c r="D75" s="2"/>
      <c r="E75" s="2"/>
      <c r="F75" s="2"/>
      <c r="G75" s="2"/>
    </row>
    <row r="76" spans="1:7" ht="15">
      <c r="A76" s="2"/>
      <c r="B76" s="2"/>
      <c r="C76" s="2"/>
      <c r="D76" s="2"/>
      <c r="E76" s="2"/>
      <c r="F76" s="2"/>
      <c r="G76" s="2"/>
    </row>
    <row r="77" spans="1:7" ht="15">
      <c r="A77" s="2"/>
      <c r="B77" s="2"/>
      <c r="C77" s="2"/>
      <c r="D77" s="2"/>
      <c r="E77" s="2"/>
      <c r="F77" s="2"/>
      <c r="G77" s="2"/>
    </row>
    <row r="78" spans="1:7" ht="15">
      <c r="A78" s="2"/>
      <c r="B78" s="2"/>
      <c r="C78" s="2"/>
      <c r="D78" s="2"/>
      <c r="E78" s="2"/>
      <c r="F78" s="2"/>
      <c r="G78" s="2"/>
    </row>
    <row r="79" spans="1:7" ht="15">
      <c r="A79" s="2"/>
      <c r="B79" s="2"/>
      <c r="C79" s="2"/>
      <c r="D79" s="2"/>
      <c r="E79" s="2"/>
      <c r="F79" s="2"/>
      <c r="G79" s="2"/>
    </row>
    <row r="80" spans="1:7" ht="15">
      <c r="A80" s="2"/>
      <c r="B80" s="2"/>
      <c r="C80" s="2"/>
      <c r="D80" s="2"/>
      <c r="E80" s="2"/>
      <c r="F80" s="2"/>
      <c r="G80" s="2"/>
    </row>
    <row r="81" spans="1:7" ht="15">
      <c r="A81" s="2"/>
      <c r="B81" s="2"/>
      <c r="C81" s="2"/>
      <c r="D81" s="2"/>
      <c r="E81" s="2"/>
      <c r="F81" s="2"/>
      <c r="G81" s="2"/>
    </row>
    <row r="82" spans="1:7" ht="15">
      <c r="A82" s="2"/>
      <c r="B82" s="2"/>
      <c r="C82" s="2"/>
      <c r="D82" s="2"/>
      <c r="E82" s="2"/>
      <c r="F82" s="2"/>
      <c r="G82" s="2"/>
    </row>
    <row r="83" spans="1:7" ht="15">
      <c r="A83" s="2"/>
      <c r="B83" s="2"/>
      <c r="C83" s="2"/>
      <c r="D83" s="2"/>
      <c r="E83" s="2"/>
      <c r="F83" s="2"/>
      <c r="G83" s="2"/>
    </row>
    <row r="84" spans="1:7" ht="15">
      <c r="A84" s="2"/>
      <c r="B84" s="2"/>
      <c r="C84" s="2"/>
      <c r="D84" s="2"/>
      <c r="E84" s="2"/>
      <c r="F84" s="2"/>
      <c r="G84" s="2"/>
    </row>
    <row r="85" spans="1:7" ht="15">
      <c r="A85" s="2"/>
      <c r="B85" s="2"/>
      <c r="C85" s="2"/>
      <c r="D85" s="2"/>
      <c r="E85" s="2"/>
      <c r="F85" s="2"/>
      <c r="G85" s="2"/>
    </row>
    <row r="86" spans="1:7" ht="15">
      <c r="A86" s="2"/>
      <c r="B86" s="2"/>
      <c r="C86" s="2"/>
      <c r="D86" s="2"/>
      <c r="E86" s="2"/>
      <c r="F86" s="2"/>
      <c r="G86" s="2"/>
    </row>
    <row r="87" spans="1:7" ht="15">
      <c r="A87" s="2"/>
      <c r="B87" s="2"/>
      <c r="C87" s="2"/>
      <c r="D87" s="2"/>
      <c r="E87" s="2"/>
      <c r="F87" s="2"/>
      <c r="G87" s="2"/>
    </row>
    <row r="88" spans="1:7" ht="15">
      <c r="A88" s="2"/>
      <c r="B88" s="2"/>
      <c r="C88" s="2"/>
      <c r="D88" s="2"/>
      <c r="E88" s="2"/>
      <c r="F88" s="2"/>
      <c r="G88" s="2"/>
    </row>
    <row r="89" spans="1:7" ht="15">
      <c r="A89" s="2"/>
      <c r="B89" s="2"/>
      <c r="C89" s="2"/>
      <c r="D89" s="2"/>
      <c r="E89" s="2"/>
      <c r="F89" s="2"/>
      <c r="G89" s="2"/>
    </row>
    <row r="90" spans="1:7" ht="15">
      <c r="A90" s="2"/>
      <c r="B90" s="2"/>
      <c r="C90" s="2"/>
      <c r="D90" s="2"/>
      <c r="E90" s="2"/>
      <c r="F90" s="2"/>
      <c r="G90" s="2"/>
    </row>
    <row r="91" spans="1:7" ht="15">
      <c r="A91" s="2"/>
      <c r="B91" s="2"/>
      <c r="C91" s="2"/>
      <c r="D91" s="2"/>
      <c r="E91" s="2"/>
      <c r="F91" s="2"/>
      <c r="G91" s="2"/>
    </row>
    <row r="92" spans="1:7" ht="15">
      <c r="A92" s="2"/>
      <c r="B92" s="2"/>
      <c r="C92" s="2"/>
      <c r="D92" s="2"/>
      <c r="E92" s="2"/>
      <c r="F92" s="2"/>
      <c r="G92" s="2"/>
    </row>
    <row r="93" spans="1:7" ht="15">
      <c r="A93" s="2"/>
      <c r="B93" s="2"/>
      <c r="C93" s="2"/>
      <c r="D93" s="2"/>
      <c r="E93" s="2"/>
      <c r="F93" s="2"/>
      <c r="G93" s="2"/>
    </row>
    <row r="94" spans="1:7" ht="15">
      <c r="A94" s="2"/>
      <c r="B94" s="2"/>
      <c r="C94" s="2"/>
      <c r="D94" s="2"/>
      <c r="E94" s="2"/>
      <c r="F94" s="2"/>
      <c r="G94" s="2"/>
    </row>
    <row r="95" spans="1:7" ht="15">
      <c r="A95" s="2"/>
      <c r="B95" s="2"/>
      <c r="C95" s="2"/>
      <c r="D95" s="2"/>
      <c r="E95" s="2"/>
      <c r="F95" s="2"/>
      <c r="G95" s="2"/>
    </row>
  </sheetData>
  <phoneticPr fontId="7" type="noConversion"/>
  <pageMargins left="0.75" right="0.75" top="1" bottom="1" header="0.5" footer="0.5"/>
  <pageSetup paperSize="9" scale="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P4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46.28515625" customWidth="1"/>
    <col min="2" max="4" width="16.5703125" customWidth="1"/>
    <col min="5" max="7" width="15" customWidth="1"/>
    <col min="8" max="10" width="18.140625" customWidth="1"/>
    <col min="11" max="13" width="19" customWidth="1"/>
    <col min="14" max="16" width="23.140625" customWidth="1"/>
  </cols>
  <sheetData>
    <row r="1" spans="1:16" ht="13.5">
      <c r="A1" s="362" t="s">
        <v>645</v>
      </c>
    </row>
    <row r="2" spans="1:16" ht="13.5">
      <c r="A2" s="362" t="s">
        <v>224</v>
      </c>
    </row>
    <row r="3" spans="1:16" ht="75">
      <c r="A3" s="166" t="s">
        <v>629</v>
      </c>
      <c r="B3" s="260" t="s">
        <v>139</v>
      </c>
      <c r="C3" s="260" t="s">
        <v>140</v>
      </c>
      <c r="D3" s="260" t="s">
        <v>40</v>
      </c>
      <c r="E3" s="97" t="s">
        <v>41</v>
      </c>
      <c r="F3" s="97" t="s">
        <v>42</v>
      </c>
      <c r="G3" s="97" t="s">
        <v>43</v>
      </c>
      <c r="H3" s="97" t="s">
        <v>44</v>
      </c>
      <c r="I3" s="97" t="s">
        <v>46</v>
      </c>
      <c r="J3" s="97" t="s">
        <v>47</v>
      </c>
      <c r="K3" s="97" t="s">
        <v>48</v>
      </c>
      <c r="L3" s="97" t="s">
        <v>49</v>
      </c>
      <c r="M3" s="97" t="s">
        <v>50</v>
      </c>
      <c r="N3" s="98" t="s">
        <v>136</v>
      </c>
      <c r="O3" s="98" t="s">
        <v>137</v>
      </c>
      <c r="P3" s="98" t="s">
        <v>138</v>
      </c>
    </row>
    <row r="4" spans="1:16" ht="60">
      <c r="A4" s="170" t="s">
        <v>914</v>
      </c>
      <c r="B4" s="134"/>
      <c r="C4" s="134"/>
      <c r="D4" s="134"/>
      <c r="E4" s="90"/>
      <c r="F4" s="90"/>
      <c r="G4" s="90"/>
      <c r="H4" s="90"/>
      <c r="I4" s="90"/>
      <c r="J4" s="90"/>
      <c r="K4" s="134">
        <f>10000000/1000</f>
        <v>10000</v>
      </c>
      <c r="L4" s="134">
        <v>10000</v>
      </c>
      <c r="M4" s="134">
        <f>1667+70+206+37+70+7+114+3</f>
        <v>2174</v>
      </c>
      <c r="N4" s="104">
        <f>K4+H4+E4+B4</f>
        <v>10000</v>
      </c>
      <c r="O4" s="104">
        <f>L4+I4+F4+C4</f>
        <v>10000</v>
      </c>
      <c r="P4" s="104">
        <f>M4+J4+G4+D4</f>
        <v>2174</v>
      </c>
    </row>
    <row r="5" spans="1:16" ht="60">
      <c r="A5" s="170" t="s">
        <v>915</v>
      </c>
      <c r="B5" s="134"/>
      <c r="C5" s="134"/>
      <c r="D5" s="134"/>
      <c r="E5" s="90"/>
      <c r="F5" s="90"/>
      <c r="G5" s="90"/>
      <c r="H5" s="90"/>
      <c r="I5" s="90"/>
      <c r="J5" s="90"/>
      <c r="K5" s="134">
        <f>900*1.27</f>
        <v>1143</v>
      </c>
      <c r="L5" s="134">
        <v>1143</v>
      </c>
      <c r="M5" s="134">
        <v>823</v>
      </c>
      <c r="N5" s="104">
        <f t="shared" ref="N5:N31" si="0">K5+H5+E5+B5</f>
        <v>1143</v>
      </c>
      <c r="O5" s="104">
        <f t="shared" ref="O5:O31" si="1">L5+I5+F5+C5</f>
        <v>1143</v>
      </c>
      <c r="P5" s="104">
        <f t="shared" ref="P5:P31" si="2">M5+J5+G5+D5</f>
        <v>823</v>
      </c>
    </row>
    <row r="6" spans="1:16" ht="45">
      <c r="A6" s="170" t="s">
        <v>916</v>
      </c>
      <c r="B6" s="134"/>
      <c r="C6" s="134"/>
      <c r="D6" s="134"/>
      <c r="E6" s="90"/>
      <c r="F6" s="90"/>
      <c r="G6" s="90"/>
      <c r="H6" s="90"/>
      <c r="I6" s="90"/>
      <c r="J6" s="90"/>
      <c r="K6" s="134">
        <f>1600*1.27</f>
        <v>2032</v>
      </c>
      <c r="L6" s="134">
        <v>2032</v>
      </c>
      <c r="M6" s="134">
        <v>1463</v>
      </c>
      <c r="N6" s="104">
        <f t="shared" si="0"/>
        <v>2032</v>
      </c>
      <c r="O6" s="104">
        <f t="shared" si="1"/>
        <v>2032</v>
      </c>
      <c r="P6" s="104">
        <f t="shared" si="2"/>
        <v>1463</v>
      </c>
    </row>
    <row r="7" spans="1:16" ht="45">
      <c r="A7" s="170" t="s">
        <v>917</v>
      </c>
      <c r="B7" s="134"/>
      <c r="C7" s="134"/>
      <c r="D7" s="134"/>
      <c r="E7" s="90"/>
      <c r="F7" s="90"/>
      <c r="G7" s="90"/>
      <c r="H7" s="90"/>
      <c r="I7" s="90"/>
      <c r="J7" s="90"/>
      <c r="K7" s="134">
        <v>5600</v>
      </c>
      <c r="L7" s="134">
        <v>5600</v>
      </c>
      <c r="M7" s="134">
        <v>5583</v>
      </c>
      <c r="N7" s="104">
        <f t="shared" si="0"/>
        <v>5600</v>
      </c>
      <c r="O7" s="104">
        <f t="shared" si="1"/>
        <v>5600</v>
      </c>
      <c r="P7" s="104">
        <f t="shared" si="2"/>
        <v>5583</v>
      </c>
    </row>
    <row r="8" spans="1:16" ht="75">
      <c r="A8" s="170" t="s">
        <v>918</v>
      </c>
      <c r="B8" s="134"/>
      <c r="C8" s="134"/>
      <c r="D8" s="134"/>
      <c r="E8" s="90"/>
      <c r="F8" s="90"/>
      <c r="G8" s="90"/>
      <c r="H8" s="90"/>
      <c r="I8" s="90"/>
      <c r="J8" s="90"/>
      <c r="K8" s="134">
        <f>2000000/1000</f>
        <v>2000</v>
      </c>
      <c r="L8" s="134">
        <v>2000</v>
      </c>
      <c r="M8" s="134">
        <v>168</v>
      </c>
      <c r="N8" s="104">
        <f t="shared" si="0"/>
        <v>2000</v>
      </c>
      <c r="O8" s="104">
        <f t="shared" si="1"/>
        <v>2000</v>
      </c>
      <c r="P8" s="104">
        <f t="shared" si="2"/>
        <v>168</v>
      </c>
    </row>
    <row r="9" spans="1:16" ht="30">
      <c r="A9" s="167" t="s">
        <v>889</v>
      </c>
      <c r="B9" s="134"/>
      <c r="C9" s="134"/>
      <c r="D9" s="134"/>
      <c r="E9" s="90"/>
      <c r="F9" s="90"/>
      <c r="G9" s="90"/>
      <c r="H9" s="90"/>
      <c r="I9" s="90"/>
      <c r="J9" s="90"/>
      <c r="K9" s="134">
        <f>254000/1000</f>
        <v>254</v>
      </c>
      <c r="L9" s="134">
        <v>127</v>
      </c>
      <c r="M9" s="134"/>
      <c r="N9" s="104">
        <f t="shared" si="0"/>
        <v>254</v>
      </c>
      <c r="O9" s="104">
        <f t="shared" si="1"/>
        <v>127</v>
      </c>
      <c r="P9" s="104">
        <f t="shared" si="2"/>
        <v>0</v>
      </c>
    </row>
    <row r="10" spans="1:16" ht="15">
      <c r="A10" s="167" t="s">
        <v>653</v>
      </c>
      <c r="B10" s="134"/>
      <c r="C10" s="134"/>
      <c r="D10" s="134"/>
      <c r="E10" s="90"/>
      <c r="F10" s="90"/>
      <c r="G10" s="90"/>
      <c r="H10" s="90"/>
      <c r="I10" s="90"/>
      <c r="J10" s="90"/>
      <c r="K10" s="134"/>
      <c r="L10" s="134">
        <v>127</v>
      </c>
      <c r="M10" s="134">
        <v>127</v>
      </c>
      <c r="N10" s="104">
        <f t="shared" si="0"/>
        <v>0</v>
      </c>
      <c r="O10" s="104">
        <f t="shared" si="1"/>
        <v>127</v>
      </c>
      <c r="P10" s="104">
        <f t="shared" si="2"/>
        <v>127</v>
      </c>
    </row>
    <row r="11" spans="1:16" ht="30">
      <c r="A11" s="170" t="s">
        <v>891</v>
      </c>
      <c r="B11" s="169"/>
      <c r="C11" s="169"/>
      <c r="D11" s="169"/>
      <c r="E11" s="90"/>
      <c r="F11" s="90"/>
      <c r="G11" s="90"/>
      <c r="H11" s="90"/>
      <c r="I11" s="90"/>
      <c r="J11" s="90"/>
      <c r="K11" s="169">
        <v>6000</v>
      </c>
      <c r="L11" s="169">
        <v>6000</v>
      </c>
      <c r="M11" s="169"/>
      <c r="N11" s="104">
        <f t="shared" si="0"/>
        <v>6000</v>
      </c>
      <c r="O11" s="104">
        <f t="shared" si="1"/>
        <v>6000</v>
      </c>
      <c r="P11" s="104">
        <f t="shared" si="2"/>
        <v>0</v>
      </c>
    </row>
    <row r="12" spans="1:16" ht="30">
      <c r="A12" s="170" t="s">
        <v>892</v>
      </c>
      <c r="B12" s="169"/>
      <c r="C12" s="169"/>
      <c r="D12" s="169"/>
      <c r="E12" s="90"/>
      <c r="F12" s="90"/>
      <c r="G12" s="90"/>
      <c r="H12" s="90"/>
      <c r="I12" s="90"/>
      <c r="J12" s="90"/>
      <c r="K12" s="169">
        <v>10815</v>
      </c>
      <c r="L12" s="169">
        <v>10815</v>
      </c>
      <c r="M12" s="169"/>
      <c r="N12" s="104">
        <f t="shared" si="0"/>
        <v>10815</v>
      </c>
      <c r="O12" s="104">
        <f t="shared" si="1"/>
        <v>10815</v>
      </c>
      <c r="P12" s="104">
        <f t="shared" si="2"/>
        <v>0</v>
      </c>
    </row>
    <row r="13" spans="1:16" ht="30">
      <c r="A13" s="170" t="s">
        <v>893</v>
      </c>
      <c r="B13" s="169"/>
      <c r="C13" s="169"/>
      <c r="D13" s="169"/>
      <c r="E13" s="90"/>
      <c r="F13" s="90"/>
      <c r="G13" s="90"/>
      <c r="H13" s="90"/>
      <c r="I13" s="90"/>
      <c r="J13" s="90"/>
      <c r="K13" s="169">
        <v>5000</v>
      </c>
      <c r="L13" s="169">
        <v>348</v>
      </c>
      <c r="M13" s="169"/>
      <c r="N13" s="104">
        <f t="shared" si="0"/>
        <v>5000</v>
      </c>
      <c r="O13" s="104">
        <f t="shared" si="1"/>
        <v>348</v>
      </c>
      <c r="P13" s="104">
        <f t="shared" si="2"/>
        <v>0</v>
      </c>
    </row>
    <row r="14" spans="1:16" ht="30">
      <c r="A14" s="170" t="s">
        <v>894</v>
      </c>
      <c r="B14" s="169"/>
      <c r="C14" s="169"/>
      <c r="D14" s="169"/>
      <c r="E14" s="90"/>
      <c r="F14" s="90"/>
      <c r="G14" s="90"/>
      <c r="H14" s="90"/>
      <c r="I14" s="90"/>
      <c r="J14" s="90"/>
      <c r="K14" s="169">
        <v>17970</v>
      </c>
      <c r="L14" s="169">
        <v>17970</v>
      </c>
      <c r="M14" s="169"/>
      <c r="N14" s="104">
        <f t="shared" si="0"/>
        <v>17970</v>
      </c>
      <c r="O14" s="104">
        <f t="shared" si="1"/>
        <v>17970</v>
      </c>
      <c r="P14" s="104">
        <f t="shared" si="2"/>
        <v>0</v>
      </c>
    </row>
    <row r="15" spans="1:16" ht="30">
      <c r="A15" s="167" t="s">
        <v>888</v>
      </c>
      <c r="B15" s="134"/>
      <c r="C15" s="134"/>
      <c r="D15" s="134"/>
      <c r="E15" s="90"/>
      <c r="F15" s="90"/>
      <c r="G15" s="90"/>
      <c r="H15" s="90"/>
      <c r="I15" s="90"/>
      <c r="J15" s="90"/>
      <c r="K15" s="134">
        <f>400000/1000</f>
        <v>400</v>
      </c>
      <c r="L15" s="134">
        <v>400</v>
      </c>
      <c r="M15" s="134">
        <v>304</v>
      </c>
      <c r="N15" s="104">
        <f t="shared" si="0"/>
        <v>400</v>
      </c>
      <c r="O15" s="104">
        <f t="shared" si="1"/>
        <v>400</v>
      </c>
      <c r="P15" s="104">
        <f t="shared" si="2"/>
        <v>304</v>
      </c>
    </row>
    <row r="16" spans="1:16" ht="30">
      <c r="A16" s="167" t="s">
        <v>895</v>
      </c>
      <c r="B16" s="90"/>
      <c r="C16" s="90"/>
      <c r="D16" s="90"/>
      <c r="E16" s="90">
        <f>150*1.27</f>
        <v>190.5</v>
      </c>
      <c r="F16" s="90">
        <v>208</v>
      </c>
      <c r="G16" s="90">
        <f>(56457+15243+107087+28913)/1000</f>
        <v>207.7</v>
      </c>
      <c r="H16" s="90"/>
      <c r="I16" s="90"/>
      <c r="J16" s="90"/>
      <c r="K16" s="90"/>
      <c r="L16" s="90"/>
      <c r="M16" s="90"/>
      <c r="N16" s="104">
        <f t="shared" si="0"/>
        <v>190.5</v>
      </c>
      <c r="O16" s="104">
        <f t="shared" si="1"/>
        <v>208</v>
      </c>
      <c r="P16" s="104">
        <f t="shared" si="2"/>
        <v>207.7</v>
      </c>
    </row>
    <row r="17" spans="1:16" ht="30">
      <c r="A17" s="167" t="s">
        <v>896</v>
      </c>
      <c r="B17" s="90"/>
      <c r="C17" s="90"/>
      <c r="D17" s="90"/>
      <c r="E17" s="90">
        <f>350*1.27</f>
        <v>444.5</v>
      </c>
      <c r="F17" s="90">
        <v>446</v>
      </c>
      <c r="G17" s="90">
        <f>(40800+405000)/1000</f>
        <v>445.8</v>
      </c>
      <c r="H17" s="90"/>
      <c r="I17" s="90"/>
      <c r="J17" s="90"/>
      <c r="K17" s="90"/>
      <c r="L17" s="90"/>
      <c r="M17" s="90"/>
      <c r="N17" s="104">
        <f t="shared" si="0"/>
        <v>444.5</v>
      </c>
      <c r="O17" s="104">
        <f t="shared" si="1"/>
        <v>446</v>
      </c>
      <c r="P17" s="104">
        <f t="shared" si="2"/>
        <v>445.8</v>
      </c>
    </row>
    <row r="18" spans="1:16" ht="30">
      <c r="A18" s="167" t="s">
        <v>897</v>
      </c>
      <c r="B18" s="90"/>
      <c r="C18" s="90"/>
      <c r="D18" s="90"/>
      <c r="E18" s="90">
        <f>100*1.27</f>
        <v>127</v>
      </c>
      <c r="F18" s="90">
        <v>0</v>
      </c>
      <c r="G18" s="90"/>
      <c r="H18" s="90"/>
      <c r="I18" s="90"/>
      <c r="J18" s="90"/>
      <c r="K18" s="90"/>
      <c r="L18" s="90"/>
      <c r="M18" s="90"/>
      <c r="N18" s="104">
        <f t="shared" si="0"/>
        <v>127</v>
      </c>
      <c r="O18" s="104">
        <f t="shared" si="1"/>
        <v>0</v>
      </c>
      <c r="P18" s="104">
        <f t="shared" si="2"/>
        <v>0</v>
      </c>
    </row>
    <row r="19" spans="1:16" ht="30">
      <c r="A19" s="167" t="s">
        <v>898</v>
      </c>
      <c r="B19" s="90"/>
      <c r="C19" s="90"/>
      <c r="D19" s="90"/>
      <c r="E19" s="90">
        <f>200*1.27</f>
        <v>254</v>
      </c>
      <c r="F19" s="90">
        <v>249</v>
      </c>
      <c r="G19" s="90">
        <f>(153900+41553)/1000</f>
        <v>195.453</v>
      </c>
      <c r="H19" s="90"/>
      <c r="I19" s="90"/>
      <c r="J19" s="90"/>
      <c r="K19" s="90"/>
      <c r="L19" s="90"/>
      <c r="M19" s="90"/>
      <c r="N19" s="104">
        <f t="shared" si="0"/>
        <v>254</v>
      </c>
      <c r="O19" s="104">
        <f t="shared" si="1"/>
        <v>249</v>
      </c>
      <c r="P19" s="104">
        <f t="shared" si="2"/>
        <v>195.453</v>
      </c>
    </row>
    <row r="20" spans="1:16" ht="15">
      <c r="A20" s="171" t="s">
        <v>886</v>
      </c>
      <c r="B20" s="90"/>
      <c r="C20" s="90"/>
      <c r="D20" s="90"/>
      <c r="E20" s="90">
        <f>3000*1.27</f>
        <v>3810</v>
      </c>
      <c r="F20" s="90">
        <v>3810</v>
      </c>
      <c r="G20" s="90">
        <v>0</v>
      </c>
      <c r="H20" s="90"/>
      <c r="I20" s="90"/>
      <c r="J20" s="90"/>
      <c r="K20" s="90"/>
      <c r="L20" s="90"/>
      <c r="M20" s="90"/>
      <c r="N20" s="104">
        <f t="shared" si="0"/>
        <v>3810</v>
      </c>
      <c r="O20" s="104">
        <f t="shared" si="1"/>
        <v>3810</v>
      </c>
      <c r="P20" s="104">
        <f t="shared" si="2"/>
        <v>0</v>
      </c>
    </row>
    <row r="21" spans="1:16" ht="15">
      <c r="A21" s="167" t="s">
        <v>890</v>
      </c>
      <c r="B21" s="130">
        <f>1524000/1000</f>
        <v>1524</v>
      </c>
      <c r="C21" s="130">
        <f>445*1.27</f>
        <v>565.15</v>
      </c>
      <c r="D21" s="130">
        <f>350*1.27</f>
        <v>444.5</v>
      </c>
      <c r="E21" s="90"/>
      <c r="F21" s="90"/>
      <c r="G21" s="90"/>
      <c r="H21" s="90"/>
      <c r="I21" s="90"/>
      <c r="J21" s="90"/>
      <c r="K21" s="90"/>
      <c r="L21" s="90"/>
      <c r="M21" s="90"/>
      <c r="N21" s="104">
        <f t="shared" si="0"/>
        <v>1524</v>
      </c>
      <c r="O21" s="104">
        <f t="shared" si="1"/>
        <v>565.15</v>
      </c>
      <c r="P21" s="104">
        <f t="shared" si="2"/>
        <v>444.5</v>
      </c>
    </row>
    <row r="22" spans="1:16" ht="30">
      <c r="A22" s="171" t="s">
        <v>885</v>
      </c>
      <c r="B22" s="90"/>
      <c r="C22" s="90"/>
      <c r="D22" s="90"/>
      <c r="E22" s="90"/>
      <c r="F22" s="90"/>
      <c r="G22" s="90"/>
      <c r="H22" s="90"/>
      <c r="I22" s="90"/>
      <c r="J22" s="90"/>
      <c r="K22" s="90">
        <f>180011000/1000</f>
        <v>180011</v>
      </c>
      <c r="L22" s="90">
        <v>180011</v>
      </c>
      <c r="M22" s="90">
        <f>10108+457+42</f>
        <v>10607</v>
      </c>
      <c r="N22" s="104">
        <f t="shared" si="0"/>
        <v>180011</v>
      </c>
      <c r="O22" s="104">
        <f t="shared" si="1"/>
        <v>180011</v>
      </c>
      <c r="P22" s="104">
        <f t="shared" si="2"/>
        <v>10607</v>
      </c>
    </row>
    <row r="23" spans="1:16" ht="15">
      <c r="A23" s="271" t="s">
        <v>134</v>
      </c>
      <c r="B23" s="90"/>
      <c r="C23" s="90">
        <f>122+33</f>
        <v>155</v>
      </c>
      <c r="D23" s="90">
        <f>(121732+32868)/1000+1</f>
        <v>155.6</v>
      </c>
      <c r="E23" s="90"/>
      <c r="F23" s="90"/>
      <c r="G23" s="90"/>
      <c r="H23" s="90"/>
      <c r="I23" s="90"/>
      <c r="J23" s="90"/>
      <c r="K23" s="90"/>
      <c r="L23" s="90"/>
      <c r="M23" s="90"/>
      <c r="N23" s="104">
        <f t="shared" si="0"/>
        <v>0</v>
      </c>
      <c r="O23" s="104">
        <f t="shared" si="1"/>
        <v>155</v>
      </c>
      <c r="P23" s="104">
        <f t="shared" si="2"/>
        <v>155.6</v>
      </c>
    </row>
    <row r="24" spans="1:16" ht="15">
      <c r="A24" s="271" t="s">
        <v>646</v>
      </c>
      <c r="B24" s="90"/>
      <c r="C24" s="90"/>
      <c r="D24" s="90"/>
      <c r="E24" s="90"/>
      <c r="F24" s="90">
        <v>113</v>
      </c>
      <c r="G24" s="90">
        <f>(88801+23976)/1000</f>
        <v>112.777</v>
      </c>
      <c r="H24" s="90"/>
      <c r="I24" s="90"/>
      <c r="J24" s="90"/>
      <c r="K24" s="90"/>
      <c r="L24" s="90"/>
      <c r="M24" s="90"/>
      <c r="N24" s="104">
        <f t="shared" si="0"/>
        <v>0</v>
      </c>
      <c r="O24" s="104">
        <f t="shared" si="1"/>
        <v>113</v>
      </c>
      <c r="P24" s="104">
        <f t="shared" si="2"/>
        <v>112.777</v>
      </c>
    </row>
    <row r="25" spans="1:16" ht="15">
      <c r="A25" s="171" t="s">
        <v>647</v>
      </c>
      <c r="B25" s="90"/>
      <c r="C25" s="90"/>
      <c r="D25" s="90"/>
      <c r="E25" s="90"/>
      <c r="F25" s="90"/>
      <c r="G25" s="90"/>
      <c r="H25" s="90"/>
      <c r="I25" s="90">
        <v>120</v>
      </c>
      <c r="J25" s="90">
        <f>(94331+25469)/1000</f>
        <v>119.8</v>
      </c>
      <c r="K25" s="90"/>
      <c r="L25" s="90"/>
      <c r="M25" s="90"/>
      <c r="N25" s="104">
        <f t="shared" si="0"/>
        <v>0</v>
      </c>
      <c r="O25" s="104">
        <f t="shared" si="1"/>
        <v>120</v>
      </c>
      <c r="P25" s="104">
        <f t="shared" si="2"/>
        <v>119.8</v>
      </c>
    </row>
    <row r="26" spans="1:16" ht="15">
      <c r="A26" s="171" t="s">
        <v>648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>
        <v>152</v>
      </c>
      <c r="M26" s="90">
        <v>152</v>
      </c>
      <c r="N26" s="104">
        <f t="shared" si="0"/>
        <v>0</v>
      </c>
      <c r="O26" s="104">
        <f t="shared" si="1"/>
        <v>152</v>
      </c>
      <c r="P26" s="104">
        <f t="shared" si="2"/>
        <v>152</v>
      </c>
    </row>
    <row r="27" spans="1:16" ht="15">
      <c r="A27" s="171" t="s">
        <v>649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>
        <v>6000</v>
      </c>
      <c r="M27" s="90">
        <v>4710</v>
      </c>
      <c r="N27" s="104">
        <f t="shared" si="0"/>
        <v>0</v>
      </c>
      <c r="O27" s="104">
        <f t="shared" si="1"/>
        <v>6000</v>
      </c>
      <c r="P27" s="104">
        <f t="shared" si="2"/>
        <v>4710</v>
      </c>
    </row>
    <row r="28" spans="1:16" ht="15">
      <c r="A28" s="171" t="s">
        <v>650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>
        <v>2000</v>
      </c>
      <c r="M28" s="90">
        <v>1868</v>
      </c>
      <c r="N28" s="104">
        <f t="shared" si="0"/>
        <v>0</v>
      </c>
      <c r="O28" s="104">
        <f t="shared" si="1"/>
        <v>2000</v>
      </c>
      <c r="P28" s="104">
        <f t="shared" si="2"/>
        <v>1868</v>
      </c>
    </row>
    <row r="29" spans="1:16" ht="30">
      <c r="A29" s="171" t="s">
        <v>651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>
        <f>184</f>
        <v>184</v>
      </c>
      <c r="N29" s="104">
        <f t="shared" si="0"/>
        <v>0</v>
      </c>
      <c r="O29" s="104">
        <f t="shared" si="1"/>
        <v>0</v>
      </c>
      <c r="P29" s="104">
        <f t="shared" si="2"/>
        <v>184</v>
      </c>
    </row>
    <row r="30" spans="1:16" ht="15">
      <c r="A30" s="171" t="s">
        <v>652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>
        <v>362</v>
      </c>
      <c r="M30" s="90">
        <v>362</v>
      </c>
      <c r="N30" s="104">
        <f t="shared" si="0"/>
        <v>0</v>
      </c>
      <c r="O30" s="104">
        <f t="shared" si="1"/>
        <v>362</v>
      </c>
      <c r="P30" s="104">
        <f t="shared" si="2"/>
        <v>362</v>
      </c>
    </row>
    <row r="31" spans="1:16" ht="15">
      <c r="A31" s="171" t="s">
        <v>654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>
        <v>300</v>
      </c>
      <c r="M31" s="90">
        <v>290</v>
      </c>
      <c r="N31" s="104">
        <f t="shared" si="0"/>
        <v>0</v>
      </c>
      <c r="O31" s="104">
        <f t="shared" si="1"/>
        <v>300</v>
      </c>
      <c r="P31" s="104">
        <f t="shared" si="2"/>
        <v>290</v>
      </c>
    </row>
    <row r="32" spans="1:16" ht="15.75">
      <c r="A32" s="172" t="s">
        <v>37</v>
      </c>
      <c r="B32" s="133">
        <f>SUM(B4:B31)</f>
        <v>1524</v>
      </c>
      <c r="C32" s="133">
        <f t="shared" ref="C32:M32" si="3">SUM(C4:C31)</f>
        <v>720.15</v>
      </c>
      <c r="D32" s="133">
        <f t="shared" si="3"/>
        <v>600.1</v>
      </c>
      <c r="E32" s="133">
        <f t="shared" si="3"/>
        <v>4826</v>
      </c>
      <c r="F32" s="133">
        <f t="shared" si="3"/>
        <v>4826</v>
      </c>
      <c r="G32" s="133">
        <f t="shared" si="3"/>
        <v>961.73</v>
      </c>
      <c r="H32" s="133">
        <f t="shared" si="3"/>
        <v>0</v>
      </c>
      <c r="I32" s="133">
        <f t="shared" si="3"/>
        <v>120</v>
      </c>
      <c r="J32" s="133">
        <f t="shared" si="3"/>
        <v>119.8</v>
      </c>
      <c r="K32" s="133">
        <f t="shared" si="3"/>
        <v>241225</v>
      </c>
      <c r="L32" s="133">
        <f t="shared" si="3"/>
        <v>245387</v>
      </c>
      <c r="M32" s="133">
        <f t="shared" si="3"/>
        <v>28815</v>
      </c>
      <c r="N32" s="133">
        <f>SUM(N4:N31)</f>
        <v>247575</v>
      </c>
      <c r="O32" s="133">
        <f>SUM(O4:O31)</f>
        <v>251053.15</v>
      </c>
      <c r="P32" s="133">
        <f>SUM(P4:P31)</f>
        <v>30496.629999999997</v>
      </c>
    </row>
    <row r="33" spans="1:16">
      <c r="A33" s="173"/>
    </row>
    <row r="34" spans="1:16" ht="75">
      <c r="A34" s="22" t="s">
        <v>629</v>
      </c>
      <c r="B34" s="260" t="s">
        <v>139</v>
      </c>
      <c r="C34" s="260" t="s">
        <v>140</v>
      </c>
      <c r="D34" s="260" t="s">
        <v>40</v>
      </c>
      <c r="E34" s="97" t="s">
        <v>41</v>
      </c>
      <c r="F34" s="97" t="s">
        <v>42</v>
      </c>
      <c r="G34" s="97" t="s">
        <v>43</v>
      </c>
      <c r="H34" s="97" t="s">
        <v>44</v>
      </c>
      <c r="I34" s="97" t="s">
        <v>46</v>
      </c>
      <c r="J34" s="97" t="s">
        <v>47</v>
      </c>
      <c r="K34" s="97" t="s">
        <v>48</v>
      </c>
      <c r="L34" s="97" t="s">
        <v>49</v>
      </c>
      <c r="M34" s="97" t="s">
        <v>50</v>
      </c>
      <c r="N34" s="98" t="s">
        <v>136</v>
      </c>
      <c r="O34" s="98" t="s">
        <v>137</v>
      </c>
      <c r="P34" s="98" t="s">
        <v>138</v>
      </c>
    </row>
    <row r="35" spans="1:16" ht="45">
      <c r="A35" s="170" t="s">
        <v>0</v>
      </c>
      <c r="B35" s="134"/>
      <c r="C35" s="134"/>
      <c r="D35" s="134"/>
      <c r="E35" s="20"/>
      <c r="F35" s="20"/>
      <c r="G35" s="20"/>
      <c r="H35" s="20"/>
      <c r="I35" s="20"/>
      <c r="J35" s="20"/>
      <c r="K35" s="134">
        <v>1016</v>
      </c>
      <c r="L35" s="134"/>
      <c r="M35" s="134"/>
      <c r="N35" s="174">
        <f>K35+H35+E35+B35</f>
        <v>1016</v>
      </c>
      <c r="O35" s="174">
        <f>L35+I35+F35+C35</f>
        <v>0</v>
      </c>
      <c r="P35" s="174">
        <f>M35+J35+G35+D35</f>
        <v>0</v>
      </c>
    </row>
    <row r="36" spans="1:16" ht="30">
      <c r="A36" s="167" t="s">
        <v>1</v>
      </c>
      <c r="B36" s="134"/>
      <c r="C36" s="134"/>
      <c r="D36" s="134"/>
      <c r="E36" s="90"/>
      <c r="F36" s="90"/>
      <c r="G36" s="90"/>
      <c r="H36" s="90"/>
      <c r="I36" s="90"/>
      <c r="J36" s="90"/>
      <c r="K36" s="134">
        <f>10000000/1000</f>
        <v>10000</v>
      </c>
      <c r="L36" s="134">
        <v>2000</v>
      </c>
      <c r="M36" s="134">
        <v>38</v>
      </c>
      <c r="N36" s="174">
        <f t="shared" ref="N36:N42" si="4">K36+H36+E36+B36</f>
        <v>10000</v>
      </c>
      <c r="O36" s="174">
        <f t="shared" ref="O36:O42" si="5">L36+I36+F36+C36</f>
        <v>2000</v>
      </c>
      <c r="P36" s="174">
        <f t="shared" ref="P36:P42" si="6">M36+J36+G36+D36</f>
        <v>38</v>
      </c>
    </row>
    <row r="37" spans="1:16" ht="30">
      <c r="A37" s="170" t="s">
        <v>887</v>
      </c>
      <c r="B37" s="135"/>
      <c r="C37" s="135"/>
      <c r="D37" s="135"/>
      <c r="E37" s="90"/>
      <c r="F37" s="90"/>
      <c r="G37" s="90"/>
      <c r="H37" s="90"/>
      <c r="I37" s="90"/>
      <c r="J37" s="90"/>
      <c r="K37" s="135">
        <v>6500</v>
      </c>
      <c r="L37" s="135">
        <f>6500+8770</f>
        <v>15270</v>
      </c>
      <c r="M37" s="135">
        <f>4751+4688+4986+423+518+64+40</f>
        <v>15470</v>
      </c>
      <c r="N37" s="174">
        <f t="shared" si="4"/>
        <v>6500</v>
      </c>
      <c r="O37" s="174">
        <f t="shared" si="5"/>
        <v>15270</v>
      </c>
      <c r="P37" s="174">
        <f t="shared" si="6"/>
        <v>15470</v>
      </c>
    </row>
    <row r="38" spans="1:16" ht="30">
      <c r="A38" s="171" t="s">
        <v>899</v>
      </c>
      <c r="B38" s="20"/>
      <c r="C38" s="20"/>
      <c r="D38" s="20"/>
      <c r="E38" s="20"/>
      <c r="F38" s="20"/>
      <c r="G38" s="20"/>
      <c r="H38" s="20">
        <v>635</v>
      </c>
      <c r="I38" s="20">
        <v>515</v>
      </c>
      <c r="J38" s="20">
        <v>0</v>
      </c>
      <c r="K38" s="174"/>
      <c r="L38" s="174"/>
      <c r="M38" s="174"/>
      <c r="N38" s="174">
        <f t="shared" si="4"/>
        <v>635</v>
      </c>
      <c r="O38" s="174">
        <f t="shared" si="5"/>
        <v>515</v>
      </c>
      <c r="P38" s="174">
        <f t="shared" si="6"/>
        <v>0</v>
      </c>
    </row>
    <row r="39" spans="1:16" ht="15">
      <c r="A39" s="168" t="s">
        <v>655</v>
      </c>
      <c r="B39" s="20"/>
      <c r="C39" s="20"/>
      <c r="D39" s="20"/>
      <c r="E39" s="20"/>
      <c r="F39" s="20"/>
      <c r="G39" s="20"/>
      <c r="H39" s="20"/>
      <c r="I39" s="20"/>
      <c r="J39" s="20"/>
      <c r="K39" s="161"/>
      <c r="L39" s="161">
        <v>9503</v>
      </c>
      <c r="M39" s="161">
        <f>5694+133+133+3543</f>
        <v>9503</v>
      </c>
      <c r="N39" s="174">
        <f t="shared" si="4"/>
        <v>0</v>
      </c>
      <c r="O39" s="174">
        <f t="shared" si="5"/>
        <v>9503</v>
      </c>
      <c r="P39" s="174">
        <f t="shared" si="6"/>
        <v>9503</v>
      </c>
    </row>
    <row r="40" spans="1:16" ht="15">
      <c r="A40" s="168" t="s">
        <v>656</v>
      </c>
      <c r="B40" s="20"/>
      <c r="C40" s="20"/>
      <c r="D40" s="20"/>
      <c r="E40" s="20"/>
      <c r="F40" s="20"/>
      <c r="G40" s="20"/>
      <c r="H40" s="20"/>
      <c r="I40" s="20"/>
      <c r="J40" s="20"/>
      <c r="K40" s="161"/>
      <c r="L40" s="161">
        <v>381</v>
      </c>
      <c r="M40" s="161">
        <v>381</v>
      </c>
      <c r="N40" s="174">
        <f t="shared" si="4"/>
        <v>0</v>
      </c>
      <c r="O40" s="174">
        <f t="shared" si="5"/>
        <v>381</v>
      </c>
      <c r="P40" s="174">
        <f t="shared" si="6"/>
        <v>381</v>
      </c>
    </row>
    <row r="41" spans="1:16" ht="15">
      <c r="A41" s="168"/>
      <c r="B41" s="20"/>
      <c r="C41" s="20"/>
      <c r="D41" s="20"/>
      <c r="E41" s="20"/>
      <c r="F41" s="20"/>
      <c r="G41" s="20"/>
      <c r="H41" s="20"/>
      <c r="I41" s="20"/>
      <c r="J41" s="20"/>
      <c r="K41" s="161"/>
      <c r="L41" s="161"/>
      <c r="M41" s="161"/>
      <c r="N41" s="174">
        <f t="shared" si="4"/>
        <v>0</v>
      </c>
      <c r="O41" s="174">
        <f t="shared" si="5"/>
        <v>0</v>
      </c>
      <c r="P41" s="174">
        <f t="shared" si="6"/>
        <v>0</v>
      </c>
    </row>
    <row r="42" spans="1:16" ht="15">
      <c r="A42" s="168"/>
      <c r="B42" s="20"/>
      <c r="C42" s="20"/>
      <c r="D42" s="20"/>
      <c r="E42" s="20"/>
      <c r="F42" s="20"/>
      <c r="G42" s="20"/>
      <c r="H42" s="20"/>
      <c r="I42" s="20"/>
      <c r="J42" s="20"/>
      <c r="K42" s="161"/>
      <c r="L42" s="161"/>
      <c r="M42" s="161"/>
      <c r="N42" s="174">
        <f t="shared" si="4"/>
        <v>0</v>
      </c>
      <c r="O42" s="174">
        <f t="shared" si="5"/>
        <v>0</v>
      </c>
      <c r="P42" s="174">
        <f t="shared" si="6"/>
        <v>0</v>
      </c>
    </row>
    <row r="43" spans="1:16" ht="15.75">
      <c r="A43" s="15" t="s">
        <v>695</v>
      </c>
      <c r="B43" s="133">
        <f t="shared" ref="B43:N43" si="7">SUM(B35:B42)</f>
        <v>0</v>
      </c>
      <c r="C43" s="133">
        <f t="shared" si="7"/>
        <v>0</v>
      </c>
      <c r="D43" s="133">
        <f t="shared" si="7"/>
        <v>0</v>
      </c>
      <c r="E43" s="133">
        <f t="shared" si="7"/>
        <v>0</v>
      </c>
      <c r="F43" s="133">
        <f t="shared" si="7"/>
        <v>0</v>
      </c>
      <c r="G43" s="133">
        <f t="shared" si="7"/>
        <v>0</v>
      </c>
      <c r="H43" s="133">
        <f t="shared" si="7"/>
        <v>635</v>
      </c>
      <c r="I43" s="133">
        <f t="shared" si="7"/>
        <v>515</v>
      </c>
      <c r="J43" s="133">
        <f t="shared" si="7"/>
        <v>0</v>
      </c>
      <c r="K43" s="133">
        <f t="shared" si="7"/>
        <v>17516</v>
      </c>
      <c r="L43" s="133">
        <f t="shared" si="7"/>
        <v>27154</v>
      </c>
      <c r="M43" s="133">
        <f t="shared" si="7"/>
        <v>25392</v>
      </c>
      <c r="N43" s="133">
        <f t="shared" si="7"/>
        <v>18151</v>
      </c>
      <c r="O43" s="133">
        <f>SUM(O35:O42)</f>
        <v>27669</v>
      </c>
      <c r="P43" s="133">
        <f>SUM(P35:P42)</f>
        <v>25392</v>
      </c>
    </row>
    <row r="45" spans="1:16" ht="48" customHeight="1">
      <c r="A45" s="445" t="s">
        <v>702</v>
      </c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</row>
    <row r="47" spans="1:16" ht="85.5" customHeight="1">
      <c r="A47" s="19" t="s">
        <v>629</v>
      </c>
      <c r="B47" s="25" t="s">
        <v>696</v>
      </c>
      <c r="C47" s="25"/>
      <c r="D47" s="25"/>
      <c r="E47" s="25" t="s">
        <v>697</v>
      </c>
      <c r="F47" s="25"/>
      <c r="G47" s="25"/>
      <c r="H47" s="25" t="s">
        <v>698</v>
      </c>
      <c r="I47" s="25"/>
      <c r="J47" s="25"/>
      <c r="K47" s="25" t="s">
        <v>699</v>
      </c>
      <c r="L47" s="25"/>
      <c r="M47" s="25"/>
      <c r="N47" s="25" t="s">
        <v>700</v>
      </c>
      <c r="O47" s="25" t="s">
        <v>700</v>
      </c>
      <c r="P47" s="25" t="s">
        <v>700</v>
      </c>
    </row>
    <row r="48" spans="1:16" ht="30">
      <c r="A48" s="171" t="s">
        <v>885</v>
      </c>
      <c r="B48" s="90">
        <v>50000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ht="16.5">
      <c r="A49" s="26" t="s">
        <v>701</v>
      </c>
      <c r="B49" s="90">
        <v>50000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</sheetData>
  <mergeCells count="1">
    <mergeCell ref="A45:N45"/>
  </mergeCells>
  <phoneticPr fontId="7" type="noConversion"/>
  <printOptions horizontalCentered="1"/>
  <pageMargins left="0.19685039370078741" right="0.19685039370078741" top="0.15748031496062992" bottom="0.15748031496062992" header="7.874015748031496E-2" footer="7.874015748031496E-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30</vt:i4>
      </vt:variant>
    </vt:vector>
  </HeadingPairs>
  <TitlesOfParts>
    <vt:vector size="61" baseType="lpstr">
      <vt:lpstr>Tartalom</vt:lpstr>
      <vt:lpstr>1. kiadások össz</vt:lpstr>
      <vt:lpstr>2. bevételek össz</vt:lpstr>
      <vt:lpstr>3. szakfeladatok</vt:lpstr>
      <vt:lpstr>4. feladattípus</vt:lpstr>
      <vt:lpstr>5. támog érték kiad</vt:lpstr>
      <vt:lpstr>6. átadott pénz</vt:lpstr>
      <vt:lpstr>7. szoc segély</vt:lpstr>
      <vt:lpstr>8.beruh felújít</vt:lpstr>
      <vt:lpstr>9.pénzforgalmi kimutatás</vt:lpstr>
      <vt:lpstr>10.stabilitási</vt:lpstr>
      <vt:lpstr>11.tartalékok</vt:lpstr>
      <vt:lpstr>12. EU PROJEKT</vt:lpstr>
      <vt:lpstr>13.intézmény finansz</vt:lpstr>
      <vt:lpstr>14. támogatás átvett</vt:lpstr>
      <vt:lpstr>15. átvett pénz</vt:lpstr>
      <vt:lpstr>16. helyi adók</vt:lpstr>
      <vt:lpstr>17.egyéb felhalm bevétel</vt:lpstr>
      <vt:lpstr>18. létszám</vt:lpstr>
      <vt:lpstr>19. állami támogatás</vt:lpstr>
      <vt:lpstr>20. KÖZVETETT</vt:lpstr>
      <vt:lpstr>21. adók felhasználása</vt:lpstr>
      <vt:lpstr>22. TÖBB ÉVES</vt:lpstr>
      <vt:lpstr>23. vagyonmérleg</vt:lpstr>
      <vt:lpstr>24. egyszerűsített beszám</vt:lpstr>
      <vt:lpstr>25. pénzmaradvány kimutatás</vt:lpstr>
      <vt:lpstr>26.pénzmaradvány felhasználás</vt:lpstr>
      <vt:lpstr>27. pénzmaradvány</vt:lpstr>
      <vt:lpstr>28.RÉSZESEDÉSEK</vt:lpstr>
      <vt:lpstr>29. támogatások</vt:lpstr>
      <vt:lpstr>30.segély</vt:lpstr>
      <vt:lpstr>'23. vagyonmérleg'!Nyomtatási_cím</vt:lpstr>
      <vt:lpstr>'29. támogatások'!Nyomtatási_cím</vt:lpstr>
      <vt:lpstr>'3. szakfeladatok'!Nyomtatási_cím</vt:lpstr>
      <vt:lpstr>'8.beruh felújít'!Nyomtatási_cím</vt:lpstr>
      <vt:lpstr>'1. kiadások össz'!Nyomtatási_terület</vt:lpstr>
      <vt:lpstr>'10.stabilitási'!Nyomtatási_terület</vt:lpstr>
      <vt:lpstr>'11.tartalékok'!Nyomtatási_terület</vt:lpstr>
      <vt:lpstr>'12. EU PROJEKT'!Nyomtatási_terület</vt:lpstr>
      <vt:lpstr>'13.intézmény finansz'!Nyomtatási_terület</vt:lpstr>
      <vt:lpstr>'14. támogatás átvett'!Nyomtatási_terület</vt:lpstr>
      <vt:lpstr>'15. átvett pénz'!Nyomtatási_terület</vt:lpstr>
      <vt:lpstr>'16. helyi adók'!Nyomtatási_terület</vt:lpstr>
      <vt:lpstr>'17.egyéb felhalm bevétel'!Nyomtatási_terület</vt:lpstr>
      <vt:lpstr>'18. létszám'!Nyomtatási_terület</vt:lpstr>
      <vt:lpstr>'19. állami támogatás'!Nyomtatási_terület</vt:lpstr>
      <vt:lpstr>'2. bevételek össz'!Nyomtatási_terület</vt:lpstr>
      <vt:lpstr>'20. KÖZVETETT'!Nyomtatási_terület</vt:lpstr>
      <vt:lpstr>'22. TÖBB ÉVES'!Nyomtatási_terület</vt:lpstr>
      <vt:lpstr>'23. vagyonmérleg'!Nyomtatási_terület</vt:lpstr>
      <vt:lpstr>'25. pénzmaradvány kimutatás'!Nyomtatási_terület</vt:lpstr>
      <vt:lpstr>'26.pénzmaradvány felhasználás'!Nyomtatási_terület</vt:lpstr>
      <vt:lpstr>'28.RÉSZESEDÉSEK'!Nyomtatási_terület</vt:lpstr>
      <vt:lpstr>'29. támogatások'!Nyomtatási_terület</vt:lpstr>
      <vt:lpstr>'3. szakfeladatok'!Nyomtatási_terület</vt:lpstr>
      <vt:lpstr>'4. feladattípus'!Nyomtatási_terület</vt:lpstr>
      <vt:lpstr>'5. támog érték kiad'!Nyomtatási_terület</vt:lpstr>
      <vt:lpstr>'6. átadott pénz'!Nyomtatási_terület</vt:lpstr>
      <vt:lpstr>'7. szoc segély'!Nyomtatási_terület</vt:lpstr>
      <vt:lpstr>'8.beruh felújít'!Nyomtatási_terület</vt:lpstr>
      <vt:lpstr>Tartalom!Nyomtatási_terület</vt:lpstr>
    </vt:vector>
  </TitlesOfParts>
  <Company>vállalkozás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böbe</dc:creator>
  <cp:lastModifiedBy>Szabina</cp:lastModifiedBy>
  <cp:lastPrinted>2014-04-17T07:45:53Z</cp:lastPrinted>
  <dcterms:created xsi:type="dcterms:W3CDTF">2013-01-22T19:33:25Z</dcterms:created>
  <dcterms:modified xsi:type="dcterms:W3CDTF">2014-04-29T07:12:53Z</dcterms:modified>
</cp:coreProperties>
</file>