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táj.1." sheetId="14" r:id="rId14"/>
    <sheet name="táj.2." sheetId="15" r:id="rId15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'12'!$A$1:$Q$206</definedName>
  </definedNames>
  <calcPr fullCalcOnLoad="1"/>
</workbook>
</file>

<file path=xl/sharedStrings.xml><?xml version="1.0" encoding="utf-8"?>
<sst xmlns="http://schemas.openxmlformats.org/spreadsheetml/2006/main" count="1826" uniqueCount="1175">
  <si>
    <t>Természettudományos oktatás eszközrendszerének és módszertanának fejlesztése a Kölcsey F. Gimnáziumban TÁMOP 3.1.3.-11/2-2012-0023</t>
  </si>
  <si>
    <t>1.a/5</t>
  </si>
  <si>
    <t>1.a/6</t>
  </si>
  <si>
    <t>Humánigazgatási  feladatok összesen:</t>
  </si>
  <si>
    <t>Köztársaság út 92.-102. sz t.ház K.-i oldalán lévő terület vízelvezetése</t>
  </si>
  <si>
    <t>Köztársaság útja - Czobor M. u. csomópont (Szentcsalád Óvoda) korrekció és gyalogos átkelőhely létesítése</t>
  </si>
  <si>
    <t xml:space="preserve">Bekeháza temető környezetének rendezése, temetőt megközelítő út kialakítása </t>
  </si>
  <si>
    <t>8./3</t>
  </si>
  <si>
    <t>8./4</t>
  </si>
  <si>
    <t>Vízjogi engedélyezési eljárások díja</t>
  </si>
  <si>
    <t>Beruházásokhoz kapcsolódó csatornadiagnosztikák költsége</t>
  </si>
  <si>
    <t>Ivóvízvezeték építési munkák</t>
  </si>
  <si>
    <t xml:space="preserve">Útterületek rendezése, területvásárlás 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</si>
  <si>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</si>
  <si>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</si>
  <si>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</si>
  <si>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</si>
  <si>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 xml:space="preserve"> Állami ingatlanok tulajdonszerzésével kapcs. kiadások </t>
  </si>
  <si>
    <t>Egyéb területrendezések, bontások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</si>
  <si>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</si>
  <si>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</si>
  <si>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</si>
  <si>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</si>
  <si>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</si>
  <si>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6./15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</si>
  <si>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</si>
  <si>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</si>
  <si>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</si>
  <si>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</si>
  <si>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</si>
  <si>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6./19</t>
  </si>
  <si>
    <t>Inkubátorház villamos energia ellátásának bővítése</t>
  </si>
  <si>
    <t>Ökováros projekt</t>
  </si>
  <si>
    <t>Városrehabilitáció II. ütem folytatása Lakásalapból</t>
  </si>
  <si>
    <t>Jogi Igazgatási feladatok</t>
  </si>
  <si>
    <t>Jogi Igazgatási feladatok összesen:</t>
  </si>
  <si>
    <t>Kvártélyház Kft. részére támogatás eszközfejlesztési pályázat önrészéhez</t>
  </si>
  <si>
    <t>Önkormányzat összesen költségetési szervek nélkül</t>
  </si>
  <si>
    <t>A *-gal jelzett fejlesztési feladatok megvalósításához hitelfelvétel szükséges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</si>
  <si>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</si>
  <si>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</si>
  <si>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</si>
  <si>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Landorhegyi u. 24. parkoló felújítás</t>
  </si>
  <si>
    <t>Hegybíró u. aszfaltozása</t>
  </si>
  <si>
    <t>Madách I. u. lépcsőfelújítás</t>
  </si>
  <si>
    <t>Mártírok u. burkolatfelújítás I. ütem, ivóvízvezeték rekonstrukció</t>
  </si>
  <si>
    <t>Belvárosi járdák felújítása (Kazinczy tér É-i oldal)</t>
  </si>
  <si>
    <t>Kovács K. tér buszmegálló járdaburkolat felújítás</t>
  </si>
  <si>
    <t>Kertvárosban járdák, lépcsők felújítása</t>
  </si>
  <si>
    <t>Zalabesenyő temető kápolna állagmegóvás (építészeti érték)</t>
  </si>
  <si>
    <t>Egyéb központi támogatás</t>
  </si>
  <si>
    <t>1. 2014. évi bérkompenzáció</t>
  </si>
  <si>
    <t>2. Adósságkonszolídáció</t>
  </si>
  <si>
    <t xml:space="preserve"> Lakott külterülettel kapcsolatos feladatok</t>
  </si>
  <si>
    <t xml:space="preserve"> Üdülőhelyi feladatok</t>
  </si>
  <si>
    <t>EU Önerőalap támogatás</t>
  </si>
  <si>
    <t>Eútdíj bevezetésével kapcsolatos bevételkiesés ellentételezése</t>
  </si>
  <si>
    <t>Lakossági közműfejlesztés támogatása</t>
  </si>
  <si>
    <t>2013.évről áthúzódó bérkompenzáció</t>
  </si>
  <si>
    <t>Múzeális intézmények szakmai támoagatása</t>
  </si>
  <si>
    <t>Jövedelmepótló támogatások</t>
  </si>
  <si>
    <t xml:space="preserve">Szociális ágazati pótlék </t>
  </si>
  <si>
    <t>B116</t>
  </si>
  <si>
    <t>Termálmedence csempeburkolat felújítás</t>
  </si>
  <si>
    <t>Városépítészeti  feladatok</t>
  </si>
  <si>
    <t>5./1.</t>
  </si>
  <si>
    <t>Ebergényi sport park</t>
  </si>
  <si>
    <t xml:space="preserve"> Református Egyház részére orgona felújításhoz támogatás</t>
  </si>
  <si>
    <t>A *-gal jelzett felújítási feladatok megvalósításához hitel felvétel szükséges</t>
  </si>
  <si>
    <t>Általános tartalék</t>
  </si>
  <si>
    <t>1.a./1</t>
  </si>
  <si>
    <t>1.a./2</t>
  </si>
  <si>
    <t>1.a./3</t>
  </si>
  <si>
    <t>Cím    szám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</si>
  <si>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</si>
  <si>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</si>
  <si>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</si>
  <si>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</si>
  <si>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</si>
  <si>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</si>
  <si>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</si>
  <si>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</si>
  <si>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</si>
  <si>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</si>
  <si>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</si>
  <si>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</si>
  <si>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Jogi és közig. feladatok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</si>
  <si>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</si>
  <si>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</si>
  <si>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</si>
  <si>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</si>
  <si>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</si>
  <si>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</si>
  <si>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</si>
  <si>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</si>
  <si>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</si>
  <si>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Felújítás összesen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</si>
  <si>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</si>
  <si>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</si>
  <si>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</si>
  <si>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</si>
  <si>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</si>
  <si>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</si>
  <si>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</si>
  <si>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 xml:space="preserve"> - Aquaparkba kisértékű eszközök beszerzése</t>
  </si>
  <si>
    <t>Egészségügyi és humánigazgatási feladatok</t>
  </si>
  <si>
    <t>Oktatási feladatok</t>
  </si>
  <si>
    <t>Kulturális és ifjúsági feladatok</t>
  </si>
  <si>
    <t>Sport feladatok</t>
  </si>
  <si>
    <t xml:space="preserve"> - eredményességi támogatás</t>
  </si>
  <si>
    <t>feladat jellege</t>
  </si>
  <si>
    <t>Intézményi fejlesztések előkészítési munkái (tervezési, bonyolítási és műszaki ellenőrzési díjak)</t>
  </si>
  <si>
    <t>3./4</t>
  </si>
  <si>
    <t>Önkormányzat</t>
  </si>
  <si>
    <t>Költségvetési szervek</t>
  </si>
  <si>
    <t>Felhalmozási bevételek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</si>
  <si>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</si>
  <si>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</si>
  <si>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</si>
  <si>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</si>
  <si>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</si>
  <si>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</si>
  <si>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</si>
  <si>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</si>
  <si>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</si>
  <si>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Építési telek kialakítása, közművesítése (Flórián u. , Andráshida ) Lakásalap</t>
  </si>
  <si>
    <t>kgy</t>
  </si>
  <si>
    <t>Elővásárlási jog gyakorlásával történő lakóingatlan vásárlása (Lakásalap)</t>
  </si>
  <si>
    <t>841908 Fejezeti és általános tartalékok elszámolása</t>
  </si>
  <si>
    <t>1.a/1.</t>
  </si>
  <si>
    <t>1.a/1</t>
  </si>
  <si>
    <t>Keresztury Dezső Városi Művelődési Központ</t>
  </si>
  <si>
    <t>Deák Ferenc Megyei és Városi Könyvtár</t>
  </si>
  <si>
    <t>Göcseji Múzeum</t>
  </si>
  <si>
    <t>Városi Sportlétesítmények Gondnoksága</t>
  </si>
  <si>
    <t>Griff Bábszínház</t>
  </si>
  <si>
    <t xml:space="preserve">Hevesi Sándor Színház </t>
  </si>
  <si>
    <t>6./4</t>
  </si>
  <si>
    <t>6./5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</si>
  <si>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</si>
  <si>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</si>
  <si>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</si>
  <si>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</si>
  <si>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</si>
  <si>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</si>
  <si>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</si>
  <si>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</si>
  <si>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</si>
  <si>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</si>
  <si>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</si>
  <si>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</si>
  <si>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</si>
  <si>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</si>
  <si>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</si>
  <si>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</si>
  <si>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</si>
  <si>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 xml:space="preserve">     Költségvetési felhalm. bevételei összesen:</t>
  </si>
  <si>
    <t xml:space="preserve">      Költségvetési felh.célú kiadásai összesen:</t>
  </si>
  <si>
    <t>Orvos</t>
  </si>
  <si>
    <t>Fizikai dolgozó</t>
  </si>
  <si>
    <t>Hevesi Sándor Színház</t>
  </si>
  <si>
    <t>FELHALMOZÁSI CÉLÚ BEVÉTELEK  ÖSSZESEN:</t>
  </si>
  <si>
    <t>FELHALMOZÁSI CÉLÚ KIADÁSOK ÖSSZESEN:</t>
  </si>
  <si>
    <t>BEVÉTELEK</t>
  </si>
  <si>
    <t>6./9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</si>
  <si>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</si>
  <si>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</si>
  <si>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</si>
  <si>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</si>
  <si>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</si>
  <si>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</si>
  <si>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</si>
  <si>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</si>
  <si>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</si>
  <si>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</si>
  <si>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</si>
  <si>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</si>
  <si>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</si>
  <si>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</si>
  <si>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</si>
  <si>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</si>
  <si>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</si>
  <si>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</si>
  <si>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</si>
  <si>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</si>
  <si>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</si>
  <si>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</si>
  <si>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</si>
  <si>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</si>
  <si>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</si>
  <si>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</si>
  <si>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</si>
  <si>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</si>
  <si>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</si>
  <si>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</si>
  <si>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</si>
  <si>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</si>
  <si>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</si>
  <si>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</si>
  <si>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Széchenyi tér buszmegálló felújítása szigeteléssel együtt, nyilvános WC felúj.</t>
  </si>
  <si>
    <t>Zárda u. - Alsójánkahegyi u. közötti tereplécső felújítása</t>
  </si>
  <si>
    <t>Hitel-, kölcsönfelvétel áht-n kívülről</t>
  </si>
  <si>
    <t>Ola utcai és Rákóczi utcai járda felújítása, zöldfelület rendezése</t>
  </si>
  <si>
    <t>Járdafelújítások Páterdombon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</si>
  <si>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</si>
  <si>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</si>
  <si>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</si>
  <si>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</si>
  <si>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</si>
  <si>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</si>
  <si>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</si>
  <si>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</si>
  <si>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</si>
  <si>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</si>
  <si>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</si>
  <si>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</si>
  <si>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</si>
  <si>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</si>
  <si>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</si>
  <si>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</si>
  <si>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</si>
  <si>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</si>
  <si>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</si>
  <si>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</si>
  <si>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</si>
  <si>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</si>
  <si>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</si>
  <si>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</si>
  <si>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</si>
  <si>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</si>
  <si>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</si>
  <si>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</si>
  <si>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</si>
  <si>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</si>
  <si>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</si>
  <si>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</si>
  <si>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</si>
  <si>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</si>
  <si>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</si>
  <si>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</si>
  <si>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</si>
  <si>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</si>
  <si>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</si>
  <si>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</si>
  <si>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</si>
  <si>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</si>
  <si>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</si>
  <si>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</si>
  <si>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</si>
  <si>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</si>
  <si>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</si>
  <si>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</si>
  <si>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</si>
  <si>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</si>
  <si>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</si>
  <si>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</si>
  <si>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</si>
  <si>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</si>
  <si>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</si>
  <si>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</si>
  <si>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</si>
  <si>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</si>
  <si>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</si>
  <si>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</si>
  <si>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</si>
  <si>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</si>
  <si>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</si>
  <si>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</si>
  <si>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</si>
  <si>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</si>
  <si>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</si>
  <si>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</si>
  <si>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</si>
  <si>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</si>
  <si>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</si>
  <si>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</si>
  <si>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</si>
  <si>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</si>
  <si>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</si>
  <si>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</si>
  <si>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</si>
  <si>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</si>
  <si>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</si>
  <si>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</si>
  <si>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</si>
  <si>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</si>
  <si>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</si>
  <si>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</si>
  <si>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III.2. Hozzájárulás a pénzbeli szociális ellátásokhoz ( egyösszegű) beszámítás után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</si>
  <si>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</si>
  <si>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</si>
  <si>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</si>
  <si>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</si>
  <si>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</si>
  <si>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</si>
  <si>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</si>
  <si>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</si>
  <si>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</si>
  <si>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</si>
  <si>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</si>
  <si>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</si>
  <si>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</si>
  <si>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</si>
  <si>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</si>
  <si>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</si>
  <si>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</si>
  <si>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</si>
  <si>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</si>
  <si>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</si>
  <si>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</si>
  <si>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</si>
  <si>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</si>
  <si>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</si>
  <si>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</si>
  <si>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</si>
  <si>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</si>
  <si>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</si>
  <si>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</si>
  <si>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</si>
  <si>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</si>
  <si>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</si>
  <si>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</si>
  <si>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</si>
  <si>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</si>
  <si>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</si>
  <si>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</si>
  <si>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</si>
  <si>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</si>
  <si>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</si>
  <si>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</si>
  <si>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</si>
  <si>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</si>
  <si>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</si>
  <si>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</si>
  <si>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</si>
  <si>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</si>
  <si>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</si>
  <si>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</si>
  <si>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Ellátottak pénzbeni juttatásai</t>
  </si>
  <si>
    <t>Felújítási kiadások</t>
  </si>
  <si>
    <t>Belvárosi járdák felújítása</t>
  </si>
  <si>
    <t>Göcseji Pataki u. páros oldal parkoló aszfaltozása</t>
  </si>
  <si>
    <t>6.) Hitel felvétel</t>
  </si>
  <si>
    <t>Felújítási kiadások:</t>
  </si>
  <si>
    <t>Szennyvízberuházások és csapadékcsatornák</t>
  </si>
  <si>
    <t xml:space="preserve"> - Nyugdíjasházi adományok</t>
  </si>
  <si>
    <t>pm</t>
  </si>
  <si>
    <t>Járdafelújítások Zalabesenyőben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</si>
  <si>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</si>
  <si>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</si>
  <si>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</si>
  <si>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</si>
  <si>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421100 Út, autópálya építés</t>
  </si>
  <si>
    <t>2014. évi I. negyedévi módosítás</t>
  </si>
  <si>
    <t>4./61</t>
  </si>
  <si>
    <t xml:space="preserve"> - lakásfenntartási támogatás normatív alapon</t>
  </si>
  <si>
    <t xml:space="preserve"> - Idősügyi Tanács működtetése</t>
  </si>
  <si>
    <t xml:space="preserve"> - Tanfolyamok, képzések</t>
  </si>
  <si>
    <t xml:space="preserve"> - önálló kulturális egyesületek, együttesek</t>
  </si>
  <si>
    <t>3./9.</t>
  </si>
  <si>
    <t>Lakossági közműfejlesztési hozzájárulá (állami)</t>
  </si>
  <si>
    <t>"Ivóvízminőség javítása" KEOP pályázathoz Önerő alap támogatás átadása</t>
  </si>
  <si>
    <t xml:space="preserve"> - kiegészítő gyermekvédelmi támogatás</t>
  </si>
  <si>
    <t>LÉSZ Kft.részére önk-i tulajdonú ingatlanok utáni felújítási hozzájárulás</t>
  </si>
  <si>
    <t xml:space="preserve"> - Holokauszt Emlékév </t>
  </si>
  <si>
    <t>Településrészi önkorm. tárgyi eszköz beszerzés</t>
  </si>
  <si>
    <t xml:space="preserve"> - utánpótlás nevelés és támogatása</t>
  </si>
  <si>
    <t xml:space="preserve"> -Keresztury Dezső emlékév rendezvényei</t>
  </si>
  <si>
    <t>107060 Egyéb szociális pénzbeli ellátások, támogatások</t>
  </si>
  <si>
    <t xml:space="preserve"> - lakásalap előző évek maradványának igénybevétele</t>
  </si>
  <si>
    <t xml:space="preserve"> - előző évek tartalékának igénybevétele</t>
  </si>
  <si>
    <t xml:space="preserve"> - központi támogatások</t>
  </si>
  <si>
    <t xml:space="preserve"> - LÉSZ bérlemény üzemeltetés bevétele</t>
  </si>
  <si>
    <t xml:space="preserve"> - foglalkoztatást helyettesítő támogatás</t>
  </si>
  <si>
    <t xml:space="preserve"> - ügyeleti ellátás támogatása</t>
  </si>
  <si>
    <t xml:space="preserve"> - Családsegítő Szolgálathoz krízissegélyezés</t>
  </si>
  <si>
    <t xml:space="preserve"> - Egerszegkártya</t>
  </si>
  <si>
    <t>biz.</t>
  </si>
  <si>
    <t xml:space="preserve"> - intézményi pályázatok és egyéb támogatások</t>
  </si>
  <si>
    <t xml:space="preserve"> - ifjúsági rendezvények</t>
  </si>
  <si>
    <t xml:space="preserve"> - Kábítószerügyi Egyeztető Fórum </t>
  </si>
  <si>
    <t xml:space="preserve"> - Betlehem működtetése</t>
  </si>
  <si>
    <t xml:space="preserve"> - Egészséges Városok Mozgalom</t>
  </si>
  <si>
    <t xml:space="preserve"> - ZTE FC Rt. támog. </t>
  </si>
  <si>
    <t xml:space="preserve"> - alapfokú versenyek rendezése és  támogatása</t>
  </si>
  <si>
    <t xml:space="preserve"> - szabadidősport klubok támogatása</t>
  </si>
  <si>
    <t xml:space="preserve"> - Zeg. Úszóklub támogatása</t>
  </si>
  <si>
    <t xml:space="preserve"> -     rendezvények támogatása</t>
  </si>
  <si>
    <t xml:space="preserve"> - parkfenntartás</t>
  </si>
  <si>
    <t>Zöldterület kezelés</t>
  </si>
  <si>
    <t xml:space="preserve"> - Zöldterületi Stratégia feladatai</t>
  </si>
  <si>
    <t xml:space="preserve"> - helyi utak, hidak fenntartása</t>
  </si>
  <si>
    <t xml:space="preserve"> - forgalomtechnikai  és közlekedési feladatok</t>
  </si>
  <si>
    <t xml:space="preserve"> - települési vízellátás</t>
  </si>
  <si>
    <t>kgy,pm</t>
  </si>
  <si>
    <t xml:space="preserve"> - egyéb város és községgazd.</t>
  </si>
  <si>
    <t xml:space="preserve">  -  környezetvéd.alap feltöltése</t>
  </si>
  <si>
    <t xml:space="preserve"> - Környezetvédelmi Jeles napok rendezvény lebonyolítása</t>
  </si>
  <si>
    <t xml:space="preserve"> - közfoglalkoztatás anyag- és eszközigény biztosítása</t>
  </si>
  <si>
    <t xml:space="preserve"> - közterületek, önk-i ingatlanok zöldfelület gazdálkodása</t>
  </si>
  <si>
    <t xml:space="preserve"> - ünnepi díszkivilágítás szerelés</t>
  </si>
  <si>
    <t>Városépítészeti feladatok működési kiadásai:</t>
  </si>
  <si>
    <t xml:space="preserve"> - stratégiai fejl. tervek, megvalósíthatósági tanulmányok</t>
  </si>
  <si>
    <t xml:space="preserve"> -  vagyongazdálkodási feladatok és szakértői díjak</t>
  </si>
  <si>
    <t xml:space="preserve"> - közbiztonsági feladatok</t>
  </si>
  <si>
    <t xml:space="preserve"> - ÁFA befizetés</t>
  </si>
  <si>
    <t xml:space="preserve"> - Egyéb szervezetek támogatása</t>
  </si>
  <si>
    <t xml:space="preserve"> - dolgozói lakásépítés és -vásárlás támogatása</t>
  </si>
  <si>
    <t xml:space="preserve"> - Rendezvények, kommunikáció, reprezentáció</t>
  </si>
  <si>
    <t xml:space="preserve"> - Településrészi Önkormányzatok</t>
  </si>
  <si>
    <t xml:space="preserve"> - Foglalkoztatás támogatása, munkaerőkölcsönzés</t>
  </si>
  <si>
    <t xml:space="preserve"> - Vállalkozás fejlesztés és befektetés támogató program</t>
  </si>
  <si>
    <t>Szociális rászorultság alapján és egyéb biztosítandó támogatások  a költségvetési szerveknél</t>
  </si>
  <si>
    <t>Szociális, Egészségügyi  és Esélyegyenlőségi Bizottság átruházott hatáskörében felosztható keret</t>
  </si>
  <si>
    <t xml:space="preserve">        címpótlék a szociális intézményekben</t>
  </si>
  <si>
    <t xml:space="preserve"> - Zalai Közszolgáltató Nonprofit Kft. részére tagi kölcsön </t>
  </si>
  <si>
    <t>Oktatási, Kulturális és Sport Bizottság átruházott hatáskörében felosztható keret</t>
  </si>
  <si>
    <t xml:space="preserve">        rendezvények támogatása</t>
  </si>
  <si>
    <t>Gazdasági   Bizottság átruházott hatáskörében felosztható keret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</si>
  <si>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</si>
  <si>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</si>
  <si>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</si>
  <si>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</si>
  <si>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</si>
  <si>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</si>
  <si>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</si>
  <si>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</si>
  <si>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</si>
  <si>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</si>
  <si>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</si>
  <si>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</si>
  <si>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</si>
  <si>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</si>
  <si>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</si>
  <si>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</si>
  <si>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2014. eredeti előirányzat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</si>
  <si>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</si>
  <si>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</si>
  <si>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</si>
  <si>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</si>
  <si>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</si>
  <si>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</si>
  <si>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</si>
  <si>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</si>
  <si>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</si>
  <si>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</si>
  <si>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</si>
  <si>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</si>
  <si>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</si>
  <si>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Szociális és igazgatási feladatok össszesen:</t>
  </si>
  <si>
    <t>1./2.</t>
  </si>
  <si>
    <t xml:space="preserve">             Általános iskolák</t>
  </si>
  <si>
    <t>1./2/1.</t>
  </si>
  <si>
    <t>Izsák I. Általános Iskola eszközfejlesztés</t>
  </si>
  <si>
    <t xml:space="preserve">2. </t>
  </si>
  <si>
    <t>"Art" mozihálózat digitális fejlesztése pályázati támogatással</t>
  </si>
  <si>
    <t>Hevesi Sándor Színház tűzjelző rendszer</t>
  </si>
  <si>
    <t>Zsinagóga önálló fűtési rendszer kialakítása</t>
  </si>
  <si>
    <t xml:space="preserve">4. </t>
  </si>
  <si>
    <t>Sportfeladatok</t>
  </si>
  <si>
    <t>4./1.</t>
  </si>
  <si>
    <t>4./2.</t>
  </si>
  <si>
    <t>4./3.</t>
  </si>
  <si>
    <t xml:space="preserve">Nehézatlétikai pálya kialakítása Városi Sportcentrum területén </t>
  </si>
  <si>
    <t>4./4.</t>
  </si>
  <si>
    <t>Városi Sportcentrum atlétikai pálya kivilágítása</t>
  </si>
  <si>
    <t>4./5.</t>
  </si>
  <si>
    <t>Andráshidai LSC sportfejlesztési program támogatása</t>
  </si>
  <si>
    <t>2013. évről áthúzódó feladatok</t>
  </si>
  <si>
    <t>5.a/1</t>
  </si>
  <si>
    <t>Páterdombi LSC sportpálya igényének megoldása</t>
  </si>
  <si>
    <t>5.a/2</t>
  </si>
  <si>
    <t>5.a/3</t>
  </si>
  <si>
    <t>5.a/4</t>
  </si>
  <si>
    <t>5.a/5</t>
  </si>
  <si>
    <t>Göcseji Múzeum részére  pe. átadás kiállítóterem fejlesztéséhez pályázati támogatással</t>
  </si>
  <si>
    <t>Zala utcai árvízkapu építése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</si>
  <si>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</si>
  <si>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</si>
  <si>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</si>
  <si>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</si>
  <si>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Pintér M. u. nyugati oldal Lörincz b. u. és Püspöki G. u. közötti szakaszának csapadékvízelvezetése</t>
  </si>
  <si>
    <t>1./9</t>
  </si>
  <si>
    <t>Önkormányzati tulajdonú ingatlanok szennyvízbekötései</t>
  </si>
  <si>
    <t>Zalaegerszeg szennyvíz-elvezetés és tisztítás fejlesztése</t>
  </si>
  <si>
    <t>KEOP vízvezeték építéshez pályázatban nem támogatott munkák</t>
  </si>
  <si>
    <t>Ivóvízminőség javítása KEOP pályázathoz önrész Önerőalapból (KEOP-7.1.3.0/09-201-0017 )</t>
  </si>
  <si>
    <t>Szent L. u.-i közösségi ház közműhálózat leválasztása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</si>
  <si>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</si>
  <si>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</si>
  <si>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</si>
  <si>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</si>
  <si>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</si>
  <si>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</si>
  <si>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</si>
  <si>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Bánya utca aszfaltozása, csapadék víz elvezetéssel</t>
  </si>
  <si>
    <t xml:space="preserve">Babits u. 5. szám előtti parkoló bővítése </t>
  </si>
  <si>
    <t>Biológuspark útcsatlakozás kialakítása</t>
  </si>
  <si>
    <t>Mártírok úton autóbuszváró létesítése</t>
  </si>
  <si>
    <t>Csány - Zrínyi iskolák közötti belső sétány építése</t>
  </si>
  <si>
    <t>Tervek készítése, műszaki ellenőrzések és egyéb hatósági díjak</t>
  </si>
  <si>
    <t>Becsali u. gyalogos átkelőhely létesítése</t>
  </si>
  <si>
    <t>Buszváró létesítése Kaszaházán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</si>
  <si>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</si>
  <si>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</si>
  <si>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</si>
  <si>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Gébárti tó Ny-i oldal parkosítása</t>
  </si>
  <si>
    <t>5./5</t>
  </si>
  <si>
    <t>Szenterzsébethegy virágosítási munkák</t>
  </si>
  <si>
    <t>5./6</t>
  </si>
  <si>
    <t>Pózva játszótér fejlesztése</t>
  </si>
  <si>
    <t>5./7</t>
  </si>
  <si>
    <t>Ságodi játszótér fejlesztése</t>
  </si>
  <si>
    <t>5./8</t>
  </si>
  <si>
    <t>Idősek Otthona mögötti tömbbelső parkoló-zöldsáv megújítás</t>
  </si>
  <si>
    <t>5./9</t>
  </si>
  <si>
    <t>Játszóterek, zöldfelületek fejlesztése Páterdombon</t>
  </si>
  <si>
    <t>5./10</t>
  </si>
  <si>
    <t>Botfai sporpályához padok telepítése</t>
  </si>
  <si>
    <t>5./11</t>
  </si>
  <si>
    <t>József Attila Játszótér felújítása (növényzettel, játszóeszközökkel és térbútorokkal)</t>
  </si>
  <si>
    <t>5./12</t>
  </si>
  <si>
    <t>Landorhegyi köztéri padok beszerzése</t>
  </si>
  <si>
    <t>5./13</t>
  </si>
  <si>
    <t>Városi Középiskolai Kollégium Kaffka Margit Tagkollégium udvari pavilon építés és udvarrendezés</t>
  </si>
  <si>
    <t>5./14</t>
  </si>
  <si>
    <t>Csillagközi óvoda udvar parkosítás, füvesítés</t>
  </si>
  <si>
    <t>5./15</t>
  </si>
  <si>
    <t>Nemzetőr u. vége (Cinke park alatti) rendezetlen tér parkosítása</t>
  </si>
  <si>
    <t>5./16</t>
  </si>
  <si>
    <t>Izsák Általános Iskola melletti sportlétesítmények és környezetének fejlesztése, parkosítás</t>
  </si>
  <si>
    <t>5./17</t>
  </si>
  <si>
    <t>Berzsenyi utcai tízemeletesek közötti parkfejlesztés illetve egyéb beruházás</t>
  </si>
  <si>
    <t>5./18</t>
  </si>
  <si>
    <t>Önkormányzati erdő telepítése</t>
  </si>
  <si>
    <t>5./19</t>
  </si>
  <si>
    <t>Köztemető fenntartási feladatok ellátásához anyageszközigény biztosítása</t>
  </si>
  <si>
    <t>5./20</t>
  </si>
  <si>
    <t>Gyepmesteri feladatok ellátásához anyag -eszközigény biztosítása</t>
  </si>
  <si>
    <t>Kinizsi u. tömbbelsőben játszótér eszközbővítés</t>
  </si>
  <si>
    <t>Göcseji úti köztemető közkútjának szennyvízhálózatra való rácsatlakozása</t>
  </si>
  <si>
    <t>Temetői fejlesztések</t>
  </si>
  <si>
    <t>Lukahegyi horhos burkolatemelés</t>
  </si>
  <si>
    <t>Bozsoki horhos partfal stabilizációk</t>
  </si>
  <si>
    <t>Szenterzsébethegyi Közösségi tér fejlesztése</t>
  </si>
  <si>
    <t>Erzsébethegy Közösségi tér kialakítás</t>
  </si>
  <si>
    <t>9.a/3</t>
  </si>
  <si>
    <t>Vis maior pályázat árvízvédelem és partfalomlás helyreállítás</t>
  </si>
  <si>
    <t>9.a/4</t>
  </si>
  <si>
    <t>Buslakpuszta bezárt szilárd hulladék-lerakó szennyezés lokalizációja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</si>
  <si>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</si>
  <si>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</si>
  <si>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</si>
  <si>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</si>
  <si>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</si>
  <si>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</si>
  <si>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</si>
  <si>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</si>
  <si>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</si>
  <si>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</si>
  <si>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</si>
  <si>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</si>
  <si>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</si>
  <si>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</si>
  <si>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</si>
  <si>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</si>
  <si>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</si>
  <si>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</si>
  <si>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</si>
  <si>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</si>
  <si>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</si>
  <si>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</si>
  <si>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</si>
  <si>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</si>
  <si>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</si>
  <si>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</si>
  <si>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</si>
  <si>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</si>
  <si>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</si>
  <si>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</si>
  <si>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</si>
  <si>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Értékesítési és forgalmi adók ( helyi iparűzési adó)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</si>
  <si>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</si>
  <si>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</si>
  <si>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</si>
  <si>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</si>
  <si>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</si>
  <si>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</si>
  <si>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</si>
  <si>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</si>
  <si>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</si>
  <si>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</si>
  <si>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</si>
  <si>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</si>
  <si>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</si>
  <si>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</si>
  <si>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</si>
  <si>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</si>
  <si>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</si>
  <si>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</si>
  <si>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</si>
  <si>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</si>
  <si>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</si>
  <si>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</si>
  <si>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</si>
  <si>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</si>
  <si>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</si>
  <si>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</si>
  <si>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</si>
  <si>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</si>
  <si>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</si>
  <si>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</si>
  <si>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</si>
  <si>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</si>
  <si>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</si>
  <si>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</si>
  <si>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</si>
  <si>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</si>
  <si>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</si>
  <si>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 xml:space="preserve"> - lakásalap  2013. évi pénzmaradványának bevonása</t>
  </si>
  <si>
    <t>Költségvetési kiadások összesen:</t>
  </si>
  <si>
    <t>K9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</si>
  <si>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</si>
  <si>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</si>
  <si>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</si>
  <si>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>2014. évi  előirányzat</t>
  </si>
  <si>
    <t>2014. évi módos. ei.</t>
  </si>
  <si>
    <t>Tüttő Gy u. 15.. és a szomszédos ingatlanok csapadékvízelvezetése</t>
  </si>
  <si>
    <t>Gébárti kézművesház tűzivízellátása</t>
  </si>
  <si>
    <t xml:space="preserve">Posta út csatornázása </t>
  </si>
  <si>
    <t>Csapadékvíz-elvezetések, vízrendezések tervezése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</si>
  <si>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</si>
  <si>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</si>
  <si>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</si>
  <si>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 xml:space="preserve">Közvilágítás korszerűsítés Zalaegerszeg I. (KEOP-5.5.0/A/12-2013-0191) </t>
  </si>
  <si>
    <t>3.a/2</t>
  </si>
  <si>
    <t xml:space="preserve">Közvilágítás korszerűsítés Zalaegerszeg II. (KEOP-5.5.0/A)/12-2013-0182 </t>
  </si>
  <si>
    <t>Zalaegerszeg, Déryné utcai gyalogátkelőhely létesítése</t>
  </si>
  <si>
    <t>Landorhegyi u. 8. sz. alatti orvosi rendelő parkoló kialakítási munkái</t>
  </si>
  <si>
    <t>Platán sor 1-3. közötti parkoló építés</t>
  </si>
  <si>
    <t>Takarék köz közműcsere utáni helyreállítás</t>
  </si>
  <si>
    <t>Petőfi iskola parkoló építés</t>
  </si>
  <si>
    <t>Kertvárosi templom alsó parkoló építése</t>
  </si>
  <si>
    <t>Andráshidán járdaburkolat építés</t>
  </si>
  <si>
    <t xml:space="preserve">Újtemető parkoló bővítés </t>
  </si>
  <si>
    <t>Göcseji u.- Závoczki I.u. jobbra kanyarodó sáv kialakítási munkái pályázati önrész</t>
  </si>
  <si>
    <t>Petőfi S. Iskola mögötti tömbbelsőben parkolóépítés</t>
  </si>
  <si>
    <t>Játszótér és park kialakítása Hatházán</t>
  </si>
  <si>
    <t>Kerékpárút építésekhez kapcsolódó fásítások és területrendezések</t>
  </si>
  <si>
    <t>Előtervezésekből 2013. évről áthúzódó feladatok</t>
  </si>
  <si>
    <t>Béke utca felújításának előkészítése, tervezése</t>
  </si>
  <si>
    <t>Rákóczi u. felújításához kapcsolódó vízi-közmű kiváltások előkészítése, tervezése</t>
  </si>
  <si>
    <t>6.1.a/3</t>
  </si>
  <si>
    <t>Vizslapark funkcióbővítés és fejlesztés előkészítése, tervezése</t>
  </si>
  <si>
    <t>6.1.a/4</t>
  </si>
  <si>
    <t>Gébárti fürdőlétesítmények (Aquacity) fejlesztési koncepció terv készítés</t>
  </si>
  <si>
    <t>6.1.a/5</t>
  </si>
  <si>
    <t>Fenyő u. korszerűsítése</t>
  </si>
  <si>
    <t>Zalaegerszeg történelmi városközpont rehabilitációs és revitalizációs program NYDOP-3.1.1/B-2009-0005</t>
  </si>
  <si>
    <t>Tehermentesítő út II. ütem építéséhez kapcsolódó közműépítések</t>
  </si>
  <si>
    <t>Kosztolányi u. kétirányúsítása</t>
  </si>
  <si>
    <t>Városrehab. II. ütem kapcsolódó közműépítések</t>
  </si>
  <si>
    <t>Egyéb 2014. évi pályázatok területszerzés, -rendezés</t>
  </si>
  <si>
    <t>6./11</t>
  </si>
  <si>
    <t>Ipari környezet fejlesztése</t>
  </si>
  <si>
    <t>6./13</t>
  </si>
  <si>
    <t>Ingatlanvásárlások</t>
  </si>
  <si>
    <t>AGORA-program - Ady mozi területszerzés (pince), jogi rendezés</t>
  </si>
  <si>
    <t xml:space="preserve">Kossuth u. 50. udvari épület bontása </t>
  </si>
  <si>
    <t>Volt BGF kollégium (Vizslaparki u. 38.) korszerűsítés, átalakítás tervezése</t>
  </si>
  <si>
    <t>Belvárosi területrendezések, nem felújítható épületek bontása</t>
  </si>
  <si>
    <t>Harasztifalu területszerzés</t>
  </si>
  <si>
    <t>Ipari parkban internet kapcsolat kiépítése</t>
  </si>
  <si>
    <t>6./20</t>
  </si>
  <si>
    <t>Labdarúgó Stadionban fejlesztési munkák</t>
  </si>
  <si>
    <t>6./21</t>
  </si>
  <si>
    <t>LÉSZ Kft. telephely útcsatlakozás és szervízút építés</t>
  </si>
  <si>
    <t>6.b/7</t>
  </si>
  <si>
    <t>6.b/8</t>
  </si>
  <si>
    <t>"Zalaegerszeg 2020-Integrált településfejlesztési stratégia megalkotása" projekt pályázati támogatással  NYDOP-3.1.1/F-13-2013-0001</t>
  </si>
  <si>
    <t>6.b/9</t>
  </si>
  <si>
    <t xml:space="preserve">"Komplex belváros rehabilitációs program Zalaegerszegen" projekt pályázati támogatással NYDOP-3.1.1/B1-13-k-2013-0005 </t>
  </si>
  <si>
    <t>6.b/10</t>
  </si>
  <si>
    <t>Barnamezős vásárlás/fejlesztés</t>
  </si>
  <si>
    <t>6.b/11</t>
  </si>
  <si>
    <t>Barnamezős területek rehabilitációja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</si>
  <si>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</si>
  <si>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</si>
  <si>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</si>
  <si>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</si>
  <si>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</si>
  <si>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</si>
  <si>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</si>
  <si>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</si>
  <si>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>Öveges ÁMK területén gázvezeték kiváltása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</si>
  <si>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</si>
  <si>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</si>
  <si>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</si>
  <si>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>Vorhotai közösségi tér fejlesztése</t>
  </si>
  <si>
    <t xml:space="preserve">Vagyonkezelési feladatok </t>
  </si>
  <si>
    <t>Területcsere É-i és D-i ipari parkban 254/2013. kgy.hat.alapján</t>
  </si>
  <si>
    <t>1.a./4</t>
  </si>
  <si>
    <t>Városrehabilitációra, valamint lakóövezetbe sorolt építési telek kialakítása, lakásvásárlás Lakásalapból</t>
  </si>
  <si>
    <t>1.a./5</t>
  </si>
  <si>
    <t>Zalavíz Zrt. részvény vásárlás</t>
  </si>
  <si>
    <t>Térfigyelő kamera felszerelése Botfán</t>
  </si>
  <si>
    <t xml:space="preserve">Stúdió Rádió fejlesztési célú támogatása </t>
  </si>
  <si>
    <t>Alcímszám</t>
  </si>
  <si>
    <t>Sorszám</t>
  </si>
  <si>
    <t>2014. évi eredeti előirányzat</t>
  </si>
  <si>
    <t>2014. évi módosított előirányzat</t>
  </si>
  <si>
    <t>Módosítás hatáskör szerint</t>
  </si>
  <si>
    <t>Felúj. célú pénzeszk. átad.és egyéb felújítási célú kiadás</t>
  </si>
  <si>
    <t xml:space="preserve">            Óvodák</t>
  </si>
  <si>
    <t>1./1/1.</t>
  </si>
  <si>
    <t>Landorhegyi óvoda ( Űrhajós u. 2. ) gyermek vizesblokk felújítás II. ütem</t>
  </si>
  <si>
    <t>1./1/2.</t>
  </si>
  <si>
    <t>Óvodák felújítása</t>
  </si>
  <si>
    <t>1./1/3.</t>
  </si>
  <si>
    <t>Petőfi Óvoda udvar felújítás</t>
  </si>
  <si>
    <t>1./1/4.</t>
  </si>
  <si>
    <t>Radnóti u. óvoda kerítés felújítása</t>
  </si>
  <si>
    <t>1./1/5.</t>
  </si>
  <si>
    <t>Kosztolányi téri Óvoda felújításához pályázati önrész </t>
  </si>
  <si>
    <t>1./1/6.</t>
  </si>
  <si>
    <t>Kis utcai Óvodában udvarfelújítás</t>
  </si>
  <si>
    <t>1./1/7.</t>
  </si>
  <si>
    <t>Napsugár úti óvoda udvari létesítmények és belső vizesblokk felújítás</t>
  </si>
  <si>
    <t>1./1/8.</t>
  </si>
  <si>
    <t>Űrhajós úti óvoda udvari létesítmények és belső vizesblokk felújítás</t>
  </si>
  <si>
    <t>1./1/9.</t>
  </si>
  <si>
    <t>Kodály úti tagóvodában vizesblokk felújítás</t>
  </si>
  <si>
    <t>1./2/1..</t>
  </si>
  <si>
    <t>Általános iskolákban felújítási munkák</t>
  </si>
  <si>
    <t>1./2/2..</t>
  </si>
  <si>
    <t xml:space="preserve">Dózsa Gy. tagiskola felújítás </t>
  </si>
  <si>
    <t>1./2/3..</t>
  </si>
  <si>
    <t xml:space="preserve">Eötvös Iskola  hőszigetelés </t>
  </si>
  <si>
    <t>1./2/4.</t>
  </si>
  <si>
    <t xml:space="preserve">Ady Iskola felújítás                 </t>
  </si>
  <si>
    <t>1./2/5..</t>
  </si>
  <si>
    <t xml:space="preserve">Petőfi Iskola felújítás </t>
  </si>
  <si>
    <t>1./2/6.</t>
  </si>
  <si>
    <t>Béke ligeti Iskola felújítás</t>
  </si>
  <si>
    <t>Liszt Ferenc Tagiskola udvarának felújítása</t>
  </si>
  <si>
    <t>1./3/1.</t>
  </si>
  <si>
    <t>Kölcsey Gimnázium TÁMOP pályázatához nem támogatott munkarész költsége (labor lapostető szigetelés munkái)</t>
  </si>
  <si>
    <t>1./3/2.</t>
  </si>
  <si>
    <t>Zrínyi Gimnázium felújítás</t>
  </si>
  <si>
    <t>2./1.</t>
  </si>
  <si>
    <t>Zalaegerszegi VMK DK-i szárny belső átalakítása (Családsegítő Szolgálat és Gyermekjóléti Központ)</t>
  </si>
  <si>
    <t>2./2.</t>
  </si>
  <si>
    <t xml:space="preserve"> - Andráshidán Szentivánéji rendezvények támogatása</t>
  </si>
  <si>
    <t xml:space="preserve"> - kulturális városi rendezvények</t>
  </si>
  <si>
    <t xml:space="preserve"> - Kvártélyház Kft. támogatása</t>
  </si>
  <si>
    <t xml:space="preserve"> - főépítészi keret</t>
  </si>
  <si>
    <t>"Települési szilárdhulladék-gazdálkodási rendszerek eszközparkjának fejlesztése, informatikai korszerűsítése" pályázati támogatással KEOP-1.1.1/C/13.</t>
  </si>
  <si>
    <t>"Települési szilárdhulladék-gazdálkodási rendszerek eszközparkjának fejlesztése, informatikai korszerűsítése" pályázati támogatás KEOP-1.1.1/C/13.</t>
  </si>
  <si>
    <t>051040 Nem veszélyes hulladék kezelése, ártalmatlanítása</t>
  </si>
  <si>
    <t xml:space="preserve">Hevesi Sándor Színház ponthúzó hajtásrendszerének felújítása  </t>
  </si>
  <si>
    <t>3./1.</t>
  </si>
  <si>
    <t>3./1/1.</t>
  </si>
  <si>
    <t>Orvosi rendelők felújítása</t>
  </si>
  <si>
    <t>3./2.</t>
  </si>
  <si>
    <t>3./2/1.</t>
  </si>
  <si>
    <t>Bölcsődék felújítása</t>
  </si>
  <si>
    <t>3./2/2.</t>
  </si>
  <si>
    <t>Kis utcai Tipegő Bölcsődében nyílászáró csere</t>
  </si>
  <si>
    <t>3./2/3.</t>
  </si>
  <si>
    <t>Napsugár úti bölcsőde udvari létesítmények és belső vizesblokk felújítás</t>
  </si>
  <si>
    <t>3./2/4.</t>
  </si>
  <si>
    <t>Űrhajós úti bölcsőde udvari létesítmények és belső vizesblokk felújítás</t>
  </si>
  <si>
    <t>3./3.</t>
  </si>
  <si>
    <t>3./3/1.</t>
  </si>
  <si>
    <t>Landorhegyi Idősek Klubja tetőcsere</t>
  </si>
  <si>
    <t xml:space="preserve">5. </t>
  </si>
  <si>
    <t>Sportcsarnokban ZTE KK Kft. TAO-s pályázatához kapcsolódó felújítási feladatokhoz</t>
  </si>
  <si>
    <t>Kis utcai óvoda kazánház ablakcsere</t>
  </si>
  <si>
    <t>Landorhegyi u. 8. szám alatti gyermekorvosi rendelők felújítása</t>
  </si>
  <si>
    <t>Ilosvai u.-i csapadékvízelvezető műtárgyak felújítása</t>
  </si>
  <si>
    <t>Önkormányzati kezelésben lévő intézmények közműveinek felújítása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</si>
  <si>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</si>
  <si>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</si>
  <si>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</si>
  <si>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</si>
  <si>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</si>
  <si>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</si>
  <si>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</si>
  <si>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</si>
  <si>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</si>
  <si>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</si>
  <si>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</si>
  <si>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</si>
  <si>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</si>
  <si>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</si>
  <si>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</si>
  <si>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</si>
  <si>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</si>
  <si>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</si>
  <si>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</si>
  <si>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</si>
  <si>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</si>
  <si>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</si>
  <si>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</si>
  <si>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</si>
  <si>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</si>
  <si>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061030 Lakáshoz jutást segítő támogatások</t>
  </si>
  <si>
    <t>084031 Civil szervezetek működési támogatása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</si>
  <si>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</si>
  <si>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</si>
  <si>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</si>
  <si>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</si>
  <si>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Landorhegyi u. 20. mögötti parkoló felújítása</t>
  </si>
  <si>
    <t>Gasparich út 11.-13. – út és parkolófelújítás</t>
  </si>
  <si>
    <t>Babits utca 2. szám előtti útszakasz burkolatfelújítás</t>
  </si>
  <si>
    <t xml:space="preserve">Zárda u. - Orsolya tér útfelújítás                         </t>
  </si>
  <si>
    <t>Hegyalja u. 11. mögötti terület parkoló bővítés, parkosítás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</si>
  <si>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</si>
  <si>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</si>
  <si>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</si>
  <si>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</si>
  <si>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</si>
  <si>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Alsóerdei u. balesetveszélyes fahíd felújítása</t>
  </si>
  <si>
    <t>4./42</t>
  </si>
  <si>
    <t>4./43</t>
  </si>
  <si>
    <t>Balesetveszélyes tereplépcsők, járdák, volt Skála melletti lépcső  felújítása</t>
  </si>
  <si>
    <t>4./44</t>
  </si>
  <si>
    <t>Neszelében a Gébárti utcai járda felújítása</t>
  </si>
  <si>
    <t>4./45</t>
  </si>
  <si>
    <t>Ságodi u. járdaburkolat felújítás</t>
  </si>
  <si>
    <t>4./46</t>
  </si>
  <si>
    <t>Kaszaházi u. Thifim közötti járdaszakasz felújítás</t>
  </si>
  <si>
    <t>4./47</t>
  </si>
  <si>
    <t>Ola utca járda felújítás és zöldfelület rendezés</t>
  </si>
  <si>
    <t>4./48</t>
  </si>
  <si>
    <t>Kosztolányi tér járda felújítás és zöldfelület rendezés:</t>
  </si>
  <si>
    <t>4./49</t>
  </si>
  <si>
    <t>Kovács Károly térről buszállomás felé az átkötő járda szélesítése és felújítása</t>
  </si>
  <si>
    <t>4./50</t>
  </si>
  <si>
    <t>4./51</t>
  </si>
  <si>
    <t>4./52</t>
  </si>
  <si>
    <t>Juhász Gy. u. útszűkület, vasúti átjáró burkolat javítás</t>
  </si>
  <si>
    <t>4./53</t>
  </si>
  <si>
    <t>Arany J.u.-tól nyugatra lévő lakóövezet járda felújítási munkái</t>
  </si>
  <si>
    <t>4./54</t>
  </si>
  <si>
    <t>Madách u. – Landorhegyi u. 37. – 51. sz. társasházakat összekötő lépcső felújítása</t>
  </si>
  <si>
    <t>4./55</t>
  </si>
  <si>
    <t>Bazita u. járdaburkolat felújítás</t>
  </si>
  <si>
    <t>4./56</t>
  </si>
  <si>
    <t>Ebergényi járdák</t>
  </si>
  <si>
    <t>4./57</t>
  </si>
  <si>
    <t>Szent László utca és környéke járdafelújítások</t>
  </si>
  <si>
    <t>4./58</t>
  </si>
  <si>
    <t>Bozsoki úti járda felújítás II. ütem</t>
  </si>
  <si>
    <t>4./59</t>
  </si>
  <si>
    <t>Kertváros  út-, járdaburkolat felújítási munkák</t>
  </si>
  <si>
    <t>4./60</t>
  </si>
  <si>
    <t>Stadion u. járdaburkolat felújítás</t>
  </si>
  <si>
    <t>Bozsok Hegy út felújítása</t>
  </si>
  <si>
    <t>Balesetveszélyes tereplépcsők, járdák  felújítása</t>
  </si>
  <si>
    <t>Hegyalja u. 11-13. parkoló burkolatfelújítás, Hegyalja  u. 9-11. között betonlapos gyalogjárda felújítás</t>
  </si>
  <si>
    <t>Lakótelepek faállományának felújítása</t>
  </si>
  <si>
    <t>Belvárosi zöldterület felújítás</t>
  </si>
  <si>
    <t>Béke liget felújítása</t>
  </si>
  <si>
    <t>Pázmány P. u. Színház hátsó bejárati zöldsáv felújítás</t>
  </si>
  <si>
    <t>Kinizsi u. fák cseréje, karbantartása</t>
  </si>
  <si>
    <t>Landorhegyi járdák, parkok felújítása</t>
  </si>
  <si>
    <t>Bazitai kilátó környékének rendbetétele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</si>
  <si>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</si>
  <si>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</si>
  <si>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</si>
  <si>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</si>
  <si>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Első világháborús történelmi emlékművek helyreállítása pályázati önrész</t>
  </si>
  <si>
    <t>8./5</t>
  </si>
  <si>
    <t>Göcseji úti köztemető hősi halottak sírjelének felújítása</t>
  </si>
  <si>
    <t>8./6</t>
  </si>
  <si>
    <t>Botfai temető kerítésének javítása</t>
  </si>
  <si>
    <t xml:space="preserve">Pózvai Közösségi Ház (a harangláb melletti) tetőfelújítása </t>
  </si>
  <si>
    <t>Botfa közösségi ház festése, ajtók cseréje</t>
  </si>
  <si>
    <t xml:space="preserve">Bazitai templom felújítása </t>
  </si>
  <si>
    <t>Mozgássérültek Zm.Egyesülete részére pe. átad. a Gébárti faház felúj.</t>
  </si>
  <si>
    <t>Vorhota Közösségi Ház felújítása</t>
  </si>
  <si>
    <t>Út-járda parkoló</t>
  </si>
  <si>
    <t>Olajmunkás utca 4. szám mögött parkolóépítés</t>
  </si>
  <si>
    <t>Tüttőssy utca 6. szám előtti (Európa tér) járda felújítása</t>
  </si>
  <si>
    <t>Ady utca járda - Strand előtti szakasz felújítása</t>
  </si>
  <si>
    <t>Berzsenyi-Stadion utcai tömbbelsőben és környékén járda felújítás és zöldfelület rendezés</t>
  </si>
  <si>
    <t>Ferences Plébánia részére felújításhoz pénzeszköz átadás</t>
  </si>
  <si>
    <t>Lakásalap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</si>
  <si>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</si>
  <si>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</si>
  <si>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</si>
  <si>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</si>
  <si>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</si>
  <si>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2014.  évi eredeti előirányzat</t>
  </si>
  <si>
    <t xml:space="preserve">        egyéb szervezetek támogatása</t>
  </si>
  <si>
    <t>Városfejlesztési, Üzemeltetési és Tervezési Bizottság átruházott hatáskörében felosztható keret</t>
  </si>
  <si>
    <t xml:space="preserve">        lakossági, civil kezdeményezések támogatása</t>
  </si>
  <si>
    <t xml:space="preserve">        közbiztonsági feladatokra</t>
  </si>
  <si>
    <t>Ügyrendi, Jogi és Vagyonnyilatkozatot  Ellenőrző Bizottság átruházott hatáskörben felosztható keret</t>
  </si>
  <si>
    <t>Támogatott lakások elkülönített lakbérbev.</t>
  </si>
  <si>
    <t xml:space="preserve"> -  Idősek Otthona férőhely megváltás visszafizetés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</si>
  <si>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</si>
  <si>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</si>
  <si>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</si>
  <si>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</si>
  <si>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5.a./1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</si>
  <si>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</si>
  <si>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</si>
  <si>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</si>
  <si>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</si>
  <si>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</si>
  <si>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 xml:space="preserve">Vorhotán Újhegyi u. járdaépítés és kapcsolódó árok zárttá tétele </t>
  </si>
  <si>
    <t>2./3</t>
  </si>
  <si>
    <t>Csácsi hegy nyomásövezetek összekötése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</si>
  <si>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</si>
  <si>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</si>
  <si>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</si>
  <si>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</si>
  <si>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</si>
  <si>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</si>
  <si>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</si>
  <si>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</si>
  <si>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 xml:space="preserve"> - képviselők és bizottsági tagok tiszteletdíja</t>
  </si>
  <si>
    <t>1./8</t>
  </si>
  <si>
    <t xml:space="preserve"> - LÉSZ bérlemény üzemeltetés</t>
  </si>
  <si>
    <t xml:space="preserve"> - Pénzmaradvány terhére intézményi elvonás</t>
  </si>
  <si>
    <t>1./6</t>
  </si>
  <si>
    <t>1./7</t>
  </si>
  <si>
    <t xml:space="preserve"> -köztemető fenntartás és temetői létesítmények  használati díja</t>
  </si>
  <si>
    <t>III. Települési önkormányzatok szociális és gyermekjóléti feladatainak támogatása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</si>
  <si>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</si>
  <si>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</si>
  <si>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</si>
  <si>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</si>
  <si>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</si>
  <si>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</si>
  <si>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</si>
  <si>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</si>
  <si>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>Helyi önkormányzatok kiegészítő támogatásai</t>
  </si>
  <si>
    <t>032020 Tűz- és katasztrófavéd. tevékenység</t>
  </si>
  <si>
    <t xml:space="preserve">   f) Időskorúak nappali intézményi  ellátása</t>
  </si>
  <si>
    <t>Hitel-, kölcsöntörlesztés áht-n kívülre</t>
  </si>
  <si>
    <t>Egyéb finanszírozási kiadás</t>
  </si>
  <si>
    <t>Beruházási kiadások:</t>
  </si>
  <si>
    <t>Beruházási kiadások</t>
  </si>
  <si>
    <t>Beruházási  kiadások:</t>
  </si>
  <si>
    <t>Beruházás kiadások</t>
  </si>
  <si>
    <t>Népmű-velő, könyv-táros</t>
  </si>
  <si>
    <t>Ügyvi-teli dolgo-zó</t>
  </si>
  <si>
    <t>Változás</t>
  </si>
  <si>
    <t xml:space="preserve"> Zalaegerszegi Egészségügyi Alapellátás</t>
  </si>
  <si>
    <t>Zalaegerszegi Belvárosi I. sz.Óvoda</t>
  </si>
  <si>
    <t>Zalaegerszegi Belvárosi II. sz.Óvoda</t>
  </si>
  <si>
    <t>10.</t>
  </si>
  <si>
    <t>Zalaegerszegi Városrészek  Művelődési Központja és Könyvtára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</si>
  <si>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</si>
  <si>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</si>
  <si>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</si>
  <si>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</si>
  <si>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</si>
  <si>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</si>
  <si>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</si>
  <si>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</si>
  <si>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szervek összesen:</t>
  </si>
  <si>
    <t>Mindösszesen:</t>
  </si>
  <si>
    <t>1.) Működési célú támogatások államháztartáson belülről</t>
  </si>
  <si>
    <t>2014. évi bevétel eredeti előirányzat</t>
  </si>
  <si>
    <t>2014. évi bevétel módosított előirányzat</t>
  </si>
  <si>
    <t>2.) Közhatalmi bevételek</t>
  </si>
  <si>
    <t>3.) Működési bevételek</t>
  </si>
  <si>
    <t>4.) Működési célú átvett pénzeszközök</t>
  </si>
  <si>
    <t>3.Egyéb működési célú kiadások (költségvetési szervek és tartalék nélkül)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</si>
  <si>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</si>
  <si>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</si>
  <si>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</si>
  <si>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</si>
  <si>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</si>
  <si>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</si>
  <si>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</si>
  <si>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</si>
  <si>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</si>
  <si>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</si>
  <si>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</si>
  <si>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</si>
  <si>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2014. évi  módosított előirányzat</t>
  </si>
  <si>
    <t xml:space="preserve">   g) Fogyatékos és demens személyek nappali intézményi ellátása</t>
  </si>
  <si>
    <t>Igazga-tási dolgozó</t>
  </si>
  <si>
    <t>Óvoda pedagó-gus</t>
  </si>
  <si>
    <t>Egyéb szakal-kal- mazott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</si>
  <si>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</si>
  <si>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</si>
  <si>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</si>
  <si>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</si>
  <si>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</si>
  <si>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</si>
  <si>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</si>
  <si>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</si>
  <si>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</si>
  <si>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</si>
  <si>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</si>
  <si>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</si>
  <si>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</si>
  <si>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</si>
  <si>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</si>
  <si>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</si>
  <si>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</si>
  <si>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</si>
  <si>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>Központosított előirányzatok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</si>
  <si>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</si>
  <si>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</si>
  <si>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</si>
  <si>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</si>
  <si>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</si>
  <si>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</si>
  <si>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Működési költségvetés összesen:</t>
  </si>
  <si>
    <t>Beruházások</t>
  </si>
  <si>
    <t>Felújítások</t>
  </si>
  <si>
    <t>Egyéb felhalmozási kiadások</t>
  </si>
  <si>
    <t>Felhalmozási költségvetés összesen:</t>
  </si>
  <si>
    <t>Önkormányzat kiadásai összesen</t>
  </si>
  <si>
    <t>Zalaegerszegi GESZ</t>
  </si>
  <si>
    <t xml:space="preserve">Körzeti megbízotti iroda céljára ingatlan vásárlás </t>
  </si>
  <si>
    <t>7.a./1</t>
  </si>
  <si>
    <t>Közhatalmi bevételek</t>
  </si>
  <si>
    <t xml:space="preserve"> - helyi önkormányzatok általános működésének és ágazati feladatainak támogatása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</si>
  <si>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</si>
  <si>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</si>
  <si>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</si>
  <si>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</si>
  <si>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</si>
  <si>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</si>
  <si>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</si>
  <si>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</si>
  <si>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</si>
  <si>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</si>
  <si>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081045 Szabadidősport-tevékenység és támogatása</t>
  </si>
  <si>
    <t xml:space="preserve">  - Andráshidai LSC sportlétesítmény üzemeltetés tám.</t>
  </si>
  <si>
    <t xml:space="preserve"> - sport- és humánigazgatási feladatok</t>
  </si>
  <si>
    <t xml:space="preserve"> - Zalaegerszegi Futball utánpótlás és sport klub támogatása</t>
  </si>
  <si>
    <t>O66010</t>
  </si>
  <si>
    <t xml:space="preserve"> - belterületi fás szárú növények fenntartási munkái</t>
  </si>
  <si>
    <t xml:space="preserve"> - köztéri  padok</t>
  </si>
  <si>
    <t xml:space="preserve"> - védett természeti értékek kezelése</t>
  </si>
  <si>
    <t xml:space="preserve"> - Aqua jótékonysági nap bevételéből virágosítás</t>
  </si>
  <si>
    <t>045120 Út, autópálya építése</t>
  </si>
  <si>
    <t>063020 Víztermelés, -kezelés, -ellátás</t>
  </si>
  <si>
    <t xml:space="preserve"> - csapadékvízelvezető és árvízvédelmi létesítménnyek tisztítása-diagnosztika</t>
  </si>
  <si>
    <t>051030 Nem veszélyes hulladék vegyes begyűjtése, szállítása, átrakása</t>
  </si>
  <si>
    <t xml:space="preserve"> - köztéri hulladéktárolók pótlása</t>
  </si>
  <si>
    <t>066020 Város-, községgazdálkodási egyéb szolgáltatás</t>
  </si>
  <si>
    <t xml:space="preserve"> - köztisztaság  szerződéses munkák</t>
  </si>
  <si>
    <t xml:space="preserve"> - Ökováros  egyéb kiadások</t>
  </si>
  <si>
    <t xml:space="preserve"> - Bio és megújuló energiafelhasználás startmunka mintaprogram  BM támogatással</t>
  </si>
  <si>
    <t>066010 Zöldterület-kezelés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</si>
  <si>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</si>
  <si>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</si>
  <si>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</si>
  <si>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013320 Köztemető-fenntartás és működtetés</t>
  </si>
  <si>
    <t xml:space="preserve"> - temetők fenntartása</t>
  </si>
  <si>
    <t>064010 Közvilágítás</t>
  </si>
  <si>
    <t>106010 Lakóing. szoc. célú bérbeadása, üzemeltetése</t>
  </si>
  <si>
    <t>013350 Önk-i vagyonnal való gazdálkodáshoz kapcs.fa.</t>
  </si>
  <si>
    <t xml:space="preserve"> -  hosszútávú fejlesztési programok,külső szakértők díja</t>
  </si>
  <si>
    <t xml:space="preserve"> - operatív program (2014-2020.) előkészítése</t>
  </si>
  <si>
    <t xml:space="preserve"> - egyéb városépítészeti feladatok</t>
  </si>
  <si>
    <t>- Landorhegyi közbiztonsági feladatok</t>
  </si>
  <si>
    <t>018020 Központi költségvetési befizetések</t>
  </si>
  <si>
    <t xml:space="preserve"> - 2013. évi normatív hozzájárulás elszámolása </t>
  </si>
  <si>
    <t xml:space="preserve"> - könyvvizsgálat díja</t>
  </si>
  <si>
    <t xml:space="preserve"> - Járulékcsökkenésből eredő magtakarítás befizetési kötelezettség</t>
  </si>
  <si>
    <t xml:space="preserve"> - Zalaegerszegi Szociális és Gyermekjóléti Alapszolgáltatási Társulás működési hozzájárulás</t>
  </si>
  <si>
    <t xml:space="preserve"> - Többcélú Kistérségi Társulás részére állami támogatás továbbadása</t>
  </si>
  <si>
    <t xml:space="preserve"> - okmányirodai bevételek átadása a Kormányhivatal részére</t>
  </si>
  <si>
    <t>900060 Forgatási és befektetési célú finanszírozási műveletek</t>
  </si>
  <si>
    <t xml:space="preserve"> - Fejlesztési célú hitel igénybevételi díj, törlesztés és   kamatfizetési kötelezettség</t>
  </si>
  <si>
    <t xml:space="preserve"> - adósságkonszolídáció során teljesített kifizetés</t>
  </si>
  <si>
    <t xml:space="preserve"> - VERSO projekt pályázat önrész</t>
  </si>
  <si>
    <t xml:space="preserve"> - Andráshida története könyv </t>
  </si>
  <si>
    <t>083030 Egyéb kiadói tevékenység</t>
  </si>
  <si>
    <t xml:space="preserve">  - városi kiadvány</t>
  </si>
  <si>
    <t>011320 Nemzetközi szervezetekben való részvétel</t>
  </si>
  <si>
    <t xml:space="preserve"> - Nemzetközi kapcsolatokra</t>
  </si>
  <si>
    <t xml:space="preserve"> - Polgármesteri rendelkezésű keret</t>
  </si>
  <si>
    <t>105020 Foglalkoztatást előlsegítő képz. és egyéb támog.</t>
  </si>
  <si>
    <t>Állami támogatások  évközi visszafizetésére</t>
  </si>
  <si>
    <t xml:space="preserve">         2014. évi közösségi, művészeti pályázatok</t>
  </si>
  <si>
    <t xml:space="preserve"> - lakosssági, civil kezdeményezések támogatása</t>
  </si>
  <si>
    <t xml:space="preserve">  - Kiegészítő gyemekvédelmi támogatás</t>
  </si>
  <si>
    <t xml:space="preserve"> - körzeti orvosi ügyelet fenntartásához községek hozzájárulása</t>
  </si>
  <si>
    <t xml:space="preserve"> - mezőgazdasági utak felújításához pályázati pe.</t>
  </si>
  <si>
    <t xml:space="preserve"> - Bio és megújuló energiafelhasználás startmunka mintaprogram</t>
  </si>
  <si>
    <t xml:space="preserve"> - vizíközmű fejlesztési hozzájárulás Zalavíz Zrt-től</t>
  </si>
  <si>
    <t xml:space="preserve"> - Szennyvíztársulástól átvett viziközmű vagyon használati díja</t>
  </si>
  <si>
    <t>013350 Önk-i vagyonnal való gazdálkodáshoz kapcs. fa.</t>
  </si>
  <si>
    <t xml:space="preserve"> -  osztalék bevétel</t>
  </si>
  <si>
    <t>106010 Lakóingatl. szoc.célú bérbeadása, üzemeltetése</t>
  </si>
  <si>
    <t xml:space="preserve"> - LÉSZ Kft. önkormányzati vagyon működtetési díj</t>
  </si>
  <si>
    <t xml:space="preserve">018030 Támogatás célú finanszírozási műveletek </t>
  </si>
  <si>
    <t xml:space="preserve"> - áfa visszaigénylés</t>
  </si>
  <si>
    <t xml:space="preserve"> - 2013. évi pénzmaradvány igénybevétele áthúzódó feladatokhoz</t>
  </si>
  <si>
    <t xml:space="preserve"> - Többcélú Kistérségi Társulás befizetése 2013. évi állami támogatás elszámolása miatt</t>
  </si>
  <si>
    <t>018010 Önkormányzatok elszámolásai a központi költségvetéssel</t>
  </si>
  <si>
    <t xml:space="preserve"> - Járulékmegtakarításból eredő int-i befizetési kötelezettség</t>
  </si>
  <si>
    <t xml:space="preserve">ZTE-SPORTSZOLG Kft.törzstőke és tőketartalék </t>
  </si>
  <si>
    <t>MÜLLEX Közszolgáltató Nonprofit Kft. üzletrészének megvásárlás</t>
  </si>
  <si>
    <t>Kutilapi u. aszfaltozása</t>
  </si>
  <si>
    <t>4./7.</t>
  </si>
  <si>
    <t>Botfai sportöltöző szigetelése, fűtéskorszerűsítéspályázati önrész Botfai LSC részére</t>
  </si>
  <si>
    <t>3./8.</t>
  </si>
  <si>
    <t>Botfai közvilágítás fejlesztés</t>
  </si>
  <si>
    <t>6./1.</t>
  </si>
  <si>
    <t>4./6.</t>
  </si>
  <si>
    <t>1./11</t>
  </si>
  <si>
    <t>5./21</t>
  </si>
  <si>
    <t>5./22</t>
  </si>
  <si>
    <t>Zalabesenyő közösségi ház fejlesztéséhez pe. átadás Besenyő a 2000-es években Alapítvány részére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</si>
  <si>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</si>
  <si>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</si>
  <si>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9./8</t>
  </si>
  <si>
    <t>9./9</t>
  </si>
  <si>
    <t xml:space="preserve"> -  rendszeres szociális segély</t>
  </si>
  <si>
    <t xml:space="preserve"> - adósságkezelési szolgáltatás </t>
  </si>
  <si>
    <t>107054  Családsegítés</t>
  </si>
  <si>
    <t xml:space="preserve"> - díszokleveles pedagógusok ünnepsége és jutalmazása</t>
  </si>
  <si>
    <t>Dolgozói lakásépítés és -vásárlás támogatása</t>
  </si>
  <si>
    <t>Városi középiskolai Kollégium udvari pihenő kialakítása</t>
  </si>
  <si>
    <t>Sas u. - Jánkahegy útcsatlakozás kiépítése</t>
  </si>
  <si>
    <t>4.a/1.</t>
  </si>
  <si>
    <t>Duális képzőközpont kialakítása</t>
  </si>
  <si>
    <t>2./4.</t>
  </si>
  <si>
    <t>Keresztury ház Németh János dombormű</t>
  </si>
  <si>
    <t>9./7</t>
  </si>
  <si>
    <t xml:space="preserve"> Aquaparkba kisértékű eszközök beszerzése</t>
  </si>
  <si>
    <t>Egyéb város- és községgazdálkodás kisértékű tárgyi eszközök beszerzése</t>
  </si>
  <si>
    <t xml:space="preserve"> Mikes u.tagóvoda udvarára kültéri játékok beszerzése pe. Átadás "Játékvár Alapítvány a Mikes Kelemen Úti Óvodáért"részére</t>
  </si>
  <si>
    <t>Erkel F.utcai régi rönk játszótér eszközbővítés</t>
  </si>
  <si>
    <t>Környezetvédelmi Jeles napok kisértékű tárgyi eszköz beszerzés</t>
  </si>
  <si>
    <t xml:space="preserve"> Közfoglalkoztatás anyag- és eszközigény biztosítása</t>
  </si>
  <si>
    <t>Városüzemelteéssel kapcsolatos kisértékű eszköz beszerzése</t>
  </si>
  <si>
    <t>1./10</t>
  </si>
  <si>
    <t>Szennyvíztársulástól átvett viziközmű vagyon működtetésére pénzeszköz átadás Zalavíz Zrt. részére</t>
  </si>
  <si>
    <t>Ady utcai szennyvízbekötések</t>
  </si>
  <si>
    <t>105010 Munkanélküli aktív korúak ellátásai</t>
  </si>
  <si>
    <t>106020 Lakásfenntartással, lakhatással összefüggő ellátások</t>
  </si>
  <si>
    <t>011130 Önkorm. és önkorm. hivatal. jogalk. és ált.ig.tev.</t>
  </si>
  <si>
    <t>084031 Civil szervezetek műk. Támogatása</t>
  </si>
  <si>
    <t>074054 Komplex egészségfejl., prevenciós programok</t>
  </si>
  <si>
    <t>102021 Időskorúak, demens betegek tartós bentlak. ellát.</t>
  </si>
  <si>
    <t>072112 Háziorvosi ügyeleti ellátás</t>
  </si>
  <si>
    <t>081041 Versenysport- és utánpótlás-nevelési tevékenység</t>
  </si>
  <si>
    <t>081043 Iskolai, diáksport-tevékenység és támogatása</t>
  </si>
  <si>
    <t>098010 Oktatás igazgatása</t>
  </si>
  <si>
    <t>084070 A fiatalok társ. integrációját seg. struktúra, szakmai szolgált. fejlesztése, működtetése</t>
  </si>
  <si>
    <t>074052 Kábítószer megelőzés programja</t>
  </si>
  <si>
    <t>082091 Közművelődés - közösségi és társ. részvétel fejleszt.</t>
  </si>
  <si>
    <t>109010 Szociális szolgáltatás igazgatása</t>
  </si>
  <si>
    <t xml:space="preserve"> - helyi védelmi igazgatás</t>
  </si>
  <si>
    <t xml:space="preserve"> - 2014. évi közösségi, művészeti pályázatok</t>
  </si>
  <si>
    <t>Munkaadót terhelő járulékok és szociális hj.adó</t>
  </si>
  <si>
    <t>Önkormányzat összesen költségvetési szervek nélkül</t>
  </si>
  <si>
    <t>Szociális és igazgatási fa. működési kiadás összesen: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</si>
  <si>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</si>
  <si>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</si>
  <si>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</si>
  <si>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</si>
  <si>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</si>
  <si>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</si>
  <si>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</si>
  <si>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</si>
  <si>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Beruházási célú pénzeszk. átadás és egyéb felhalmozási kiadás</t>
  </si>
  <si>
    <t>Összes beruh. célú kiadás</t>
  </si>
  <si>
    <t xml:space="preserve"> - városmarketing</t>
  </si>
  <si>
    <t>Landorhegyi Óvoda energetikai beruházáshoz kapcsolódó kiegészítő építések</t>
  </si>
  <si>
    <t>Mikes Óvoda energetikai beruházáshoz kapcsolódó kiegészítő építések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</si>
</sst>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7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 CE"/>
      <family val="0"/>
    </font>
    <font>
      <sz val="8"/>
      <name val="Arial"/>
      <family val="0"/>
    </font>
    <font>
      <sz val="10"/>
      <color indexed="10"/>
      <name val="Times New Roman"/>
      <family val="1"/>
    </font>
    <font>
      <i/>
      <sz val="9"/>
      <name val="Times New Roman CE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9"/>
      <color indexed="17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24" fillId="7" borderId="1" applyNumberFormat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2" fillId="7" borderId="1" applyNumberFormat="0" applyAlignment="0" applyProtection="0"/>
    <xf numFmtId="0" fontId="0" fillId="22" borderId="7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8" applyNumberFormat="0" applyAlignment="0" applyProtection="0"/>
    <xf numFmtId="0" fontId="1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2" fillId="22" borderId="7" applyNumberFormat="0" applyFont="0" applyAlignment="0" applyProtection="0"/>
    <xf numFmtId="0" fontId="55" fillId="20" borderId="8" applyNumberFormat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00">
    <xf numFmtId="0" fontId="0" fillId="0" borderId="0" xfId="0" applyAlignment="1">
      <alignment/>
    </xf>
    <xf numFmtId="0" fontId="12" fillId="4" borderId="10" xfId="114" applyFont="1" applyFill="1" applyBorder="1" applyAlignment="1">
      <alignment vertical="center"/>
      <protection/>
    </xf>
    <xf numFmtId="0" fontId="12" fillId="4" borderId="11" xfId="114" applyFont="1" applyFill="1" applyBorder="1" applyAlignment="1">
      <alignment vertical="center"/>
      <protection/>
    </xf>
    <xf numFmtId="0" fontId="5" fillId="0" borderId="0" xfId="97" applyAlignment="1">
      <alignment vertical="center"/>
      <protection/>
    </xf>
    <xf numFmtId="0" fontId="5" fillId="0" borderId="0" xfId="97">
      <alignment/>
      <protection/>
    </xf>
    <xf numFmtId="0" fontId="9" fillId="4" borderId="11" xfId="114" applyFont="1" applyFill="1" applyBorder="1" applyAlignment="1">
      <alignment vertical="center"/>
      <protection/>
    </xf>
    <xf numFmtId="0" fontId="8" fillId="0" borderId="0" xfId="97" applyFont="1">
      <alignment/>
      <protection/>
    </xf>
    <xf numFmtId="0" fontId="9" fillId="4" borderId="12" xfId="114" applyFont="1" applyFill="1" applyBorder="1" applyAlignment="1">
      <alignment horizontal="center" vertical="center" wrapText="1"/>
      <protection/>
    </xf>
    <xf numFmtId="0" fontId="9" fillId="4" borderId="13" xfId="114" applyFont="1" applyFill="1" applyBorder="1" applyAlignment="1">
      <alignment horizontal="center" vertical="center" wrapText="1"/>
      <protection/>
    </xf>
    <xf numFmtId="0" fontId="8" fillId="0" borderId="14" xfId="114" applyFont="1" applyBorder="1" applyAlignment="1">
      <alignment horizontal="center" vertical="center"/>
      <protection/>
    </xf>
    <xf numFmtId="0" fontId="9" fillId="4" borderId="14" xfId="114" applyFont="1" applyFill="1" applyBorder="1" applyAlignment="1">
      <alignment horizontal="center" vertical="center"/>
      <protection/>
    </xf>
    <xf numFmtId="0" fontId="8" fillId="4" borderId="14" xfId="114" applyFont="1" applyFill="1" applyBorder="1" applyAlignment="1">
      <alignment horizontal="center" vertical="center"/>
      <protection/>
    </xf>
    <xf numFmtId="0" fontId="9" fillId="4" borderId="13" xfId="114" applyFont="1" applyFill="1" applyBorder="1" applyAlignment="1">
      <alignment horizontal="center" vertical="center"/>
      <protection/>
    </xf>
    <xf numFmtId="0" fontId="9" fillId="0" borderId="14" xfId="114" applyFont="1" applyBorder="1" applyAlignment="1">
      <alignment vertical="center"/>
      <protection/>
    </xf>
    <xf numFmtId="0" fontId="8" fillId="0" borderId="14" xfId="114" applyFont="1" applyBorder="1" applyAlignment="1">
      <alignment vertical="center"/>
      <protection/>
    </xf>
    <xf numFmtId="3" fontId="8" fillId="0" borderId="14" xfId="114" applyNumberFormat="1" applyFont="1" applyBorder="1" applyAlignment="1">
      <alignment vertical="center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4" xfId="118" applyNumberFormat="1" applyFont="1" applyFill="1" applyBorder="1" applyAlignment="1">
      <alignment horizontal="center" vertical="center" wrapText="1"/>
      <protection/>
    </xf>
    <xf numFmtId="3" fontId="13" fillId="0" borderId="15" xfId="118" applyNumberFormat="1" applyFont="1" applyFill="1" applyBorder="1" applyAlignment="1">
      <alignment vertical="center"/>
      <protection/>
    </xf>
    <xf numFmtId="3" fontId="14" fillId="0" borderId="16" xfId="0" applyNumberFormat="1" applyFont="1" applyBorder="1" applyAlignment="1">
      <alignment vertical="center"/>
    </xf>
    <xf numFmtId="3" fontId="13" fillId="0" borderId="14" xfId="118" applyNumberFormat="1" applyFont="1" applyFill="1" applyBorder="1" applyAlignment="1">
      <alignment horizontal="center" vertical="center" wrapText="1"/>
      <protection/>
    </xf>
    <xf numFmtId="3" fontId="14" fillId="0" borderId="14" xfId="118" applyNumberFormat="1" applyFont="1" applyBorder="1" applyAlignment="1">
      <alignment horizontal="center" vertical="center"/>
      <protection/>
    </xf>
    <xf numFmtId="3" fontId="14" fillId="0" borderId="14" xfId="118" applyNumberFormat="1" applyFont="1" applyBorder="1" applyAlignment="1">
      <alignment horizontal="right" vertical="center"/>
      <protection/>
    </xf>
    <xf numFmtId="3" fontId="14" fillId="0" borderId="14" xfId="118" applyNumberFormat="1" applyFont="1" applyBorder="1" applyAlignment="1">
      <alignment vertical="center"/>
      <protection/>
    </xf>
    <xf numFmtId="3" fontId="14" fillId="0" borderId="14" xfId="118" applyNumberFormat="1" applyFont="1" applyFill="1" applyBorder="1" applyAlignment="1">
      <alignment horizontal="center" vertical="center"/>
      <protection/>
    </xf>
    <xf numFmtId="3" fontId="14" fillId="0" borderId="14" xfId="118" applyNumberFormat="1" applyFont="1" applyFill="1" applyBorder="1" applyAlignment="1">
      <alignment vertical="center"/>
      <protection/>
    </xf>
    <xf numFmtId="3" fontId="13" fillId="4" borderId="14" xfId="118" applyNumberFormat="1" applyFont="1" applyFill="1" applyBorder="1" applyAlignment="1">
      <alignment horizontal="right" vertical="center"/>
      <protection/>
    </xf>
    <xf numFmtId="3" fontId="13" fillId="0" borderId="14" xfId="118" applyNumberFormat="1" applyFont="1" applyFill="1" applyBorder="1" applyAlignment="1">
      <alignment horizontal="center" vertical="center"/>
      <protection/>
    </xf>
    <xf numFmtId="3" fontId="14" fillId="0" borderId="17" xfId="118" applyNumberFormat="1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4" fillId="0" borderId="0" xfId="110">
      <alignment/>
      <protection/>
    </xf>
    <xf numFmtId="0" fontId="4" fillId="0" borderId="0" xfId="110" applyAlignment="1">
      <alignment vertical="center"/>
      <protection/>
    </xf>
    <xf numFmtId="0" fontId="4" fillId="0" borderId="0" xfId="110" applyAlignment="1">
      <alignment horizontal="center" vertical="center"/>
      <protection/>
    </xf>
    <xf numFmtId="0" fontId="4" fillId="0" borderId="0" xfId="110" applyAlignment="1">
      <alignment horizontal="center"/>
      <protection/>
    </xf>
    <xf numFmtId="0" fontId="14" fillId="0" borderId="14" xfId="93" applyFont="1" applyBorder="1" applyAlignment="1">
      <alignment vertical="center"/>
      <protection/>
    </xf>
    <xf numFmtId="0" fontId="14" fillId="0" borderId="14" xfId="93" applyFont="1" applyBorder="1" applyAlignment="1">
      <alignment horizontal="center" vertical="center"/>
      <protection/>
    </xf>
    <xf numFmtId="3" fontId="14" fillId="0" borderId="14" xfId="93" applyNumberFormat="1" applyFont="1" applyBorder="1" applyAlignment="1">
      <alignment vertical="center"/>
      <protection/>
    </xf>
    <xf numFmtId="0" fontId="13" fillId="4" borderId="14" xfId="93" applyFont="1" applyFill="1" applyBorder="1" applyAlignment="1">
      <alignment horizontal="center" vertical="center"/>
      <protection/>
    </xf>
    <xf numFmtId="0" fontId="13" fillId="4" borderId="14" xfId="93" applyFont="1" applyFill="1" applyBorder="1" applyAlignment="1">
      <alignment vertical="center"/>
      <protection/>
    </xf>
    <xf numFmtId="0" fontId="8" fillId="0" borderId="14" xfId="93" applyFont="1" applyBorder="1" applyAlignment="1">
      <alignment horizontal="center" vertical="center"/>
      <protection/>
    </xf>
    <xf numFmtId="0" fontId="8" fillId="0" borderId="14" xfId="110" applyFont="1" applyBorder="1" applyAlignment="1">
      <alignment vertical="center"/>
      <protection/>
    </xf>
    <xf numFmtId="0" fontId="8" fillId="4" borderId="14" xfId="110" applyFont="1" applyFill="1" applyBorder="1" applyAlignment="1">
      <alignment horizontal="center" vertical="center"/>
      <protection/>
    </xf>
    <xf numFmtId="0" fontId="9" fillId="4" borderId="14" xfId="110" applyFont="1" applyFill="1" applyBorder="1" applyAlignment="1">
      <alignment vertical="center"/>
      <protection/>
    </xf>
    <xf numFmtId="3" fontId="9" fillId="4" borderId="14" xfId="110" applyNumberFormat="1" applyFont="1" applyFill="1" applyBorder="1" applyAlignment="1">
      <alignment horizontal="right" vertical="center"/>
      <protection/>
    </xf>
    <xf numFmtId="3" fontId="8" fillId="24" borderId="14" xfId="114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20" fillId="0" borderId="0" xfId="118" applyNumberFormat="1" applyFont="1" applyFill="1" applyAlignment="1">
      <alignment vertical="center"/>
      <protection/>
    </xf>
    <xf numFmtId="3" fontId="6" fillId="0" borderId="0" xfId="118" applyNumberFormat="1" applyFont="1" applyAlignment="1">
      <alignment vertical="center"/>
      <protection/>
    </xf>
    <xf numFmtId="3" fontId="6" fillId="0" borderId="0" xfId="118" applyNumberFormat="1" applyFont="1" applyAlignment="1">
      <alignment horizontal="right" vertical="center"/>
      <protection/>
    </xf>
    <xf numFmtId="3" fontId="6" fillId="0" borderId="0" xfId="118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2" xfId="118" applyNumberFormat="1" applyFont="1" applyFill="1" applyBorder="1" applyAlignment="1">
      <alignment horizontal="center" vertical="top" wrapText="1"/>
      <protection/>
    </xf>
    <xf numFmtId="3" fontId="13" fillId="4" borderId="13" xfId="118" applyNumberFormat="1" applyFont="1" applyFill="1" applyBorder="1" applyAlignment="1">
      <alignment horizontal="center" vertical="top" wrapText="1"/>
      <protection/>
    </xf>
    <xf numFmtId="3" fontId="14" fillId="0" borderId="14" xfId="118" applyNumberFormat="1" applyFont="1" applyBorder="1" applyAlignment="1">
      <alignment horizontal="left" vertical="center" wrapText="1"/>
      <protection/>
    </xf>
    <xf numFmtId="3" fontId="14" fillId="0" borderId="14" xfId="118" applyNumberFormat="1" applyFont="1" applyBorder="1" applyAlignment="1">
      <alignment horizontal="left" vertical="center"/>
      <protection/>
    </xf>
    <xf numFmtId="3" fontId="14" fillId="4" borderId="14" xfId="118" applyNumberFormat="1" applyFont="1" applyFill="1" applyBorder="1" applyAlignment="1">
      <alignment horizontal="center" vertical="center"/>
      <protection/>
    </xf>
    <xf numFmtId="0" fontId="8" fillId="0" borderId="14" xfId="114" applyFont="1" applyFill="1" applyBorder="1" applyAlignment="1">
      <alignment vertical="center"/>
      <protection/>
    </xf>
    <xf numFmtId="0" fontId="13" fillId="4" borderId="17" xfId="98" applyFont="1" applyFill="1" applyBorder="1" applyAlignment="1">
      <alignment vertical="center"/>
      <protection/>
    </xf>
    <xf numFmtId="0" fontId="9" fillId="0" borderId="14" xfId="114" applyFont="1" applyFill="1" applyBorder="1" applyAlignment="1">
      <alignment horizontal="center" vertical="center"/>
      <protection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4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vertical="center" wrapText="1"/>
    </xf>
    <xf numFmtId="3" fontId="13" fillId="4" borderId="22" xfId="0" applyNumberFormat="1" applyFont="1" applyFill="1" applyBorder="1" applyAlignment="1">
      <alignment horizontal="left" vertical="center" wrapText="1"/>
    </xf>
    <xf numFmtId="3" fontId="13" fillId="4" borderId="2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4" fillId="0" borderId="23" xfId="93" applyFont="1" applyBorder="1" applyAlignment="1">
      <alignment vertical="center"/>
      <protection/>
    </xf>
    <xf numFmtId="3" fontId="13" fillId="4" borderId="14" xfId="93" applyNumberFormat="1" applyFont="1" applyFill="1" applyBorder="1" applyAlignment="1">
      <alignment vertical="center"/>
      <protection/>
    </xf>
    <xf numFmtId="3" fontId="13" fillId="4" borderId="14" xfId="118" applyNumberFormat="1" applyFont="1" applyFill="1" applyBorder="1" applyAlignment="1">
      <alignment vertical="center"/>
      <protection/>
    </xf>
    <xf numFmtId="0" fontId="14" fillId="0" borderId="18" xfId="0" applyFont="1" applyBorder="1" applyAlignment="1">
      <alignment vertical="center"/>
    </xf>
    <xf numFmtId="0" fontId="8" fillId="0" borderId="14" xfId="114" applyFont="1" applyFill="1" applyBorder="1" applyAlignment="1">
      <alignment horizontal="center" vertical="center"/>
      <protection/>
    </xf>
    <xf numFmtId="3" fontId="13" fillId="0" borderId="18" xfId="0" applyNumberFormat="1" applyFont="1" applyBorder="1" applyAlignment="1">
      <alignment vertical="center" wrapText="1"/>
    </xf>
    <xf numFmtId="0" fontId="13" fillId="4" borderId="14" xfId="93" applyFont="1" applyFill="1" applyBorder="1" applyAlignment="1">
      <alignment vertical="center" wrapText="1"/>
      <protection/>
    </xf>
    <xf numFmtId="0" fontId="8" fillId="0" borderId="14" xfId="110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right" vertical="center"/>
    </xf>
    <xf numFmtId="3" fontId="6" fillId="0" borderId="0" xfId="103" applyNumberFormat="1" applyFont="1" applyAlignment="1">
      <alignment vertical="center"/>
      <protection/>
    </xf>
    <xf numFmtId="0" fontId="6" fillId="0" borderId="0" xfId="103" applyFont="1" applyAlignment="1">
      <alignment vertical="center"/>
      <protection/>
    </xf>
    <xf numFmtId="3" fontId="6" fillId="0" borderId="0" xfId="103" applyNumberFormat="1" applyFont="1" applyBorder="1" applyAlignment="1">
      <alignment vertical="center"/>
      <protection/>
    </xf>
    <xf numFmtId="0" fontId="6" fillId="0" borderId="0" xfId="103" applyFont="1" applyBorder="1" applyAlignment="1">
      <alignment vertical="center"/>
      <protection/>
    </xf>
    <xf numFmtId="0" fontId="13" fillId="0" borderId="0" xfId="103" applyFont="1" applyFill="1" applyBorder="1" applyAlignment="1">
      <alignment vertical="center"/>
      <protection/>
    </xf>
    <xf numFmtId="0" fontId="6" fillId="0" borderId="0" xfId="103" applyFont="1" applyFill="1" applyBorder="1" applyAlignment="1">
      <alignment vertical="center" wrapText="1"/>
      <protection/>
    </xf>
    <xf numFmtId="0" fontId="6" fillId="0" borderId="0" xfId="103" applyFont="1" applyBorder="1" applyAlignment="1">
      <alignment vertical="center" wrapText="1"/>
      <protection/>
    </xf>
    <xf numFmtId="3" fontId="8" fillId="0" borderId="14" xfId="110" applyNumberFormat="1" applyFont="1" applyFill="1" applyBorder="1" applyAlignment="1">
      <alignment horizontal="right" vertical="center" wrapText="1"/>
      <protection/>
    </xf>
    <xf numFmtId="3" fontId="8" fillId="0" borderId="0" xfId="97" applyNumberFormat="1" applyFont="1">
      <alignment/>
      <protection/>
    </xf>
    <xf numFmtId="3" fontId="8" fillId="0" borderId="14" xfId="110" applyNumberFormat="1" applyFont="1" applyFill="1" applyBorder="1" applyAlignment="1">
      <alignment horizontal="right" vertical="center"/>
      <protection/>
    </xf>
    <xf numFmtId="3" fontId="13" fillId="0" borderId="0" xfId="103" applyNumberFormat="1" applyFont="1" applyFill="1" applyBorder="1" applyAlignment="1">
      <alignment vertical="center"/>
      <protection/>
    </xf>
    <xf numFmtId="3" fontId="6" fillId="0" borderId="0" xfId="103" applyNumberFormat="1" applyFont="1" applyBorder="1" applyAlignment="1">
      <alignment vertical="center" wrapText="1"/>
      <protection/>
    </xf>
    <xf numFmtId="3" fontId="9" fillId="25" borderId="24" xfId="118" applyNumberFormat="1" applyFont="1" applyFill="1" applyBorder="1" applyAlignment="1">
      <alignment horizontal="center" vertical="center" wrapText="1"/>
      <protection/>
    </xf>
    <xf numFmtId="3" fontId="20" fillId="0" borderId="0" xfId="118" applyNumberFormat="1" applyFont="1" applyAlignment="1">
      <alignment vertical="center"/>
      <protection/>
    </xf>
    <xf numFmtId="3" fontId="9" fillId="0" borderId="14" xfId="118" applyNumberFormat="1" applyFont="1" applyFill="1" applyBorder="1" applyAlignment="1">
      <alignment horizontal="left" vertical="center" wrapText="1"/>
      <protection/>
    </xf>
    <xf numFmtId="3" fontId="8" fillId="0" borderId="14" xfId="118" applyNumberFormat="1" applyFont="1" applyFill="1" applyBorder="1" applyAlignment="1">
      <alignment horizontal="center" vertical="center" wrapText="1"/>
      <protection/>
    </xf>
    <xf numFmtId="3" fontId="8" fillId="0" borderId="14" xfId="118" applyNumberFormat="1" applyFont="1" applyFill="1" applyBorder="1" applyAlignment="1">
      <alignment horizontal="left" vertical="center" wrapText="1"/>
      <protection/>
    </xf>
    <xf numFmtId="3" fontId="8" fillId="0" borderId="14" xfId="118" applyNumberFormat="1" applyFont="1" applyFill="1" applyBorder="1" applyAlignment="1">
      <alignment vertical="center" wrapText="1"/>
      <protection/>
    </xf>
    <xf numFmtId="3" fontId="6" fillId="0" borderId="0" xfId="118" applyNumberFormat="1" applyFont="1" applyFill="1" applyAlignment="1">
      <alignment vertical="center"/>
      <protection/>
    </xf>
    <xf numFmtId="3" fontId="8" fillId="0" borderId="14" xfId="118" applyNumberFormat="1" applyFont="1" applyBorder="1" applyAlignment="1">
      <alignment horizontal="left" vertical="center" wrapText="1"/>
      <protection/>
    </xf>
    <xf numFmtId="3" fontId="8" fillId="0" borderId="14" xfId="118" applyNumberFormat="1" applyFont="1" applyBorder="1" applyAlignment="1">
      <alignment vertical="center"/>
      <protection/>
    </xf>
    <xf numFmtId="3" fontId="8" fillId="0" borderId="14" xfId="118" applyNumberFormat="1" applyFont="1" applyBorder="1" applyAlignment="1">
      <alignment horizontal="left" vertical="center"/>
      <protection/>
    </xf>
    <xf numFmtId="3" fontId="8" fillId="0" borderId="14" xfId="118" applyNumberFormat="1" applyFont="1" applyFill="1" applyBorder="1" applyAlignment="1">
      <alignment vertical="center"/>
      <protection/>
    </xf>
    <xf numFmtId="3" fontId="9" fillId="0" borderId="14" xfId="118" applyNumberFormat="1" applyFont="1" applyBorder="1" applyAlignment="1">
      <alignment vertical="center"/>
      <protection/>
    </xf>
    <xf numFmtId="3" fontId="9" fillId="0" borderId="14" xfId="118" applyNumberFormat="1" applyFont="1" applyBorder="1" applyAlignment="1">
      <alignment horizontal="left" vertical="center" wrapText="1"/>
      <protection/>
    </xf>
    <xf numFmtId="3" fontId="8" fillId="0" borderId="14" xfId="118" applyNumberFormat="1" applyFont="1" applyBorder="1" applyAlignment="1">
      <alignment horizontal="center" vertical="center"/>
      <protection/>
    </xf>
    <xf numFmtId="3" fontId="9" fillId="0" borderId="14" xfId="118" applyNumberFormat="1" applyFont="1" applyFill="1" applyBorder="1" applyAlignment="1">
      <alignment vertical="center"/>
      <protection/>
    </xf>
    <xf numFmtId="3" fontId="8" fillId="4" borderId="14" xfId="118" applyNumberFormat="1" applyFont="1" applyFill="1" applyBorder="1" applyAlignment="1">
      <alignment horizontal="center" vertical="center"/>
      <protection/>
    </xf>
    <xf numFmtId="3" fontId="9" fillId="4" borderId="14" xfId="118" applyNumberFormat="1" applyFont="1" applyFill="1" applyBorder="1" applyAlignment="1">
      <alignment horizontal="left" vertical="center" wrapText="1"/>
      <protection/>
    </xf>
    <xf numFmtId="3" fontId="9" fillId="4" borderId="14" xfId="118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9" fillId="4" borderId="11" xfId="114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114" applyNumberFormat="1" applyFont="1" applyFill="1" applyBorder="1" applyAlignment="1">
      <alignment horizontal="right" vertical="center"/>
      <protection/>
    </xf>
    <xf numFmtId="0" fontId="9" fillId="4" borderId="10" xfId="114" applyFont="1" applyFill="1" applyBorder="1" applyAlignment="1">
      <alignment horizontal="center" vertical="center" wrapText="1"/>
      <protection/>
    </xf>
    <xf numFmtId="3" fontId="9" fillId="4" borderId="11" xfId="114" applyNumberFormat="1" applyFont="1" applyFill="1" applyBorder="1" applyAlignment="1">
      <alignment horizontal="center" vertical="center" wrapText="1"/>
      <protection/>
    </xf>
    <xf numFmtId="0" fontId="8" fillId="0" borderId="14" xfId="114" applyFont="1" applyBorder="1">
      <alignment/>
      <protection/>
    </xf>
    <xf numFmtId="179" fontId="8" fillId="0" borderId="14" xfId="114" applyNumberFormat="1" applyFont="1" applyBorder="1">
      <alignment/>
      <protection/>
    </xf>
    <xf numFmtId="179" fontId="8" fillId="0" borderId="14" xfId="114" applyNumberFormat="1" applyFont="1" applyBorder="1" applyAlignment="1">
      <alignment vertical="center"/>
      <protection/>
    </xf>
    <xf numFmtId="0" fontId="59" fillId="4" borderId="14" xfId="110" applyFont="1" applyFill="1" applyBorder="1" applyAlignment="1">
      <alignment horizontal="center" vertical="center"/>
      <protection/>
    </xf>
    <xf numFmtId="0" fontId="60" fillId="4" borderId="14" xfId="110" applyFont="1" applyFill="1" applyBorder="1" applyAlignment="1">
      <alignment vertical="center"/>
      <protection/>
    </xf>
    <xf numFmtId="0" fontId="14" fillId="0" borderId="23" xfId="93" applyFont="1" applyBorder="1" applyAlignment="1">
      <alignment horizontal="center" vertical="center"/>
      <protection/>
    </xf>
    <xf numFmtId="3" fontId="13" fillId="4" borderId="13" xfId="118" applyNumberFormat="1" applyFont="1" applyFill="1" applyBorder="1" applyAlignment="1">
      <alignment horizontal="center" vertical="center" wrapText="1"/>
      <protection/>
    </xf>
    <xf numFmtId="3" fontId="13" fillId="4" borderId="26" xfId="118" applyNumberFormat="1" applyFont="1" applyFill="1" applyBorder="1" applyAlignment="1">
      <alignment horizontal="center" vertical="center" wrapText="1"/>
      <protection/>
    </xf>
    <xf numFmtId="0" fontId="14" fillId="0" borderId="14" xfId="94" applyFont="1" applyBorder="1" applyAlignment="1">
      <alignment vertical="center"/>
      <protection/>
    </xf>
    <xf numFmtId="3" fontId="14" fillId="0" borderId="15" xfId="118" applyNumberFormat="1" applyFont="1" applyFill="1" applyBorder="1" applyAlignment="1">
      <alignment vertical="center"/>
      <protection/>
    </xf>
    <xf numFmtId="0" fontId="13" fillId="4" borderId="14" xfId="94" applyFont="1" applyFill="1" applyBorder="1" applyAlignment="1">
      <alignment vertical="center" wrapText="1"/>
      <protection/>
    </xf>
    <xf numFmtId="0" fontId="14" fillId="0" borderId="14" xfId="94" applyFont="1" applyFill="1" applyBorder="1" applyAlignment="1">
      <alignment vertical="center"/>
      <protection/>
    </xf>
    <xf numFmtId="3" fontId="14" fillId="0" borderId="14" xfId="118" applyNumberFormat="1" applyFont="1" applyFill="1" applyBorder="1" applyAlignment="1">
      <alignment horizontal="right" vertical="center" wrapText="1"/>
      <protection/>
    </xf>
    <xf numFmtId="3" fontId="14" fillId="4" borderId="14" xfId="118" applyNumberFormat="1" applyFont="1" applyFill="1" applyBorder="1" applyAlignment="1">
      <alignment horizontal="center" vertical="center" wrapText="1"/>
      <protection/>
    </xf>
    <xf numFmtId="3" fontId="14" fillId="4" borderId="16" xfId="0" applyNumberFormat="1" applyFont="1" applyFill="1" applyBorder="1" applyAlignment="1">
      <alignment vertical="center"/>
    </xf>
    <xf numFmtId="3" fontId="13" fillId="4" borderId="14" xfId="118" applyNumberFormat="1" applyFont="1" applyFill="1" applyBorder="1" applyAlignment="1">
      <alignment horizontal="center" vertical="center" wrapText="1"/>
      <protection/>
    </xf>
    <xf numFmtId="3" fontId="13" fillId="4" borderId="14" xfId="118" applyNumberFormat="1" applyFont="1" applyFill="1" applyBorder="1" applyAlignment="1">
      <alignment horizontal="right" vertical="center" wrapText="1"/>
      <protection/>
    </xf>
    <xf numFmtId="3" fontId="14" fillId="4" borderId="14" xfId="0" applyNumberFormat="1" applyFont="1" applyFill="1" applyBorder="1" applyAlignment="1">
      <alignment horizontal="center" vertical="center"/>
    </xf>
    <xf numFmtId="3" fontId="13" fillId="0" borderId="14" xfId="118" applyNumberFormat="1" applyFont="1" applyFill="1" applyBorder="1" applyAlignment="1">
      <alignment horizontal="right" vertical="center" wrapText="1"/>
      <protection/>
    </xf>
    <xf numFmtId="0" fontId="8" fillId="0" borderId="14" xfId="98" applyFont="1" applyFill="1" applyBorder="1" applyAlignment="1">
      <alignment horizontal="center"/>
      <protection/>
    </xf>
    <xf numFmtId="3" fontId="13" fillId="4" borderId="15" xfId="118" applyNumberFormat="1" applyFont="1" applyFill="1" applyBorder="1" applyAlignment="1">
      <alignment vertical="center"/>
      <protection/>
    </xf>
    <xf numFmtId="3" fontId="13" fillId="0" borderId="16" xfId="0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vertical="center"/>
    </xf>
    <xf numFmtId="0" fontId="13" fillId="4" borderId="17" xfId="93" applyFont="1" applyFill="1" applyBorder="1" applyAlignment="1">
      <alignment vertical="center"/>
      <protection/>
    </xf>
    <xf numFmtId="3" fontId="14" fillId="0" borderId="16" xfId="0" applyNumberFormat="1" applyFont="1" applyFill="1" applyBorder="1" applyAlignment="1">
      <alignment vertical="center"/>
    </xf>
    <xf numFmtId="3" fontId="16" fillId="0" borderId="14" xfId="118" applyNumberFormat="1" applyFont="1" applyFill="1" applyBorder="1" applyAlignment="1">
      <alignment horizontal="right" vertical="center" wrapText="1"/>
      <protection/>
    </xf>
    <xf numFmtId="0" fontId="41" fillId="0" borderId="16" xfId="0" applyFont="1" applyBorder="1" applyAlignment="1">
      <alignment vertical="center"/>
    </xf>
    <xf numFmtId="0" fontId="9" fillId="4" borderId="14" xfId="98" applyFont="1" applyFill="1" applyBorder="1" applyAlignment="1">
      <alignment horizontal="center"/>
      <protection/>
    </xf>
    <xf numFmtId="0" fontId="62" fillId="4" borderId="16" xfId="0" applyFont="1" applyFill="1" applyBorder="1" applyAlignment="1">
      <alignment vertical="center"/>
    </xf>
    <xf numFmtId="0" fontId="13" fillId="4" borderId="27" xfId="0" applyFont="1" applyFill="1" applyBorder="1" applyAlignment="1">
      <alignment/>
    </xf>
    <xf numFmtId="0" fontId="13" fillId="4" borderId="28" xfId="0" applyFont="1" applyFill="1" applyBorder="1" applyAlignment="1">
      <alignment/>
    </xf>
    <xf numFmtId="0" fontId="13" fillId="4" borderId="29" xfId="0" applyFont="1" applyFill="1" applyBorder="1" applyAlignment="1">
      <alignment/>
    </xf>
    <xf numFmtId="3" fontId="14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26" borderId="17" xfId="0" applyNumberFormat="1" applyFont="1" applyFill="1" applyBorder="1" applyAlignment="1">
      <alignment vertical="center"/>
    </xf>
    <xf numFmtId="3" fontId="14" fillId="26" borderId="18" xfId="0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3" fontId="14" fillId="26" borderId="16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58" fillId="0" borderId="0" xfId="0" applyNumberFormat="1" applyFont="1" applyBorder="1" applyAlignment="1">
      <alignment vertical="center"/>
    </xf>
    <xf numFmtId="3" fontId="9" fillId="0" borderId="14" xfId="114" applyNumberFormat="1" applyFont="1" applyBorder="1" applyAlignment="1">
      <alignment vertical="center"/>
      <protection/>
    </xf>
    <xf numFmtId="3" fontId="8" fillId="0" borderId="14" xfId="68" applyNumberFormat="1" applyFont="1" applyBorder="1" applyAlignment="1">
      <alignment vertical="center"/>
    </xf>
    <xf numFmtId="3" fontId="8" fillId="24" borderId="14" xfId="68" applyNumberFormat="1" applyFont="1" applyFill="1" applyBorder="1" applyAlignment="1">
      <alignment vertical="center"/>
    </xf>
    <xf numFmtId="3" fontId="9" fillId="4" borderId="14" xfId="114" applyNumberFormat="1" applyFont="1" applyFill="1" applyBorder="1" applyAlignment="1">
      <alignment vertical="center"/>
      <protection/>
    </xf>
    <xf numFmtId="3" fontId="9" fillId="4" borderId="14" xfId="68" applyNumberFormat="1" applyFont="1" applyFill="1" applyBorder="1" applyAlignment="1">
      <alignment vertical="center"/>
    </xf>
    <xf numFmtId="3" fontId="8" fillId="0" borderId="17" xfId="114" applyNumberFormat="1" applyFont="1" applyBorder="1" applyAlignment="1">
      <alignment vertical="center" wrapText="1"/>
      <protection/>
    </xf>
    <xf numFmtId="3" fontId="8" fillId="0" borderId="23" xfId="114" applyNumberFormat="1" applyFont="1" applyBorder="1" applyAlignment="1">
      <alignment vertical="center" wrapText="1"/>
      <protection/>
    </xf>
    <xf numFmtId="3" fontId="8" fillId="0" borderId="14" xfId="114" applyNumberFormat="1" applyFont="1" applyBorder="1" applyAlignment="1">
      <alignment vertical="center" wrapText="1"/>
      <protection/>
    </xf>
    <xf numFmtId="3" fontId="8" fillId="0" borderId="18" xfId="68" applyNumberFormat="1" applyFont="1" applyBorder="1" applyAlignment="1">
      <alignment vertical="center"/>
    </xf>
    <xf numFmtId="3" fontId="8" fillId="0" borderId="14" xfId="114" applyNumberFormat="1" applyFont="1" applyFill="1" applyBorder="1" applyAlignment="1">
      <alignment vertical="center" wrapText="1"/>
      <protection/>
    </xf>
    <xf numFmtId="3" fontId="9" fillId="0" borderId="14" xfId="114" applyNumberFormat="1" applyFont="1" applyFill="1" applyBorder="1" applyAlignment="1">
      <alignment vertical="center"/>
      <protection/>
    </xf>
    <xf numFmtId="3" fontId="9" fillId="0" borderId="14" xfId="68" applyNumberFormat="1" applyFont="1" applyFill="1" applyBorder="1" applyAlignment="1">
      <alignment vertical="center"/>
    </xf>
    <xf numFmtId="3" fontId="8" fillId="0" borderId="14" xfId="114" applyNumberFormat="1" applyFont="1" applyFill="1" applyBorder="1" applyAlignment="1">
      <alignment vertical="center"/>
      <protection/>
    </xf>
    <xf numFmtId="3" fontId="8" fillId="0" borderId="14" xfId="68" applyNumberFormat="1" applyFont="1" applyFill="1" applyBorder="1" applyAlignment="1">
      <alignment vertical="center"/>
    </xf>
    <xf numFmtId="3" fontId="9" fillId="4" borderId="14" xfId="93" applyNumberFormat="1" applyFont="1" applyFill="1" applyBorder="1" applyAlignment="1">
      <alignment vertical="center" wrapText="1"/>
      <protection/>
    </xf>
    <xf numFmtId="0" fontId="8" fillId="0" borderId="14" xfId="114" applyFont="1" applyFill="1" applyBorder="1" applyAlignment="1">
      <alignment vertical="center" wrapText="1"/>
      <protection/>
    </xf>
    <xf numFmtId="3" fontId="14" fillId="0" borderId="14" xfId="115" applyNumberFormat="1" applyFont="1" applyFill="1" applyBorder="1" applyAlignment="1">
      <alignment vertical="center" wrapText="1"/>
      <protection/>
    </xf>
    <xf numFmtId="3" fontId="14" fillId="26" borderId="16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vertical="center"/>
    </xf>
    <xf numFmtId="2" fontId="9" fillId="4" borderId="11" xfId="114" applyNumberFormat="1" applyFont="1" applyFill="1" applyBorder="1" applyAlignment="1">
      <alignment horizontal="center" vertical="center" wrapText="1"/>
      <protection/>
    </xf>
    <xf numFmtId="0" fontId="8" fillId="0" borderId="14" xfId="113" applyFont="1" applyFill="1" applyBorder="1" applyAlignment="1">
      <alignment horizontal="left" vertical="center" wrapText="1"/>
      <protection/>
    </xf>
    <xf numFmtId="175" fontId="8" fillId="0" borderId="14" xfId="114" applyNumberFormat="1" applyFont="1" applyBorder="1" applyAlignment="1">
      <alignment vertical="center"/>
      <protection/>
    </xf>
    <xf numFmtId="2" fontId="8" fillId="0" borderId="14" xfId="114" applyNumberFormat="1" applyFont="1" applyBorder="1" applyAlignment="1">
      <alignment vertical="center"/>
      <protection/>
    </xf>
    <xf numFmtId="175" fontId="8" fillId="0" borderId="14" xfId="114" applyNumberFormat="1" applyFont="1" applyBorder="1">
      <alignment/>
      <protection/>
    </xf>
    <xf numFmtId="0" fontId="8" fillId="0" borderId="14" xfId="110" applyFont="1" applyFill="1" applyBorder="1" applyAlignment="1">
      <alignment vertical="center" wrapText="1"/>
      <protection/>
    </xf>
    <xf numFmtId="175" fontId="60" fillId="4" borderId="14" xfId="114" applyNumberFormat="1" applyFont="1" applyFill="1" applyBorder="1">
      <alignment/>
      <protection/>
    </xf>
    <xf numFmtId="179" fontId="60" fillId="4" borderId="14" xfId="114" applyNumberFormat="1" applyFont="1" applyFill="1" applyBorder="1">
      <alignment/>
      <protection/>
    </xf>
    <xf numFmtId="2" fontId="8" fillId="0" borderId="14" xfId="114" applyNumberFormat="1" applyFont="1" applyBorder="1">
      <alignment/>
      <protection/>
    </xf>
    <xf numFmtId="0" fontId="8" fillId="0" borderId="14" xfId="97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3" fontId="14" fillId="26" borderId="1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40" fillId="4" borderId="14" xfId="110" applyFont="1" applyFill="1" applyBorder="1" applyAlignment="1">
      <alignment horizontal="center" vertical="center" wrapText="1"/>
      <protection/>
    </xf>
    <xf numFmtId="3" fontId="8" fillId="0" borderId="14" xfId="110" applyNumberFormat="1" applyFont="1" applyBorder="1" applyAlignment="1">
      <alignment horizontal="right" vertical="center" wrapText="1"/>
      <protection/>
    </xf>
    <xf numFmtId="3" fontId="8" fillId="0" borderId="14" xfId="110" applyNumberFormat="1" applyFont="1" applyBorder="1" applyAlignment="1">
      <alignment horizontal="right"/>
      <protection/>
    </xf>
    <xf numFmtId="0" fontId="5" fillId="0" borderId="0" xfId="102">
      <alignment/>
      <protection/>
    </xf>
    <xf numFmtId="0" fontId="9" fillId="27" borderId="30" xfId="102" applyFont="1" applyFill="1" applyBorder="1" applyAlignment="1">
      <alignment horizontal="center" vertical="center" wrapText="1"/>
      <protection/>
    </xf>
    <xf numFmtId="0" fontId="8" fillId="0" borderId="31" xfId="102" applyFont="1" applyFill="1" applyBorder="1" applyAlignment="1">
      <alignment horizontal="center" vertical="top" wrapText="1"/>
      <protection/>
    </xf>
    <xf numFmtId="0" fontId="8" fillId="0" borderId="31" xfId="102" applyFont="1" applyFill="1" applyBorder="1" applyAlignment="1">
      <alignment vertical="top" wrapText="1"/>
      <protection/>
    </xf>
    <xf numFmtId="0" fontId="9" fillId="0" borderId="32" xfId="102" applyFont="1" applyFill="1" applyBorder="1" applyAlignment="1">
      <alignment horizontal="left" vertical="top"/>
      <protection/>
    </xf>
    <xf numFmtId="3" fontId="8" fillId="0" borderId="31" xfId="102" applyNumberFormat="1" applyFont="1" applyFill="1" applyBorder="1" applyAlignment="1">
      <alignment vertical="center"/>
      <protection/>
    </xf>
    <xf numFmtId="3" fontId="14" fillId="0" borderId="31" xfId="119" applyNumberFormat="1" applyFont="1" applyFill="1" applyBorder="1" applyAlignment="1">
      <alignment horizontal="center" vertical="center"/>
      <protection/>
    </xf>
    <xf numFmtId="0" fontId="14" fillId="0" borderId="31" xfId="96" applyFont="1" applyBorder="1" applyAlignment="1">
      <alignment vertical="center"/>
      <protection/>
    </xf>
    <xf numFmtId="0" fontId="14" fillId="0" borderId="33" xfId="96" applyFont="1" applyBorder="1" applyAlignment="1">
      <alignment vertical="center"/>
      <protection/>
    </xf>
    <xf numFmtId="3" fontId="14" fillId="0" borderId="33" xfId="104" applyNumberFormat="1" applyFont="1" applyFill="1" applyBorder="1" applyAlignment="1">
      <alignment vertical="center" wrapText="1"/>
      <protection/>
    </xf>
    <xf numFmtId="3" fontId="14" fillId="0" borderId="34" xfId="112" applyNumberFormat="1" applyFont="1" applyFill="1" applyBorder="1" applyAlignment="1">
      <alignment horizontal="left" vertical="center"/>
      <protection/>
    </xf>
    <xf numFmtId="3" fontId="8" fillId="0" borderId="31" xfId="102" applyNumberFormat="1" applyFont="1" applyFill="1" applyBorder="1" applyAlignment="1">
      <alignment horizontal="right" vertical="center" wrapText="1"/>
      <protection/>
    </xf>
    <xf numFmtId="3" fontId="14" fillId="0" borderId="35" xfId="104" applyNumberFormat="1" applyFont="1" applyFill="1" applyBorder="1" applyAlignment="1">
      <alignment vertical="center" wrapText="1"/>
      <protection/>
    </xf>
    <xf numFmtId="0" fontId="0" fillId="0" borderId="36" xfId="112" applyFill="1" applyBorder="1" applyAlignment="1">
      <alignment vertical="center"/>
      <protection/>
    </xf>
    <xf numFmtId="0" fontId="8" fillId="27" borderId="31" xfId="102" applyFont="1" applyFill="1" applyBorder="1" applyAlignment="1">
      <alignment horizontal="center" vertical="top" wrapText="1"/>
      <protection/>
    </xf>
    <xf numFmtId="0" fontId="8" fillId="27" borderId="31" xfId="102" applyFont="1" applyFill="1" applyBorder="1" applyAlignment="1">
      <alignment vertical="top" wrapText="1"/>
      <protection/>
    </xf>
    <xf numFmtId="0" fontId="9" fillId="27" borderId="33" xfId="102" applyFont="1" applyFill="1" applyBorder="1" applyAlignment="1">
      <alignment horizontal="left" vertical="top"/>
      <protection/>
    </xf>
    <xf numFmtId="0" fontId="9" fillId="27" borderId="32" xfId="102" applyFont="1" applyFill="1" applyBorder="1" applyAlignment="1">
      <alignment horizontal="left" vertical="top"/>
      <protection/>
    </xf>
    <xf numFmtId="0" fontId="8" fillId="28" borderId="31" xfId="102" applyFont="1" applyFill="1" applyBorder="1" applyAlignment="1">
      <alignment horizontal="center"/>
      <protection/>
    </xf>
    <xf numFmtId="0" fontId="8" fillId="28" borderId="31" xfId="102" applyFont="1" applyFill="1" applyBorder="1" applyAlignment="1">
      <alignment horizontal="center" vertical="center"/>
      <protection/>
    </xf>
    <xf numFmtId="0" fontId="8" fillId="0" borderId="33" xfId="96" applyFont="1" applyBorder="1" applyAlignment="1">
      <alignment vertical="center"/>
      <protection/>
    </xf>
    <xf numFmtId="0" fontId="9" fillId="28" borderId="32" xfId="102" applyFont="1" applyFill="1" applyBorder="1" applyAlignment="1">
      <alignment vertical="center"/>
      <protection/>
    </xf>
    <xf numFmtId="3" fontId="8" fillId="28" borderId="31" xfId="102" applyNumberFormat="1" applyFont="1" applyFill="1" applyBorder="1" applyAlignment="1">
      <alignment vertical="center"/>
      <protection/>
    </xf>
    <xf numFmtId="0" fontId="8" fillId="28" borderId="37" xfId="102" applyFont="1" applyFill="1" applyBorder="1" applyAlignment="1">
      <alignment horizontal="center"/>
      <protection/>
    </xf>
    <xf numFmtId="0" fontId="8" fillId="28" borderId="38" xfId="102" applyFont="1" applyFill="1" applyBorder="1" applyAlignment="1">
      <alignment horizontal="center"/>
      <protection/>
    </xf>
    <xf numFmtId="0" fontId="16" fillId="0" borderId="31" xfId="117" applyFont="1" applyFill="1" applyBorder="1" applyAlignment="1">
      <alignment horizontal="center" vertical="center"/>
      <protection/>
    </xf>
    <xf numFmtId="0" fontId="16" fillId="0" borderId="33" xfId="96" applyFont="1" applyBorder="1" applyAlignment="1">
      <alignment vertical="center"/>
      <protection/>
    </xf>
    <xf numFmtId="227" fontId="16" fillId="0" borderId="31" xfId="117" applyNumberFormat="1" applyFont="1" applyFill="1" applyBorder="1" applyAlignment="1">
      <alignment horizontal="center" vertical="center"/>
      <protection/>
    </xf>
    <xf numFmtId="3" fontId="16" fillId="0" borderId="33" xfId="106" applyNumberFormat="1" applyFont="1" applyBorder="1" applyAlignment="1">
      <alignment vertical="top" wrapText="1"/>
      <protection/>
    </xf>
    <xf numFmtId="227" fontId="14" fillId="0" borderId="31" xfId="117" applyNumberFormat="1" applyFont="1" applyFill="1" applyBorder="1" applyAlignment="1">
      <alignment horizontal="center" vertical="center"/>
      <protection/>
    </xf>
    <xf numFmtId="49" fontId="14" fillId="0" borderId="33" xfId="106" applyNumberFormat="1" applyFont="1" applyBorder="1" applyAlignment="1">
      <alignment horizontal="left" vertical="center" wrapText="1"/>
      <protection/>
    </xf>
    <xf numFmtId="0" fontId="8" fillId="0" borderId="32" xfId="112" applyFont="1" applyFill="1" applyBorder="1" applyAlignment="1">
      <alignment horizontal="left" vertical="center" wrapText="1"/>
      <protection/>
    </xf>
    <xf numFmtId="3" fontId="14" fillId="0" borderId="31" xfId="117" applyNumberFormat="1" applyFont="1" applyFill="1" applyBorder="1" applyAlignment="1">
      <alignment vertical="center"/>
      <protection/>
    </xf>
    <xf numFmtId="3" fontId="13" fillId="0" borderId="31" xfId="117" applyNumberFormat="1" applyFont="1" applyFill="1" applyBorder="1" applyAlignment="1">
      <alignment vertical="center"/>
      <protection/>
    </xf>
    <xf numFmtId="3" fontId="13" fillId="0" borderId="33" xfId="117" applyNumberFormat="1" applyFont="1" applyFill="1" applyBorder="1" applyAlignment="1">
      <alignment vertical="center"/>
      <protection/>
    </xf>
    <xf numFmtId="49" fontId="65" fillId="0" borderId="34" xfId="106" applyNumberFormat="1" applyFont="1" applyBorder="1" applyAlignment="1">
      <alignment horizontal="left" vertical="top" wrapText="1"/>
      <protection/>
    </xf>
    <xf numFmtId="0" fontId="8" fillId="0" borderId="39" xfId="112" applyFont="1" applyFill="1" applyBorder="1" applyAlignment="1">
      <alignment horizontal="left" vertical="center" wrapText="1"/>
      <protection/>
    </xf>
    <xf numFmtId="0" fontId="8" fillId="0" borderId="33" xfId="102" applyFont="1" applyBorder="1" applyAlignment="1">
      <alignment vertical="center"/>
      <protection/>
    </xf>
    <xf numFmtId="49" fontId="8" fillId="28" borderId="33" xfId="112" applyNumberFormat="1" applyFont="1" applyFill="1" applyBorder="1" applyAlignment="1">
      <alignment horizontal="left" vertical="top" wrapText="1"/>
      <protection/>
    </xf>
    <xf numFmtId="0" fontId="8" fillId="28" borderId="40" xfId="117" applyFont="1" applyFill="1" applyBorder="1" applyAlignment="1">
      <alignment vertical="top" wrapText="1"/>
      <protection/>
    </xf>
    <xf numFmtId="0" fontId="40" fillId="28" borderId="40" xfId="117" applyFont="1" applyFill="1" applyBorder="1" applyAlignment="1">
      <alignment vertical="top" wrapText="1"/>
      <protection/>
    </xf>
    <xf numFmtId="49" fontId="8" fillId="0" borderId="40" xfId="106" applyNumberFormat="1" applyFont="1" applyFill="1" applyBorder="1" applyAlignment="1">
      <alignment horizontal="left" vertical="center" wrapText="1"/>
      <protection/>
    </xf>
    <xf numFmtId="0" fontId="40" fillId="0" borderId="33" xfId="117" applyFont="1" applyBorder="1" applyAlignment="1">
      <alignment vertical="center"/>
      <protection/>
    </xf>
    <xf numFmtId="0" fontId="8" fillId="0" borderId="31" xfId="102" applyFont="1" applyBorder="1" applyAlignment="1">
      <alignment horizontal="center" vertical="center"/>
      <protection/>
    </xf>
    <xf numFmtId="49" fontId="0" fillId="0" borderId="40" xfId="106" applyNumberFormat="1" applyFont="1" applyFill="1" applyBorder="1" applyAlignment="1">
      <alignment horizontal="left" vertical="center" wrapText="1"/>
      <protection/>
    </xf>
    <xf numFmtId="3" fontId="64" fillId="0" borderId="32" xfId="112" applyNumberFormat="1" applyFont="1" applyFill="1" applyBorder="1" applyAlignment="1">
      <alignment horizontal="left" vertical="center" wrapText="1"/>
      <protection/>
    </xf>
    <xf numFmtId="0" fontId="8" fillId="0" borderId="33" xfId="102" applyFont="1" applyBorder="1" applyAlignment="1">
      <alignment vertical="center" wrapText="1"/>
      <protection/>
    </xf>
    <xf numFmtId="3" fontId="64" fillId="0" borderId="41" xfId="112" applyNumberFormat="1" applyFont="1" applyFill="1" applyBorder="1" applyAlignment="1">
      <alignment horizontal="left" vertical="center" wrapText="1"/>
      <protection/>
    </xf>
    <xf numFmtId="49" fontId="8" fillId="0" borderId="33" xfId="106" applyNumberFormat="1" applyFont="1" applyBorder="1" applyAlignment="1">
      <alignment horizontal="left" vertical="center" wrapText="1"/>
      <protection/>
    </xf>
    <xf numFmtId="3" fontId="8" fillId="0" borderId="31" xfId="117" applyNumberFormat="1" applyFont="1" applyFill="1" applyBorder="1" applyAlignment="1">
      <alignment vertical="center"/>
      <protection/>
    </xf>
    <xf numFmtId="0" fontId="64" fillId="0" borderId="32" xfId="112" applyFont="1" applyFill="1" applyBorder="1" applyAlignment="1">
      <alignment horizontal="left" vertical="center" wrapText="1"/>
      <protection/>
    </xf>
    <xf numFmtId="0" fontId="8" fillId="27" borderId="37" xfId="102" applyFont="1" applyFill="1" applyBorder="1" applyAlignment="1">
      <alignment/>
      <protection/>
    </xf>
    <xf numFmtId="0" fontId="8" fillId="27" borderId="38" xfId="102" applyFont="1" applyFill="1" applyBorder="1" applyAlignment="1">
      <alignment/>
      <protection/>
    </xf>
    <xf numFmtId="0" fontId="8" fillId="27" borderId="31" xfId="102" applyFont="1" applyFill="1" applyBorder="1" applyAlignment="1">
      <alignment horizontal="center" vertical="center"/>
      <protection/>
    </xf>
    <xf numFmtId="0" fontId="9" fillId="27" borderId="33" xfId="102" applyFont="1" applyFill="1" applyBorder="1" applyAlignment="1">
      <alignment vertical="center"/>
      <protection/>
    </xf>
    <xf numFmtId="0" fontId="66" fillId="27" borderId="32" xfId="102" applyFont="1" applyFill="1" applyBorder="1" applyAlignment="1">
      <alignment vertical="center"/>
      <protection/>
    </xf>
    <xf numFmtId="3" fontId="9" fillId="27" borderId="31" xfId="102" applyNumberFormat="1" applyFont="1" applyFill="1" applyBorder="1" applyAlignment="1">
      <alignment horizontal="right" vertical="center"/>
      <protection/>
    </xf>
    <xf numFmtId="0" fontId="8" fillId="0" borderId="37" xfId="102" applyFont="1" applyFill="1" applyBorder="1" applyAlignment="1">
      <alignment/>
      <protection/>
    </xf>
    <xf numFmtId="0" fontId="8" fillId="0" borderId="38" xfId="102" applyFont="1" applyFill="1" applyBorder="1" applyAlignment="1">
      <alignment/>
      <protection/>
    </xf>
    <xf numFmtId="0" fontId="8" fillId="0" borderId="31" xfId="102" applyFont="1" applyFill="1" applyBorder="1" applyAlignment="1">
      <alignment horizontal="center" vertical="center"/>
      <protection/>
    </xf>
    <xf numFmtId="0" fontId="9" fillId="0" borderId="33" xfId="102" applyFont="1" applyFill="1" applyBorder="1" applyAlignment="1">
      <alignment horizontal="left" vertical="center"/>
      <protection/>
    </xf>
    <xf numFmtId="0" fontId="66" fillId="0" borderId="32" xfId="102" applyFont="1" applyFill="1" applyBorder="1" applyAlignment="1">
      <alignment horizontal="left" vertical="center"/>
      <protection/>
    </xf>
    <xf numFmtId="3" fontId="9" fillId="0" borderId="31" xfId="102" applyNumberFormat="1" applyFont="1" applyFill="1" applyBorder="1" applyAlignment="1">
      <alignment horizontal="right" vertical="center"/>
      <protection/>
    </xf>
    <xf numFmtId="0" fontId="9" fillId="0" borderId="31" xfId="102" applyFont="1" applyFill="1" applyBorder="1" applyAlignment="1">
      <alignment horizontal="center" vertical="center"/>
      <protection/>
    </xf>
    <xf numFmtId="3" fontId="8" fillId="0" borderId="31" xfId="102" applyNumberFormat="1" applyFont="1" applyFill="1" applyBorder="1" applyAlignment="1">
      <alignment horizontal="right" vertical="center"/>
      <protection/>
    </xf>
    <xf numFmtId="0" fontId="8" fillId="0" borderId="31" xfId="102" applyFont="1" applyFill="1" applyBorder="1" applyAlignment="1">
      <alignment/>
      <protection/>
    </xf>
    <xf numFmtId="0" fontId="8" fillId="0" borderId="32" xfId="102" applyFont="1" applyFill="1" applyBorder="1" applyAlignment="1">
      <alignment/>
      <protection/>
    </xf>
    <xf numFmtId="0" fontId="8" fillId="28" borderId="33" xfId="112" applyFont="1" applyFill="1" applyBorder="1" applyAlignment="1">
      <alignment vertical="top" wrapText="1"/>
      <protection/>
    </xf>
    <xf numFmtId="0" fontId="8" fillId="0" borderId="33" xfId="117" applyFont="1" applyBorder="1" applyAlignment="1">
      <alignment vertical="center"/>
      <protection/>
    </xf>
    <xf numFmtId="49" fontId="8" fillId="0" borderId="33" xfId="112" applyNumberFormat="1" applyFont="1" applyFill="1" applyBorder="1" applyAlignment="1">
      <alignment horizontal="left" vertical="center" wrapText="1"/>
      <protection/>
    </xf>
    <xf numFmtId="0" fontId="66" fillId="0" borderId="32" xfId="117" applyFont="1" applyFill="1" applyBorder="1" applyAlignment="1">
      <alignment vertical="center"/>
      <protection/>
    </xf>
    <xf numFmtId="0" fontId="9" fillId="0" borderId="31" xfId="102" applyFont="1" applyBorder="1" applyAlignment="1">
      <alignment horizontal="center" vertical="center"/>
      <protection/>
    </xf>
    <xf numFmtId="0" fontId="9" fillId="0" borderId="33" xfId="102" applyFont="1" applyBorder="1" applyAlignment="1">
      <alignment vertical="center"/>
      <protection/>
    </xf>
    <xf numFmtId="49" fontId="14" fillId="0" borderId="33" xfId="112" applyNumberFormat="1" applyFont="1" applyFill="1" applyBorder="1" applyAlignment="1">
      <alignment horizontal="left" vertical="center" wrapText="1"/>
      <protection/>
    </xf>
    <xf numFmtId="0" fontId="8" fillId="0" borderId="40" xfId="112" applyFont="1" applyFill="1" applyBorder="1" applyAlignment="1">
      <alignment vertical="top" wrapText="1"/>
      <protection/>
    </xf>
    <xf numFmtId="0" fontId="9" fillId="28" borderId="31" xfId="102" applyFont="1" applyFill="1" applyBorder="1" applyAlignment="1">
      <alignment horizontal="center" vertical="top" wrapText="1"/>
      <protection/>
    </xf>
    <xf numFmtId="0" fontId="9" fillId="28" borderId="33" xfId="102" applyFont="1" applyFill="1" applyBorder="1" applyAlignment="1">
      <alignment vertical="top"/>
      <protection/>
    </xf>
    <xf numFmtId="0" fontId="8" fillId="28" borderId="33" xfId="105" applyFont="1" applyFill="1" applyBorder="1" applyAlignment="1">
      <alignment vertical="top" wrapText="1"/>
      <protection/>
    </xf>
    <xf numFmtId="0" fontId="66" fillId="0" borderId="32" xfId="102" applyFont="1" applyBorder="1" applyAlignment="1">
      <alignment vertical="center"/>
      <protection/>
    </xf>
    <xf numFmtId="3" fontId="8" fillId="0" borderId="31" xfId="102" applyNumberFormat="1" applyFont="1" applyBorder="1" applyAlignment="1">
      <alignment vertical="center"/>
      <protection/>
    </xf>
    <xf numFmtId="0" fontId="8" fillId="28" borderId="40" xfId="105" applyFont="1" applyFill="1" applyBorder="1" applyAlignment="1">
      <alignment vertical="top" wrapText="1"/>
      <protection/>
    </xf>
    <xf numFmtId="0" fontId="8" fillId="28" borderId="31" xfId="102" applyFont="1" applyFill="1" applyBorder="1" applyAlignment="1">
      <alignment horizontal="center" vertical="top" wrapText="1"/>
      <protection/>
    </xf>
    <xf numFmtId="0" fontId="8" fillId="0" borderId="33" xfId="105" applyFont="1" applyBorder="1" applyAlignment="1">
      <alignment vertical="center" wrapText="1"/>
      <protection/>
    </xf>
    <xf numFmtId="0" fontId="9" fillId="0" borderId="33" xfId="102" applyFont="1" applyFill="1" applyBorder="1" applyAlignment="1">
      <alignment vertical="top"/>
      <protection/>
    </xf>
    <xf numFmtId="49" fontId="14" fillId="0" borderId="33" xfId="112" applyNumberFormat="1" applyFont="1" applyBorder="1" applyAlignment="1">
      <alignment horizontal="left" vertical="center" wrapText="1"/>
      <protection/>
    </xf>
    <xf numFmtId="3" fontId="14" fillId="0" borderId="33" xfId="112" applyNumberFormat="1" applyFont="1" applyFill="1" applyBorder="1" applyAlignment="1">
      <alignment horizontal="left" vertical="center" wrapText="1"/>
      <protection/>
    </xf>
    <xf numFmtId="49" fontId="8" fillId="0" borderId="33" xfId="112" applyNumberFormat="1" applyFont="1" applyFill="1" applyBorder="1" applyAlignment="1">
      <alignment vertical="center" wrapText="1"/>
      <protection/>
    </xf>
    <xf numFmtId="49" fontId="8" fillId="0" borderId="33" xfId="112" applyNumberFormat="1" applyFont="1" applyBorder="1" applyAlignment="1">
      <alignment vertical="center" wrapText="1"/>
      <protection/>
    </xf>
    <xf numFmtId="49" fontId="8" fillId="0" borderId="33" xfId="112" applyNumberFormat="1" applyFont="1" applyBorder="1" applyAlignment="1">
      <alignment horizontal="left" vertical="top" wrapText="1"/>
      <protection/>
    </xf>
    <xf numFmtId="49" fontId="8" fillId="0" borderId="0" xfId="112" applyNumberFormat="1" applyFont="1" applyBorder="1" applyAlignment="1">
      <alignment horizontal="left" vertical="top" wrapText="1"/>
      <protection/>
    </xf>
    <xf numFmtId="0" fontId="8" fillId="28" borderId="40" xfId="112" applyFont="1" applyFill="1" applyBorder="1" applyAlignment="1">
      <alignment vertical="top" wrapText="1"/>
      <protection/>
    </xf>
    <xf numFmtId="49" fontId="8" fillId="28" borderId="33" xfId="112" applyNumberFormat="1" applyFont="1" applyFill="1" applyBorder="1" applyAlignment="1">
      <alignment vertical="top" wrapText="1"/>
      <protection/>
    </xf>
    <xf numFmtId="0" fontId="8" fillId="28" borderId="33" xfId="112" applyFont="1" applyFill="1" applyBorder="1" applyAlignment="1">
      <alignment horizontal="left" vertical="top" wrapText="1"/>
      <protection/>
    </xf>
    <xf numFmtId="3" fontId="14" fillId="28" borderId="33" xfId="112" applyNumberFormat="1" applyFont="1" applyFill="1" applyBorder="1" applyAlignment="1">
      <alignment horizontal="left" vertical="center" wrapText="1"/>
      <protection/>
    </xf>
    <xf numFmtId="49" fontId="8" fillId="0" borderId="33" xfId="106" applyNumberFormat="1" applyFont="1" applyFill="1" applyBorder="1" applyAlignment="1">
      <alignment horizontal="left" vertical="center" wrapText="1"/>
      <protection/>
    </xf>
    <xf numFmtId="49" fontId="8" fillId="0" borderId="40" xfId="107" applyNumberFormat="1" applyFont="1" applyBorder="1" applyAlignment="1">
      <alignment horizontal="left" vertical="top" wrapText="1"/>
      <protection/>
    </xf>
    <xf numFmtId="0" fontId="8" fillId="0" borderId="33" xfId="102" applyFont="1" applyFill="1" applyBorder="1" applyAlignment="1">
      <alignment vertical="top"/>
      <protection/>
    </xf>
    <xf numFmtId="3" fontId="14" fillId="0" borderId="35" xfId="106" applyNumberFormat="1" applyFont="1" applyBorder="1" applyAlignment="1">
      <alignment vertical="top" wrapText="1"/>
      <protection/>
    </xf>
    <xf numFmtId="0" fontId="66" fillId="0" borderId="42" xfId="102" applyFont="1" applyFill="1" applyBorder="1" applyAlignment="1">
      <alignment horizontal="left" vertical="center"/>
      <protection/>
    </xf>
    <xf numFmtId="3" fontId="8" fillId="0" borderId="33" xfId="106" applyNumberFormat="1" applyFont="1" applyBorder="1" applyAlignment="1">
      <alignment vertical="center" wrapText="1"/>
      <protection/>
    </xf>
    <xf numFmtId="0" fontId="8" fillId="0" borderId="33" xfId="112" applyFont="1" applyFill="1" applyBorder="1">
      <alignment/>
      <protection/>
    </xf>
    <xf numFmtId="49" fontId="0" fillId="0" borderId="33" xfId="112" applyNumberFormat="1" applyFont="1" applyBorder="1" applyAlignment="1">
      <alignment vertical="center" wrapText="1"/>
      <protection/>
    </xf>
    <xf numFmtId="49" fontId="0" fillId="0" borderId="33" xfId="106" applyNumberFormat="1" applyFont="1" applyFill="1" applyBorder="1" applyAlignment="1">
      <alignment horizontal="left" vertical="center" wrapText="1"/>
      <protection/>
    </xf>
    <xf numFmtId="0" fontId="8" fillId="0" borderId="33" xfId="100" applyFont="1" applyFill="1" applyBorder="1" applyAlignment="1">
      <alignment vertical="top" wrapText="1"/>
      <protection/>
    </xf>
    <xf numFmtId="0" fontId="9" fillId="27" borderId="33" xfId="102" applyFont="1" applyFill="1" applyBorder="1" applyAlignment="1">
      <alignment horizontal="left" vertical="center"/>
      <protection/>
    </xf>
    <xf numFmtId="0" fontId="66" fillId="27" borderId="32" xfId="102" applyFont="1" applyFill="1" applyBorder="1" applyAlignment="1">
      <alignment horizontal="left" vertical="center"/>
      <protection/>
    </xf>
    <xf numFmtId="0" fontId="9" fillId="28" borderId="33" xfId="102" applyFont="1" applyFill="1" applyBorder="1" applyAlignment="1">
      <alignment horizontal="left" vertical="center"/>
      <protection/>
    </xf>
    <xf numFmtId="0" fontId="66" fillId="28" borderId="32" xfId="102" applyFont="1" applyFill="1" applyBorder="1" applyAlignment="1">
      <alignment horizontal="left" vertical="center"/>
      <protection/>
    </xf>
    <xf numFmtId="3" fontId="9" fillId="28" borderId="31" xfId="102" applyNumberFormat="1" applyFont="1" applyFill="1" applyBorder="1" applyAlignment="1">
      <alignment vertical="center"/>
      <protection/>
    </xf>
    <xf numFmtId="3" fontId="9" fillId="0" borderId="31" xfId="102" applyNumberFormat="1" applyFont="1" applyFill="1" applyBorder="1" applyAlignment="1">
      <alignment vertical="center"/>
      <protection/>
    </xf>
    <xf numFmtId="0" fontId="14" fillId="0" borderId="33" xfId="112" applyFont="1" applyBorder="1" applyAlignment="1">
      <alignment horizontal="left" vertical="top" wrapText="1"/>
      <protection/>
    </xf>
    <xf numFmtId="0" fontId="14" fillId="0" borderId="33" xfId="112" applyFont="1" applyBorder="1" applyAlignment="1">
      <alignment wrapText="1"/>
      <protection/>
    </xf>
    <xf numFmtId="49" fontId="8" fillId="0" borderId="33" xfId="112" applyNumberFormat="1" applyFont="1" applyFill="1" applyBorder="1" applyAlignment="1">
      <alignment horizontal="left" vertical="top" wrapText="1"/>
      <protection/>
    </xf>
    <xf numFmtId="49" fontId="8" fillId="28" borderId="40" xfId="112" applyNumberFormat="1" applyFont="1" applyFill="1" applyBorder="1" applyAlignment="1">
      <alignment horizontal="left" vertical="top" wrapText="1"/>
      <protection/>
    </xf>
    <xf numFmtId="0" fontId="13" fillId="0" borderId="32" xfId="117" applyFont="1" applyFill="1" applyBorder="1" applyAlignment="1">
      <alignment vertical="center"/>
      <protection/>
    </xf>
    <xf numFmtId="3" fontId="14" fillId="0" borderId="33" xfId="117" applyNumberFormat="1" applyFont="1" applyFill="1" applyBorder="1" applyAlignment="1">
      <alignment vertical="center"/>
      <protection/>
    </xf>
    <xf numFmtId="49" fontId="8" fillId="0" borderId="33" xfId="106" applyNumberFormat="1" applyFont="1" applyFill="1" applyBorder="1" applyAlignment="1">
      <alignment vertical="center" wrapText="1"/>
      <protection/>
    </xf>
    <xf numFmtId="0" fontId="64" fillId="0" borderId="32" xfId="102" applyFont="1" applyFill="1" applyBorder="1" applyAlignment="1">
      <alignment vertical="center"/>
      <protection/>
    </xf>
    <xf numFmtId="49" fontId="8" fillId="0" borderId="33" xfId="112" applyNumberFormat="1" applyFont="1" applyFill="1" applyBorder="1" applyAlignment="1">
      <alignment horizontal="left" vertical="top" wrapText="1"/>
      <protection/>
    </xf>
    <xf numFmtId="0" fontId="67" fillId="0" borderId="0" xfId="102" applyFont="1" applyBorder="1">
      <alignment/>
      <protection/>
    </xf>
    <xf numFmtId="3" fontId="8" fillId="0" borderId="31" xfId="102" applyNumberFormat="1" applyFont="1" applyBorder="1">
      <alignment/>
      <protection/>
    </xf>
    <xf numFmtId="0" fontId="8" fillId="0" borderId="31" xfId="102" applyFont="1" applyBorder="1" applyAlignment="1">
      <alignment/>
      <protection/>
    </xf>
    <xf numFmtId="0" fontId="14" fillId="0" borderId="33" xfId="112" applyFont="1" applyFill="1" applyBorder="1" applyAlignment="1">
      <alignment horizontal="left" vertical="top" wrapText="1"/>
      <protection/>
    </xf>
    <xf numFmtId="0" fontId="14" fillId="0" borderId="33" xfId="112" applyFont="1" applyBorder="1">
      <alignment/>
      <protection/>
    </xf>
    <xf numFmtId="0" fontId="8" fillId="0" borderId="33" xfId="99" applyFont="1" applyFill="1" applyBorder="1" applyAlignment="1">
      <alignment horizontal="left" vertical="center" wrapText="1"/>
      <protection/>
    </xf>
    <xf numFmtId="0" fontId="8" fillId="28" borderId="33" xfId="99" applyFont="1" applyFill="1" applyBorder="1" applyAlignment="1">
      <alignment vertical="top" wrapText="1"/>
      <protection/>
    </xf>
    <xf numFmtId="0" fontId="9" fillId="0" borderId="32" xfId="102" applyFont="1" applyBorder="1" applyAlignment="1">
      <alignment vertical="center"/>
      <protection/>
    </xf>
    <xf numFmtId="3" fontId="8" fillId="28" borderId="31" xfId="102" applyNumberFormat="1" applyFont="1" applyFill="1" applyBorder="1" applyAlignment="1">
      <alignment horizontal="right" vertical="center" wrapText="1"/>
      <protection/>
    </xf>
    <xf numFmtId="0" fontId="66" fillId="28" borderId="32" xfId="102" applyFont="1" applyFill="1" applyBorder="1" applyAlignment="1">
      <alignment vertical="top"/>
      <protection/>
    </xf>
    <xf numFmtId="3" fontId="9" fillId="28" borderId="31" xfId="102" applyNumberFormat="1" applyFont="1" applyFill="1" applyBorder="1" applyAlignment="1">
      <alignment horizontal="center" vertical="center" wrapText="1"/>
      <protection/>
    </xf>
    <xf numFmtId="227" fontId="8" fillId="28" borderId="31" xfId="102" applyNumberFormat="1" applyFont="1" applyFill="1" applyBorder="1" applyAlignment="1">
      <alignment horizontal="center" vertical="top" wrapText="1"/>
      <protection/>
    </xf>
    <xf numFmtId="49" fontId="8" fillId="0" borderId="33" xfId="112" applyNumberFormat="1" applyFont="1" applyBorder="1" applyAlignment="1">
      <alignment horizontal="left" vertical="center" wrapText="1"/>
      <protection/>
    </xf>
    <xf numFmtId="0" fontId="8" fillId="0" borderId="33" xfId="99" applyFont="1" applyFill="1" applyBorder="1" applyAlignment="1">
      <alignment vertical="center" wrapText="1"/>
      <protection/>
    </xf>
    <xf numFmtId="0" fontId="8" fillId="0" borderId="33" xfId="99" applyFont="1" applyFill="1" applyBorder="1" applyAlignment="1">
      <alignment vertical="top"/>
      <protection/>
    </xf>
    <xf numFmtId="0" fontId="8" fillId="28" borderId="33" xfId="102" applyFont="1" applyFill="1" applyBorder="1" applyAlignment="1">
      <alignment vertical="top" wrapText="1"/>
      <protection/>
    </xf>
    <xf numFmtId="0" fontId="64" fillId="28" borderId="32" xfId="102" applyFont="1" applyFill="1" applyBorder="1" applyAlignment="1">
      <alignment horizontal="center" vertical="top"/>
      <protection/>
    </xf>
    <xf numFmtId="0" fontId="8" fillId="0" borderId="33" xfId="99" applyFont="1" applyFill="1" applyBorder="1" applyAlignment="1">
      <alignment horizontal="left" vertical="top"/>
      <protection/>
    </xf>
    <xf numFmtId="0" fontId="8" fillId="28" borderId="33" xfId="102" applyFont="1" applyFill="1" applyBorder="1" applyAlignment="1">
      <alignment vertical="top"/>
      <protection/>
    </xf>
    <xf numFmtId="0" fontId="8" fillId="0" borderId="33" xfId="101" applyFont="1" applyFill="1" applyBorder="1" applyAlignment="1">
      <alignment vertical="top"/>
      <protection/>
    </xf>
    <xf numFmtId="0" fontId="8" fillId="0" borderId="33" xfId="101" applyFont="1" applyFill="1" applyBorder="1" applyAlignment="1">
      <alignment vertical="top"/>
      <protection/>
    </xf>
    <xf numFmtId="0" fontId="8" fillId="0" borderId="33" xfId="101" applyFont="1" applyFill="1" applyBorder="1" applyAlignment="1">
      <alignment vertical="top" wrapText="1"/>
      <protection/>
    </xf>
    <xf numFmtId="0" fontId="8" fillId="0" borderId="33" xfId="102" applyFont="1" applyFill="1" applyBorder="1" applyAlignment="1">
      <alignment vertical="top" wrapText="1"/>
      <protection/>
    </xf>
    <xf numFmtId="0" fontId="14" fillId="0" borderId="33" xfId="112" applyFont="1" applyFill="1" applyBorder="1" applyAlignment="1">
      <alignment wrapText="1"/>
      <protection/>
    </xf>
    <xf numFmtId="0" fontId="8" fillId="28" borderId="32" xfId="102" applyFont="1" applyFill="1" applyBorder="1" applyAlignment="1">
      <alignment horizontal="center" vertical="top"/>
      <protection/>
    </xf>
    <xf numFmtId="0" fontId="14" fillId="0" borderId="33" xfId="112" applyFont="1" applyBorder="1" applyAlignment="1">
      <alignment horizontal="left"/>
      <protection/>
    </xf>
    <xf numFmtId="3" fontId="8" fillId="0" borderId="33" xfId="106" applyNumberFormat="1" applyFont="1" applyFill="1" applyBorder="1" applyAlignment="1">
      <alignment vertical="center" wrapText="1"/>
      <protection/>
    </xf>
    <xf numFmtId="0" fontId="8" fillId="0" borderId="40" xfId="100" applyFont="1" applyFill="1" applyBorder="1" applyAlignment="1">
      <alignment vertical="top" wrapText="1"/>
      <protection/>
    </xf>
    <xf numFmtId="0" fontId="8" fillId="0" borderId="33" xfId="102" applyFont="1" applyBorder="1">
      <alignment/>
      <protection/>
    </xf>
    <xf numFmtId="0" fontId="8" fillId="0" borderId="33" xfId="102" applyFont="1" applyFill="1" applyBorder="1" applyAlignment="1">
      <alignment vertical="top" wrapText="1"/>
      <protection/>
    </xf>
    <xf numFmtId="0" fontId="8" fillId="0" borderId="33" xfId="96" applyFont="1" applyFill="1" applyBorder="1" applyAlignment="1">
      <alignment horizontal="left" vertical="center" wrapText="1"/>
      <protection/>
    </xf>
    <xf numFmtId="0" fontId="8" fillId="0" borderId="33" xfId="95" applyFont="1" applyFill="1" applyBorder="1" applyAlignment="1">
      <alignment horizontal="left" vertical="center" wrapText="1"/>
      <protection/>
    </xf>
    <xf numFmtId="0" fontId="8" fillId="0" borderId="33" xfId="101" applyFont="1" applyFill="1" applyBorder="1" applyAlignment="1">
      <alignment vertical="top" wrapText="1"/>
      <protection/>
    </xf>
    <xf numFmtId="0" fontId="8" fillId="28" borderId="33" xfId="102" applyFont="1" applyFill="1" applyBorder="1" applyAlignment="1">
      <alignment horizontal="left" vertical="top" wrapText="1"/>
      <protection/>
    </xf>
    <xf numFmtId="3" fontId="8" fillId="0" borderId="33" xfId="112" applyNumberFormat="1" applyFont="1" applyFill="1" applyBorder="1" applyAlignment="1">
      <alignment vertical="center" wrapText="1"/>
      <protection/>
    </xf>
    <xf numFmtId="49" fontId="8" fillId="0" borderId="33" xfId="106" applyNumberFormat="1" applyFont="1" applyFill="1" applyBorder="1" applyAlignment="1">
      <alignment horizontal="left" vertical="center"/>
      <protection/>
    </xf>
    <xf numFmtId="0" fontId="5" fillId="0" borderId="32" xfId="102" applyBorder="1">
      <alignment/>
      <protection/>
    </xf>
    <xf numFmtId="49" fontId="0" fillId="0" borderId="33" xfId="112" applyNumberFormat="1" applyFont="1" applyBorder="1" applyAlignment="1">
      <alignment horizontal="left" vertical="center" wrapText="1"/>
      <protection/>
    </xf>
    <xf numFmtId="0" fontId="64" fillId="28" borderId="32" xfId="102" applyFont="1" applyFill="1" applyBorder="1" applyAlignment="1">
      <alignment vertical="top"/>
      <protection/>
    </xf>
    <xf numFmtId="0" fontId="14" fillId="0" borderId="33" xfId="99" applyFont="1" applyFill="1" applyBorder="1" applyAlignment="1">
      <alignment vertical="top" wrapText="1"/>
      <protection/>
    </xf>
    <xf numFmtId="0" fontId="8" fillId="27" borderId="31" xfId="102" applyFont="1" applyFill="1" applyBorder="1" applyAlignment="1">
      <alignment/>
      <protection/>
    </xf>
    <xf numFmtId="3" fontId="9" fillId="27" borderId="31" xfId="102" applyNumberFormat="1" applyFont="1" applyFill="1" applyBorder="1" applyAlignment="1">
      <alignment vertical="center"/>
      <protection/>
    </xf>
    <xf numFmtId="0" fontId="8" fillId="0" borderId="31" xfId="102" applyFont="1" applyFill="1" applyBorder="1" applyAlignment="1">
      <alignment horizontal="center"/>
      <protection/>
    </xf>
    <xf numFmtId="0" fontId="9" fillId="0" borderId="33" xfId="102" applyFont="1" applyFill="1" applyBorder="1" applyAlignment="1">
      <alignment vertical="center"/>
      <protection/>
    </xf>
    <xf numFmtId="0" fontId="66" fillId="0" borderId="32" xfId="102" applyFont="1" applyFill="1" applyBorder="1" applyAlignment="1">
      <alignment vertical="center"/>
      <protection/>
    </xf>
    <xf numFmtId="0" fontId="8" fillId="0" borderId="33" xfId="102" applyFont="1" applyFill="1" applyBorder="1" applyAlignment="1">
      <alignment vertical="center"/>
      <protection/>
    </xf>
    <xf numFmtId="0" fontId="8" fillId="28" borderId="33" xfId="102" applyFont="1" applyFill="1" applyBorder="1" applyAlignment="1">
      <alignment vertical="top" wrapText="1"/>
      <protection/>
    </xf>
    <xf numFmtId="0" fontId="8" fillId="0" borderId="33" xfId="112" applyFont="1" applyFill="1" applyBorder="1" applyAlignment="1">
      <alignment vertical="center" wrapText="1"/>
      <protection/>
    </xf>
    <xf numFmtId="0" fontId="9" fillId="28" borderId="33" xfId="102" applyFont="1" applyFill="1" applyBorder="1" applyAlignment="1">
      <alignment vertical="center"/>
      <protection/>
    </xf>
    <xf numFmtId="0" fontId="66" fillId="28" borderId="32" xfId="102" applyFont="1" applyFill="1" applyBorder="1" applyAlignment="1">
      <alignment vertical="center"/>
      <protection/>
    </xf>
    <xf numFmtId="0" fontId="8" fillId="27" borderId="31" xfId="102" applyFont="1" applyFill="1" applyBorder="1" applyAlignment="1">
      <alignment horizontal="center"/>
      <protection/>
    </xf>
    <xf numFmtId="0" fontId="8" fillId="28" borderId="33" xfId="96" applyFont="1" applyFill="1" applyBorder="1" applyAlignment="1">
      <alignment horizontal="left" vertical="center" wrapText="1"/>
      <protection/>
    </xf>
    <xf numFmtId="0" fontId="8" fillId="0" borderId="33" xfId="102" applyFont="1" applyFill="1" applyBorder="1" applyAlignment="1">
      <alignment vertical="center" wrapText="1"/>
      <protection/>
    </xf>
    <xf numFmtId="0" fontId="8" fillId="0" borderId="31" xfId="102" applyFont="1" applyBorder="1" applyAlignment="1">
      <alignment horizontal="center"/>
      <protection/>
    </xf>
    <xf numFmtId="0" fontId="64" fillId="0" borderId="33" xfId="101" applyFont="1" applyFill="1" applyBorder="1" applyAlignment="1">
      <alignment vertical="center"/>
      <protection/>
    </xf>
    <xf numFmtId="0" fontId="8" fillId="27" borderId="31" xfId="102" applyFont="1" applyFill="1" applyBorder="1">
      <alignment/>
      <protection/>
    </xf>
    <xf numFmtId="0" fontId="9" fillId="27" borderId="33" xfId="102" applyFont="1" applyFill="1" applyBorder="1">
      <alignment/>
      <protection/>
    </xf>
    <xf numFmtId="0" fontId="9" fillId="27" borderId="32" xfId="102" applyFont="1" applyFill="1" applyBorder="1">
      <alignment/>
      <protection/>
    </xf>
    <xf numFmtId="3" fontId="9" fillId="27" borderId="31" xfId="102" applyNumberFormat="1" applyFont="1" applyFill="1" applyBorder="1">
      <alignment/>
      <protection/>
    </xf>
    <xf numFmtId="0" fontId="9" fillId="27" borderId="31" xfId="102" applyFont="1" applyFill="1" applyBorder="1">
      <alignment/>
      <protection/>
    </xf>
    <xf numFmtId="0" fontId="9" fillId="27" borderId="31" xfId="102" applyFont="1" applyFill="1" applyBorder="1" applyAlignment="1">
      <alignment horizontal="center"/>
      <protection/>
    </xf>
    <xf numFmtId="0" fontId="9" fillId="27" borderId="33" xfId="96" applyFont="1" applyFill="1" applyBorder="1" applyAlignment="1">
      <alignment vertical="center" wrapText="1"/>
      <protection/>
    </xf>
    <xf numFmtId="3" fontId="8" fillId="0" borderId="31" xfId="102" applyNumberFormat="1" applyFont="1" applyBorder="1" applyAlignment="1">
      <alignment horizontal="center"/>
      <protection/>
    </xf>
    <xf numFmtId="0" fontId="8" fillId="0" borderId="31" xfId="102" applyFont="1" applyBorder="1">
      <alignment/>
      <protection/>
    </xf>
    <xf numFmtId="227" fontId="8" fillId="0" borderId="31" xfId="102" applyNumberFormat="1" applyFont="1" applyBorder="1" applyAlignment="1">
      <alignment horizontal="center"/>
      <protection/>
    </xf>
    <xf numFmtId="0" fontId="8" fillId="0" borderId="32" xfId="102" applyFont="1" applyBorder="1">
      <alignment/>
      <protection/>
    </xf>
    <xf numFmtId="0" fontId="8" fillId="0" borderId="0" xfId="102" applyFont="1" applyAlignment="1">
      <alignment horizontal="left"/>
      <protection/>
    </xf>
    <xf numFmtId="0" fontId="8" fillId="0" borderId="0" xfId="102" applyFont="1">
      <alignment/>
      <protection/>
    </xf>
    <xf numFmtId="0" fontId="9" fillId="0" borderId="0" xfId="102" applyFont="1">
      <alignment/>
      <protection/>
    </xf>
    <xf numFmtId="0" fontId="8" fillId="0" borderId="43" xfId="102" applyFont="1" applyFill="1" applyBorder="1" applyAlignment="1">
      <alignment vertical="top" wrapText="1"/>
      <protection/>
    </xf>
    <xf numFmtId="0" fontId="9" fillId="0" borderId="35" xfId="102" applyFont="1" applyFill="1" applyBorder="1" applyAlignment="1">
      <alignment horizontal="left" vertical="top"/>
      <protection/>
    </xf>
    <xf numFmtId="0" fontId="9" fillId="0" borderId="36" xfId="102" applyFont="1" applyFill="1" applyBorder="1" applyAlignment="1">
      <alignment horizontal="left" vertical="top"/>
      <protection/>
    </xf>
    <xf numFmtId="0" fontId="9" fillId="27" borderId="30" xfId="102" applyFont="1" applyFill="1" applyBorder="1" applyAlignment="1">
      <alignment horizontal="center" vertical="center" wrapText="1"/>
      <protection/>
    </xf>
    <xf numFmtId="0" fontId="8" fillId="0" borderId="39" xfId="102" applyFont="1" applyBorder="1">
      <alignment/>
      <protection/>
    </xf>
    <xf numFmtId="3" fontId="8" fillId="0" borderId="36" xfId="102" applyNumberFormat="1" applyFont="1" applyFill="1" applyBorder="1" applyAlignment="1">
      <alignment horizontal="left" vertical="center" wrapText="1"/>
      <protection/>
    </xf>
    <xf numFmtId="3" fontId="8" fillId="0" borderId="43" xfId="102" applyNumberFormat="1" applyFont="1" applyFill="1" applyBorder="1" applyAlignment="1">
      <alignment horizontal="left" vertical="center" wrapText="1"/>
      <protection/>
    </xf>
    <xf numFmtId="3" fontId="8" fillId="0" borderId="43" xfId="102" applyNumberFormat="1" applyFont="1" applyBorder="1">
      <alignment/>
      <protection/>
    </xf>
    <xf numFmtId="3" fontId="8" fillId="0" borderId="32" xfId="102" applyNumberFormat="1" applyFont="1" applyFill="1" applyBorder="1" applyAlignment="1">
      <alignment horizontal="left" vertical="center" wrapText="1"/>
      <protection/>
    </xf>
    <xf numFmtId="3" fontId="8" fillId="0" borderId="31" xfId="102" applyNumberFormat="1" applyFont="1" applyFill="1" applyBorder="1" applyAlignment="1">
      <alignment horizontal="left" vertical="center" wrapText="1"/>
      <protection/>
    </xf>
    <xf numFmtId="3" fontId="5" fillId="0" borderId="31" xfId="102" applyNumberFormat="1" applyBorder="1">
      <alignment/>
      <protection/>
    </xf>
    <xf numFmtId="3" fontId="9" fillId="27" borderId="32" xfId="102" applyNumberFormat="1" applyFont="1" applyFill="1" applyBorder="1" applyAlignment="1">
      <alignment horizontal="left" vertical="center" wrapText="1"/>
      <protection/>
    </xf>
    <xf numFmtId="3" fontId="9" fillId="27" borderId="31" xfId="102" applyNumberFormat="1" applyFont="1" applyFill="1" applyBorder="1" applyAlignment="1">
      <alignment horizontal="right" vertical="center" wrapText="1"/>
      <protection/>
    </xf>
    <xf numFmtId="0" fontId="13" fillId="27" borderId="44" xfId="117" applyFont="1" applyFill="1" applyBorder="1" applyAlignment="1">
      <alignment horizontal="center" vertical="center"/>
      <protection/>
    </xf>
    <xf numFmtId="0" fontId="13" fillId="27" borderId="45" xfId="117" applyFont="1" applyFill="1" applyBorder="1" applyAlignment="1">
      <alignment horizontal="center" vertical="center"/>
      <protection/>
    </xf>
    <xf numFmtId="0" fontId="13" fillId="27" borderId="46" xfId="117" applyFont="1" applyFill="1" applyBorder="1" applyAlignment="1">
      <alignment horizontal="center" vertical="center"/>
      <protection/>
    </xf>
    <xf numFmtId="0" fontId="13" fillId="27" borderId="47" xfId="117" applyFont="1" applyFill="1" applyBorder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0" fontId="13" fillId="27" borderId="48" xfId="117" applyFont="1" applyFill="1" applyBorder="1" applyAlignment="1">
      <alignment horizontal="center" vertical="top" wrapText="1"/>
      <protection/>
    </xf>
    <xf numFmtId="0" fontId="13" fillId="27" borderId="49" xfId="117" applyFont="1" applyFill="1" applyBorder="1" applyAlignment="1">
      <alignment horizontal="center" vertical="top" wrapText="1"/>
      <protection/>
    </xf>
    <xf numFmtId="0" fontId="13" fillId="27" borderId="50" xfId="117" applyFont="1" applyFill="1" applyBorder="1" applyAlignment="1">
      <alignment horizontal="center" vertical="top"/>
      <protection/>
    </xf>
    <xf numFmtId="0" fontId="13" fillId="27" borderId="30" xfId="117" applyFont="1" applyFill="1" applyBorder="1" applyAlignment="1">
      <alignment horizontal="center" vertical="top"/>
      <protection/>
    </xf>
    <xf numFmtId="0" fontId="13" fillId="27" borderId="51" xfId="117" applyFont="1" applyFill="1" applyBorder="1" applyAlignment="1">
      <alignment horizontal="center" vertical="center" wrapText="1"/>
      <protection/>
    </xf>
    <xf numFmtId="0" fontId="14" fillId="0" borderId="31" xfId="117" applyFont="1" applyBorder="1" applyAlignment="1">
      <alignment horizontal="center" vertical="center"/>
      <protection/>
    </xf>
    <xf numFmtId="0" fontId="9" fillId="0" borderId="33" xfId="117" applyFont="1" applyBorder="1" applyAlignment="1">
      <alignment vertical="center"/>
      <protection/>
    </xf>
    <xf numFmtId="0" fontId="13" fillId="0" borderId="52" xfId="117" applyFont="1" applyBorder="1" applyAlignment="1">
      <alignment vertical="center"/>
      <protection/>
    </xf>
    <xf numFmtId="0" fontId="14" fillId="0" borderId="31" xfId="117" applyFont="1" applyBorder="1" applyAlignment="1">
      <alignment vertical="center"/>
      <protection/>
    </xf>
    <xf numFmtId="0" fontId="6" fillId="0" borderId="0" xfId="117" applyFont="1" applyAlignment="1">
      <alignment vertical="center"/>
      <protection/>
    </xf>
    <xf numFmtId="0" fontId="14" fillId="0" borderId="31" xfId="117" applyFont="1" applyFill="1" applyBorder="1" applyAlignment="1">
      <alignment horizontal="center" vertical="center"/>
      <protection/>
    </xf>
    <xf numFmtId="0" fontId="16" fillId="0" borderId="53" xfId="96" applyFont="1" applyBorder="1" applyAlignment="1">
      <alignment vertical="center"/>
      <protection/>
    </xf>
    <xf numFmtId="0" fontId="13" fillId="0" borderId="38" xfId="117" applyFont="1" applyFill="1" applyBorder="1" applyAlignment="1">
      <alignment vertical="center"/>
      <protection/>
    </xf>
    <xf numFmtId="0" fontId="16" fillId="0" borderId="54" xfId="96" applyFont="1" applyBorder="1" applyAlignment="1">
      <alignment vertical="center"/>
      <protection/>
    </xf>
    <xf numFmtId="0" fontId="14" fillId="0" borderId="31" xfId="117" applyNumberFormat="1" applyFont="1" applyFill="1" applyBorder="1" applyAlignment="1">
      <alignment horizontal="center" vertical="center"/>
      <protection/>
    </xf>
    <xf numFmtId="3" fontId="8" fillId="0" borderId="50" xfId="106" applyNumberFormat="1" applyFont="1" applyBorder="1" applyAlignment="1">
      <alignment vertical="top" wrapText="1"/>
      <protection/>
    </xf>
    <xf numFmtId="3" fontId="14" fillId="0" borderId="33" xfId="106" applyNumberFormat="1" applyFont="1" applyBorder="1" applyAlignment="1">
      <alignment vertical="top" wrapText="1"/>
      <protection/>
    </xf>
    <xf numFmtId="3" fontId="14" fillId="0" borderId="40" xfId="106" applyNumberFormat="1" applyFont="1" applyBorder="1" applyAlignment="1">
      <alignment vertical="top" wrapText="1"/>
      <protection/>
    </xf>
    <xf numFmtId="3" fontId="8" fillId="0" borderId="35" xfId="106" applyNumberFormat="1" applyFont="1" applyBorder="1" applyAlignment="1">
      <alignment vertical="top" wrapText="1"/>
      <protection/>
    </xf>
    <xf numFmtId="0" fontId="13" fillId="0" borderId="42" xfId="117" applyFont="1" applyFill="1" applyBorder="1" applyAlignment="1">
      <alignment vertical="center"/>
      <protection/>
    </xf>
    <xf numFmtId="3" fontId="8" fillId="0" borderId="54" xfId="106" applyNumberFormat="1" applyFont="1" applyBorder="1" applyAlignment="1">
      <alignment vertical="top" wrapText="1"/>
      <protection/>
    </xf>
    <xf numFmtId="49" fontId="41" fillId="0" borderId="54" xfId="106" applyNumberFormat="1" applyFont="1" applyBorder="1" applyAlignment="1">
      <alignment horizontal="left" vertical="top" wrapText="1"/>
      <protection/>
    </xf>
    <xf numFmtId="49" fontId="41" fillId="0" borderId="35" xfId="106" applyNumberFormat="1" applyFont="1" applyBorder="1" applyAlignment="1">
      <alignment horizontal="left" vertical="top" wrapText="1"/>
      <protection/>
    </xf>
    <xf numFmtId="0" fontId="9" fillId="0" borderId="32" xfId="102" applyFont="1" applyFill="1" applyBorder="1" applyAlignment="1">
      <alignment horizontal="left" vertical="center"/>
      <protection/>
    </xf>
    <xf numFmtId="49" fontId="65" fillId="0" borderId="35" xfId="106" applyNumberFormat="1" applyFont="1" applyBorder="1" applyAlignment="1">
      <alignment horizontal="left" vertical="top" wrapText="1"/>
      <protection/>
    </xf>
    <xf numFmtId="0" fontId="16" fillId="0" borderId="31" xfId="117" applyNumberFormat="1" applyFont="1" applyFill="1" applyBorder="1" applyAlignment="1">
      <alignment horizontal="center" vertical="center"/>
      <protection/>
    </xf>
    <xf numFmtId="3" fontId="14" fillId="0" borderId="50" xfId="112" applyNumberFormat="1" applyFont="1" applyBorder="1" applyAlignment="1">
      <alignment vertical="center"/>
      <protection/>
    </xf>
    <xf numFmtId="3" fontId="14" fillId="0" borderId="32" xfId="112" applyNumberFormat="1" applyFont="1" applyBorder="1" applyAlignment="1">
      <alignment vertical="center"/>
      <protection/>
    </xf>
    <xf numFmtId="0" fontId="14" fillId="0" borderId="40" xfId="117" applyFont="1" applyFill="1" applyBorder="1" applyAlignment="1">
      <alignment vertical="center"/>
      <protection/>
    </xf>
    <xf numFmtId="3" fontId="8" fillId="0" borderId="33" xfId="106" applyNumberFormat="1" applyFont="1" applyBorder="1" applyAlignment="1">
      <alignment vertical="top" wrapText="1"/>
      <protection/>
    </xf>
    <xf numFmtId="49" fontId="41" fillId="0" borderId="40" xfId="106" applyNumberFormat="1" applyFont="1" applyFill="1" applyBorder="1" applyAlignment="1">
      <alignment horizontal="left" vertical="center" wrapText="1"/>
      <protection/>
    </xf>
    <xf numFmtId="0" fontId="68" fillId="0" borderId="32" xfId="112" applyFont="1" applyFill="1" applyBorder="1" applyAlignment="1">
      <alignment horizontal="left" vertical="center" wrapText="1"/>
      <protection/>
    </xf>
    <xf numFmtId="3" fontId="68" fillId="0" borderId="32" xfId="112" applyNumberFormat="1" applyFont="1" applyFill="1" applyBorder="1" applyAlignment="1">
      <alignment horizontal="left" vertical="center" wrapText="1"/>
      <protection/>
    </xf>
    <xf numFmtId="0" fontId="14" fillId="0" borderId="33" xfId="105" applyFont="1" applyFill="1" applyBorder="1" applyAlignment="1">
      <alignment vertical="center" wrapText="1"/>
      <protection/>
    </xf>
    <xf numFmtId="0" fontId="14" fillId="27" borderId="31" xfId="117" applyFont="1" applyFill="1" applyBorder="1" applyAlignment="1">
      <alignment horizontal="center" vertical="center"/>
      <protection/>
    </xf>
    <xf numFmtId="0" fontId="13" fillId="27" borderId="33" xfId="117" applyFont="1" applyFill="1" applyBorder="1" applyAlignment="1">
      <alignment vertical="center"/>
      <protection/>
    </xf>
    <xf numFmtId="0" fontId="13" fillId="27" borderId="32" xfId="117" applyFont="1" applyFill="1" applyBorder="1" applyAlignment="1">
      <alignment vertical="center"/>
      <protection/>
    </xf>
    <xf numFmtId="3" fontId="13" fillId="27" borderId="31" xfId="117" applyNumberFormat="1" applyFont="1" applyFill="1" applyBorder="1" applyAlignment="1">
      <alignment vertical="center"/>
      <protection/>
    </xf>
    <xf numFmtId="3" fontId="13" fillId="27" borderId="33" xfId="117" applyNumberFormat="1" applyFont="1" applyFill="1" applyBorder="1" applyAlignment="1">
      <alignment vertical="center"/>
      <protection/>
    </xf>
    <xf numFmtId="0" fontId="13" fillId="0" borderId="31" xfId="117" applyFont="1" applyFill="1" applyBorder="1" applyAlignment="1">
      <alignment horizontal="center" vertical="center"/>
      <protection/>
    </xf>
    <xf numFmtId="0" fontId="13" fillId="0" borderId="31" xfId="117" applyFont="1" applyBorder="1" applyAlignment="1">
      <alignment horizontal="center" vertical="center"/>
      <protection/>
    </xf>
    <xf numFmtId="3" fontId="8" fillId="28" borderId="33" xfId="112" applyNumberFormat="1" applyFont="1" applyFill="1" applyBorder="1" applyAlignment="1">
      <alignment horizontal="left" vertical="top" wrapText="1"/>
      <protection/>
    </xf>
    <xf numFmtId="0" fontId="14" fillId="0" borderId="33" xfId="117" applyFont="1" applyFill="1" applyBorder="1" applyAlignment="1">
      <alignment vertical="center"/>
      <protection/>
    </xf>
    <xf numFmtId="227" fontId="14" fillId="0" borderId="31" xfId="117" applyNumberFormat="1" applyFont="1" applyBorder="1" applyAlignment="1">
      <alignment horizontal="center" vertical="center"/>
      <protection/>
    </xf>
    <xf numFmtId="49" fontId="14" fillId="0" borderId="33" xfId="112" applyNumberFormat="1" applyFont="1" applyFill="1" applyBorder="1" applyAlignment="1">
      <alignment horizontal="left" vertical="center" wrapText="1"/>
      <protection/>
    </xf>
    <xf numFmtId="49" fontId="14" fillId="0" borderId="33" xfId="108" applyNumberFormat="1" applyFont="1" applyBorder="1" applyAlignment="1">
      <alignment horizontal="left" vertical="center" wrapText="1"/>
      <protection/>
    </xf>
    <xf numFmtId="0" fontId="14" fillId="28" borderId="31" xfId="117" applyFont="1" applyFill="1" applyBorder="1" applyAlignment="1">
      <alignment horizontal="center" vertical="center"/>
      <protection/>
    </xf>
    <xf numFmtId="0" fontId="9" fillId="0" borderId="33" xfId="117" applyFont="1" applyFill="1" applyBorder="1" applyAlignment="1">
      <alignment vertical="center"/>
      <protection/>
    </xf>
    <xf numFmtId="0" fontId="14" fillId="0" borderId="32" xfId="117" applyFont="1" applyFill="1" applyBorder="1" applyAlignment="1">
      <alignment vertical="center"/>
      <protection/>
    </xf>
    <xf numFmtId="3" fontId="14" fillId="0" borderId="33" xfId="112" applyNumberFormat="1" applyFont="1" applyBorder="1" applyAlignment="1">
      <alignment horizontal="left" vertical="center" wrapText="1"/>
      <protection/>
    </xf>
    <xf numFmtId="49" fontId="41" fillId="0" borderId="33" xfId="112" applyNumberFormat="1" applyFont="1" applyFill="1" applyBorder="1" applyAlignment="1">
      <alignment vertical="center" wrapText="1"/>
      <protection/>
    </xf>
    <xf numFmtId="49" fontId="14" fillId="0" borderId="35" xfId="112" applyNumberFormat="1" applyFont="1" applyBorder="1" applyAlignment="1">
      <alignment horizontal="left" vertical="center" wrapText="1"/>
      <protection/>
    </xf>
    <xf numFmtId="3" fontId="41" fillId="0" borderId="31" xfId="112" applyNumberFormat="1" applyFont="1" applyFill="1" applyBorder="1" applyAlignment="1">
      <alignment vertical="center"/>
      <protection/>
    </xf>
    <xf numFmtId="3" fontId="16" fillId="0" borderId="31" xfId="117" applyNumberFormat="1" applyFont="1" applyFill="1" applyBorder="1" applyAlignment="1">
      <alignment vertical="center"/>
      <protection/>
    </xf>
    <xf numFmtId="49" fontId="14" fillId="0" borderId="40" xfId="112" applyNumberFormat="1" applyFont="1" applyBorder="1" applyAlignment="1">
      <alignment horizontal="left" vertical="center" wrapText="1"/>
      <protection/>
    </xf>
    <xf numFmtId="0" fontId="14" fillId="0" borderId="33" xfId="117" applyFont="1" applyFill="1" applyBorder="1" applyAlignment="1">
      <alignment vertical="center"/>
      <protection/>
    </xf>
    <xf numFmtId="3" fontId="41" fillId="0" borderId="33" xfId="112" applyNumberFormat="1" applyFont="1" applyFill="1" applyBorder="1" applyAlignment="1">
      <alignment vertical="center" wrapText="1"/>
      <protection/>
    </xf>
    <xf numFmtId="3" fontId="14" fillId="0" borderId="33" xfId="108" applyNumberFormat="1" applyFont="1" applyFill="1" applyBorder="1" applyAlignment="1">
      <alignment horizontal="left" vertical="center" wrapText="1"/>
      <protection/>
    </xf>
    <xf numFmtId="49" fontId="14" fillId="0" borderId="33" xfId="108" applyNumberFormat="1" applyFont="1" applyFill="1" applyBorder="1" applyAlignment="1">
      <alignment vertical="center" wrapText="1"/>
      <protection/>
    </xf>
    <xf numFmtId="49" fontId="14" fillId="0" borderId="33" xfId="108" applyNumberFormat="1" applyFont="1" applyBorder="1" applyAlignment="1">
      <alignment horizontal="left" vertical="center" wrapText="1"/>
      <protection/>
    </xf>
    <xf numFmtId="0" fontId="14" fillId="0" borderId="33" xfId="112" applyFont="1" applyBorder="1" applyAlignment="1">
      <alignment horizontal="left" wrapText="1"/>
      <protection/>
    </xf>
    <xf numFmtId="0" fontId="8" fillId="28" borderId="40" xfId="112" applyFont="1" applyFill="1" applyBorder="1" applyAlignment="1">
      <alignment horizontal="left" vertical="top" wrapText="1"/>
      <protection/>
    </xf>
    <xf numFmtId="0" fontId="14" fillId="0" borderId="33" xfId="112" applyFont="1" applyFill="1" applyBorder="1">
      <alignment/>
      <protection/>
    </xf>
    <xf numFmtId="227" fontId="13" fillId="0" borderId="31" xfId="117" applyNumberFormat="1" applyFont="1" applyBorder="1" applyAlignment="1">
      <alignment horizontal="center" vertical="center"/>
      <protection/>
    </xf>
    <xf numFmtId="0" fontId="9" fillId="0" borderId="33" xfId="117" applyFont="1" applyFill="1" applyBorder="1" applyAlignment="1">
      <alignment vertical="center" wrapText="1"/>
      <protection/>
    </xf>
    <xf numFmtId="49" fontId="8" fillId="28" borderId="50" xfId="112" applyNumberFormat="1" applyFont="1" applyFill="1" applyBorder="1" applyAlignment="1">
      <alignment horizontal="left" vertical="top" wrapText="1"/>
      <protection/>
    </xf>
    <xf numFmtId="0" fontId="8" fillId="0" borderId="33" xfId="112" applyFont="1" applyBorder="1" applyAlignment="1">
      <alignment vertical="top" wrapText="1"/>
      <protection/>
    </xf>
    <xf numFmtId="49" fontId="41" fillId="0" borderId="33" xfId="106" applyNumberFormat="1" applyFont="1" applyFill="1" applyBorder="1" applyAlignment="1">
      <alignment horizontal="left" vertical="center" wrapText="1"/>
      <protection/>
    </xf>
    <xf numFmtId="0" fontId="13" fillId="27" borderId="31" xfId="117" applyFont="1" applyFill="1" applyBorder="1" applyAlignment="1">
      <alignment horizontal="center" vertical="center"/>
      <protection/>
    </xf>
    <xf numFmtId="0" fontId="13" fillId="28" borderId="33" xfId="117" applyFont="1" applyFill="1" applyBorder="1" applyAlignment="1">
      <alignment vertical="center"/>
      <protection/>
    </xf>
    <xf numFmtId="0" fontId="13" fillId="28" borderId="32" xfId="117" applyFont="1" applyFill="1" applyBorder="1" applyAlignment="1">
      <alignment vertical="center"/>
      <protection/>
    </xf>
    <xf numFmtId="3" fontId="14" fillId="28" borderId="31" xfId="117" applyNumberFormat="1" applyFont="1" applyFill="1" applyBorder="1" applyAlignment="1">
      <alignment vertical="center"/>
      <protection/>
    </xf>
    <xf numFmtId="3" fontId="14" fillId="0" borderId="33" xfId="106" applyNumberFormat="1" applyFont="1" applyFill="1" applyBorder="1" applyAlignment="1">
      <alignment vertical="center" wrapText="1"/>
      <protection/>
    </xf>
    <xf numFmtId="0" fontId="8" fillId="0" borderId="33" xfId="117" applyFont="1" applyFill="1" applyBorder="1" applyAlignment="1">
      <alignment vertical="center" wrapText="1"/>
      <protection/>
    </xf>
    <xf numFmtId="0" fontId="13" fillId="27" borderId="31" xfId="117" applyFont="1" applyFill="1" applyBorder="1" applyAlignment="1">
      <alignment horizontal="center" vertical="center" wrapText="1"/>
      <protection/>
    </xf>
    <xf numFmtId="0" fontId="9" fillId="27" borderId="33" xfId="117" applyFont="1" applyFill="1" applyBorder="1" applyAlignment="1">
      <alignment vertical="center" wrapText="1"/>
      <protection/>
    </xf>
    <xf numFmtId="0" fontId="9" fillId="27" borderId="32" xfId="117" applyFont="1" applyFill="1" applyBorder="1" applyAlignment="1">
      <alignment vertical="center" wrapText="1"/>
      <protection/>
    </xf>
    <xf numFmtId="3" fontId="13" fillId="27" borderId="31" xfId="117" applyNumberFormat="1" applyFont="1" applyFill="1" applyBorder="1" applyAlignment="1">
      <alignment vertical="center" wrapText="1"/>
      <protection/>
    </xf>
    <xf numFmtId="3" fontId="13" fillId="27" borderId="33" xfId="117" applyNumberFormat="1" applyFont="1" applyFill="1" applyBorder="1" applyAlignment="1">
      <alignment vertical="center" wrapText="1"/>
      <protection/>
    </xf>
    <xf numFmtId="0" fontId="13" fillId="0" borderId="31" xfId="117" applyFont="1" applyFill="1" applyBorder="1" applyAlignment="1">
      <alignment horizontal="center" vertical="center" wrapText="1"/>
      <protection/>
    </xf>
    <xf numFmtId="0" fontId="9" fillId="0" borderId="32" xfId="117" applyFont="1" applyFill="1" applyBorder="1" applyAlignment="1">
      <alignment vertical="center" wrapText="1"/>
      <protection/>
    </xf>
    <xf numFmtId="3" fontId="13" fillId="0" borderId="31" xfId="117" applyNumberFormat="1" applyFont="1" applyFill="1" applyBorder="1" applyAlignment="1">
      <alignment vertical="center" wrapText="1"/>
      <protection/>
    </xf>
    <xf numFmtId="0" fontId="14" fillId="0" borderId="31" xfId="117" applyFont="1" applyFill="1" applyBorder="1" applyAlignment="1">
      <alignment horizontal="center" vertical="center" wrapText="1"/>
      <protection/>
    </xf>
    <xf numFmtId="0" fontId="14" fillId="0" borderId="33" xfId="117" applyFont="1" applyFill="1" applyBorder="1" applyAlignment="1">
      <alignment vertical="center" wrapText="1"/>
      <protection/>
    </xf>
    <xf numFmtId="0" fontId="8" fillId="0" borderId="32" xfId="117" applyFont="1" applyFill="1" applyBorder="1" applyAlignment="1">
      <alignment vertical="center" wrapText="1"/>
      <protection/>
    </xf>
    <xf numFmtId="3" fontId="14" fillId="0" borderId="31" xfId="117" applyNumberFormat="1" applyFont="1" applyFill="1" applyBorder="1" applyAlignment="1">
      <alignment vertical="center" wrapText="1"/>
      <protection/>
    </xf>
    <xf numFmtId="0" fontId="9" fillId="0" borderId="33" xfId="117" applyFont="1" applyFill="1" applyBorder="1" applyAlignment="1">
      <alignment horizontal="left" vertical="center"/>
      <protection/>
    </xf>
    <xf numFmtId="0" fontId="14" fillId="0" borderId="33" xfId="117" applyFont="1" applyFill="1" applyBorder="1" applyAlignment="1">
      <alignment horizontal="left" vertical="center"/>
      <protection/>
    </xf>
    <xf numFmtId="0" fontId="9" fillId="0" borderId="32" xfId="117" applyFont="1" applyBorder="1" applyAlignment="1">
      <alignment vertical="center"/>
      <protection/>
    </xf>
    <xf numFmtId="3" fontId="14" fillId="0" borderId="31" xfId="117" applyNumberFormat="1" applyFont="1" applyBorder="1" applyAlignment="1">
      <alignment vertical="center"/>
      <protection/>
    </xf>
    <xf numFmtId="0" fontId="14" fillId="0" borderId="33" xfId="117" applyFont="1" applyBorder="1" applyAlignment="1">
      <alignment vertical="center"/>
      <protection/>
    </xf>
    <xf numFmtId="0" fontId="8" fillId="0" borderId="32" xfId="117" applyFont="1" applyBorder="1" applyAlignment="1">
      <alignment vertical="center"/>
      <protection/>
    </xf>
    <xf numFmtId="0" fontId="8" fillId="27" borderId="31" xfId="117" applyFont="1" applyFill="1" applyBorder="1" applyAlignment="1">
      <alignment horizontal="center" vertical="center"/>
      <protection/>
    </xf>
    <xf numFmtId="0" fontId="9" fillId="27" borderId="33" xfId="117" applyFont="1" applyFill="1" applyBorder="1" applyAlignment="1">
      <alignment vertical="center"/>
      <protection/>
    </xf>
    <xf numFmtId="0" fontId="9" fillId="27" borderId="32" xfId="117" applyFont="1" applyFill="1" applyBorder="1" applyAlignment="1">
      <alignment vertical="center"/>
      <protection/>
    </xf>
    <xf numFmtId="3" fontId="9" fillId="27" borderId="31" xfId="117" applyNumberFormat="1" applyFont="1" applyFill="1" applyBorder="1" applyAlignment="1">
      <alignment vertical="center"/>
      <protection/>
    </xf>
    <xf numFmtId="3" fontId="9" fillId="27" borderId="33" xfId="117" applyNumberFormat="1" applyFont="1" applyFill="1" applyBorder="1" applyAlignment="1">
      <alignment vertical="center"/>
      <protection/>
    </xf>
    <xf numFmtId="0" fontId="8" fillId="28" borderId="31" xfId="117" applyNumberFormat="1" applyFont="1" applyFill="1" applyBorder="1" applyAlignment="1">
      <alignment horizontal="center" vertical="center"/>
      <protection/>
    </xf>
    <xf numFmtId="0" fontId="8" fillId="28" borderId="31" xfId="117" applyFont="1" applyFill="1" applyBorder="1" applyAlignment="1">
      <alignment horizontal="center" vertical="center"/>
      <protection/>
    </xf>
    <xf numFmtId="0" fontId="8" fillId="28" borderId="32" xfId="117" applyFont="1" applyFill="1" applyBorder="1" applyAlignment="1">
      <alignment vertical="center"/>
      <protection/>
    </xf>
    <xf numFmtId="3" fontId="9" fillId="28" borderId="31" xfId="117" applyNumberFormat="1" applyFont="1" applyFill="1" applyBorder="1" applyAlignment="1">
      <alignment vertical="center"/>
      <protection/>
    </xf>
    <xf numFmtId="0" fontId="13" fillId="27" borderId="31" xfId="117" applyFont="1" applyFill="1" applyBorder="1" applyAlignment="1">
      <alignment vertical="center"/>
      <protection/>
    </xf>
    <xf numFmtId="0" fontId="6" fillId="28" borderId="0" xfId="117" applyFont="1" applyFill="1" applyBorder="1" applyAlignment="1">
      <alignment vertical="center"/>
      <protection/>
    </xf>
    <xf numFmtId="0" fontId="7" fillId="28" borderId="0" xfId="117" applyFont="1" applyFill="1" applyBorder="1" applyAlignment="1">
      <alignment vertical="center"/>
      <protection/>
    </xf>
    <xf numFmtId="3" fontId="7" fillId="28" borderId="0" xfId="117" applyNumberFormat="1" applyFont="1" applyFill="1" applyBorder="1" applyAlignment="1">
      <alignment vertical="center"/>
      <protection/>
    </xf>
    <xf numFmtId="3" fontId="6" fillId="28" borderId="0" xfId="117" applyNumberFormat="1" applyFont="1" applyFill="1" applyBorder="1" applyAlignment="1">
      <alignment vertical="center"/>
      <protection/>
    </xf>
    <xf numFmtId="0" fontId="6" fillId="0" borderId="0" xfId="117" applyFont="1" applyAlignment="1">
      <alignment horizontal="left" vertical="center"/>
      <protection/>
    </xf>
    <xf numFmtId="0" fontId="6" fillId="0" borderId="0" xfId="117" applyFont="1" applyAlignment="1">
      <alignment horizontal="center" vertical="center"/>
      <protection/>
    </xf>
    <xf numFmtId="0" fontId="13" fillId="0" borderId="36" xfId="117" applyFont="1" applyBorder="1" applyAlignment="1">
      <alignment vertical="center"/>
      <protection/>
    </xf>
    <xf numFmtId="0" fontId="13" fillId="27" borderId="55" xfId="117" applyFont="1" applyFill="1" applyBorder="1" applyAlignment="1">
      <alignment horizontal="center" vertical="center" wrapText="1"/>
      <protection/>
    </xf>
    <xf numFmtId="3" fontId="14" fillId="28" borderId="33" xfId="117" applyNumberFormat="1" applyFont="1" applyFill="1" applyBorder="1" applyAlignment="1">
      <alignment vertical="center"/>
      <protection/>
    </xf>
    <xf numFmtId="3" fontId="8" fillId="28" borderId="33" xfId="102" applyNumberFormat="1" applyFont="1" applyFill="1" applyBorder="1" applyAlignment="1">
      <alignment horizontal="right" vertical="center" wrapText="1"/>
      <protection/>
    </xf>
    <xf numFmtId="3" fontId="13" fillId="0" borderId="33" xfId="117" applyNumberFormat="1" applyFont="1" applyFill="1" applyBorder="1" applyAlignment="1">
      <alignment vertical="center" wrapText="1"/>
      <protection/>
    </xf>
    <xf numFmtId="3" fontId="14" fillId="0" borderId="33" xfId="117" applyNumberFormat="1" applyFont="1" applyFill="1" applyBorder="1" applyAlignment="1">
      <alignment vertical="center" wrapText="1"/>
      <protection/>
    </xf>
    <xf numFmtId="3" fontId="14" fillId="0" borderId="33" xfId="117" applyNumberFormat="1" applyFont="1" applyBorder="1" applyAlignment="1">
      <alignment vertical="center"/>
      <protection/>
    </xf>
    <xf numFmtId="3" fontId="9" fillId="28" borderId="33" xfId="117" applyNumberFormat="1" applyFont="1" applyFill="1" applyBorder="1" applyAlignment="1">
      <alignment vertical="center"/>
      <protection/>
    </xf>
    <xf numFmtId="3" fontId="8" fillId="0" borderId="14" xfId="102" applyNumberFormat="1" applyFont="1" applyFill="1" applyBorder="1" applyAlignment="1">
      <alignment vertical="center"/>
      <protection/>
    </xf>
    <xf numFmtId="0" fontId="14" fillId="0" borderId="14" xfId="117" applyFont="1" applyBorder="1" applyAlignment="1">
      <alignment vertical="center"/>
      <protection/>
    </xf>
    <xf numFmtId="0" fontId="13" fillId="27" borderId="56" xfId="117" applyFont="1" applyFill="1" applyBorder="1" applyAlignment="1">
      <alignment horizontal="center" vertical="center" wrapText="1"/>
      <protection/>
    </xf>
    <xf numFmtId="0" fontId="14" fillId="0" borderId="57" xfId="117" applyFont="1" applyBorder="1" applyAlignment="1">
      <alignment vertical="center"/>
      <protection/>
    </xf>
    <xf numFmtId="3" fontId="14" fillId="0" borderId="14" xfId="117" applyNumberFormat="1" applyFont="1" applyBorder="1" applyAlignment="1">
      <alignment vertical="center"/>
      <protection/>
    </xf>
    <xf numFmtId="0" fontId="9" fillId="4" borderId="14" xfId="0" applyFont="1" applyFill="1" applyBorder="1" applyAlignment="1">
      <alignment horizontal="center" vertical="center" wrapText="1"/>
    </xf>
    <xf numFmtId="0" fontId="8" fillId="0" borderId="23" xfId="114" applyFont="1" applyBorder="1" applyAlignment="1">
      <alignment vertical="center"/>
      <protection/>
    </xf>
    <xf numFmtId="3" fontId="8" fillId="24" borderId="23" xfId="114" applyNumberFormat="1" applyFont="1" applyFill="1" applyBorder="1" applyAlignment="1">
      <alignment vertical="center"/>
      <protection/>
    </xf>
    <xf numFmtId="0" fontId="40" fillId="4" borderId="14" xfId="114" applyFont="1" applyFill="1" applyBorder="1" applyAlignment="1">
      <alignment horizontal="center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3" fontId="14" fillId="0" borderId="23" xfId="118" applyNumberFormat="1" applyFont="1" applyFill="1" applyBorder="1" applyAlignment="1">
      <alignment horizontal="center" vertical="center" wrapText="1"/>
      <protection/>
    </xf>
    <xf numFmtId="3" fontId="13" fillId="0" borderId="16" xfId="118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vertical="center"/>
    </xf>
    <xf numFmtId="3" fontId="13" fillId="0" borderId="23" xfId="118" applyNumberFormat="1" applyFont="1" applyFill="1" applyBorder="1" applyAlignment="1">
      <alignment horizontal="center" vertical="center" wrapText="1"/>
      <protection/>
    </xf>
    <xf numFmtId="3" fontId="14" fillId="0" borderId="58" xfId="118" applyNumberFormat="1" applyFont="1" applyFill="1" applyBorder="1" applyAlignment="1">
      <alignment vertical="center"/>
      <protection/>
    </xf>
    <xf numFmtId="3" fontId="14" fillId="0" borderId="59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vertical="center"/>
    </xf>
    <xf numFmtId="3" fontId="14" fillId="4" borderId="60" xfId="0" applyNumberFormat="1" applyFont="1" applyFill="1" applyBorder="1" applyAlignment="1">
      <alignment vertical="center"/>
    </xf>
    <xf numFmtId="3" fontId="14" fillId="0" borderId="60" xfId="0" applyNumberFormat="1" applyFont="1" applyFill="1" applyBorder="1" applyAlignment="1">
      <alignment vertical="center"/>
    </xf>
    <xf numFmtId="3" fontId="13" fillId="4" borderId="60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4" fillId="0" borderId="60" xfId="0" applyNumberFormat="1" applyFont="1" applyFill="1" applyBorder="1" applyAlignment="1">
      <alignment horizontal="left" vertical="center"/>
    </xf>
    <xf numFmtId="3" fontId="18" fillId="4" borderId="14" xfId="118" applyNumberFormat="1" applyFont="1" applyFill="1" applyBorder="1" applyAlignment="1">
      <alignment horizontal="center" vertical="center" wrapText="1"/>
      <protection/>
    </xf>
    <xf numFmtId="0" fontId="39" fillId="0" borderId="0" xfId="111">
      <alignment/>
      <protection/>
    </xf>
    <xf numFmtId="0" fontId="8" fillId="0" borderId="14" xfId="114" applyFont="1" applyFill="1" applyBorder="1" applyAlignment="1">
      <alignment horizontal="center" vertical="center" wrapText="1"/>
      <protection/>
    </xf>
    <xf numFmtId="0" fontId="39" fillId="0" borderId="14" xfId="111" applyFont="1" applyBorder="1">
      <alignment/>
      <protection/>
    </xf>
    <xf numFmtId="175" fontId="8" fillId="0" borderId="14" xfId="114" applyNumberFormat="1" applyFont="1" applyFill="1" applyBorder="1">
      <alignment/>
      <protection/>
    </xf>
    <xf numFmtId="175" fontId="8" fillId="0" borderId="14" xfId="111" applyNumberFormat="1" applyFont="1" applyBorder="1">
      <alignment/>
      <protection/>
    </xf>
    <xf numFmtId="49" fontId="39" fillId="0" borderId="0" xfId="111" applyNumberFormat="1">
      <alignment/>
      <protection/>
    </xf>
    <xf numFmtId="0" fontId="59" fillId="4" borderId="14" xfId="111" applyFont="1" applyFill="1" applyBorder="1">
      <alignment/>
      <protection/>
    </xf>
    <xf numFmtId="0" fontId="59" fillId="4" borderId="14" xfId="110" applyFont="1" applyFill="1" applyBorder="1" applyAlignment="1">
      <alignment vertical="center"/>
      <protection/>
    </xf>
    <xf numFmtId="175" fontId="60" fillId="4" borderId="14" xfId="111" applyNumberFormat="1" applyFont="1" applyFill="1" applyBorder="1">
      <alignment/>
      <protection/>
    </xf>
    <xf numFmtId="0" fontId="59" fillId="0" borderId="0" xfId="111" applyFont="1">
      <alignment/>
      <protection/>
    </xf>
    <xf numFmtId="0" fontId="0" fillId="0" borderId="0" xfId="109" applyFill="1" applyBorder="1" applyAlignment="1">
      <alignment horizontal="left" vertical="center" wrapText="1"/>
      <protection/>
    </xf>
    <xf numFmtId="175" fontId="39" fillId="0" borderId="0" xfId="111" applyNumberFormat="1">
      <alignment/>
      <protection/>
    </xf>
    <xf numFmtId="0" fontId="0" fillId="0" borderId="0" xfId="109" applyFont="1" applyFill="1" applyBorder="1" applyAlignment="1">
      <alignment horizontal="left" vertical="center" wrapText="1"/>
      <protection/>
    </xf>
    <xf numFmtId="3" fontId="39" fillId="0" borderId="0" xfId="111" applyNumberFormat="1">
      <alignment/>
      <protection/>
    </xf>
    <xf numFmtId="0" fontId="8" fillId="0" borderId="0" xfId="110" applyFont="1" applyFill="1" applyBorder="1" applyAlignment="1">
      <alignment vertical="center"/>
      <protection/>
    </xf>
    <xf numFmtId="0" fontId="8" fillId="0" borderId="0" xfId="110" applyFont="1" applyFill="1" applyBorder="1" applyAlignment="1">
      <alignment vertical="center" wrapText="1"/>
      <protection/>
    </xf>
    <xf numFmtId="0" fontId="8" fillId="0" borderId="0" xfId="114" applyFont="1" applyFill="1" applyBorder="1" applyAlignment="1">
      <alignment vertical="center"/>
      <protection/>
    </xf>
    <xf numFmtId="0" fontId="8" fillId="0" borderId="0" xfId="110" applyFont="1" applyBorder="1" applyAlignment="1">
      <alignment vertical="center"/>
      <protection/>
    </xf>
    <xf numFmtId="3" fontId="13" fillId="4" borderId="61" xfId="0" applyNumberFormat="1" applyFont="1" applyFill="1" applyBorder="1" applyAlignment="1">
      <alignment vertical="center" wrapText="1"/>
    </xf>
    <xf numFmtId="3" fontId="13" fillId="4" borderId="62" xfId="0" applyNumberFormat="1" applyFont="1" applyFill="1" applyBorder="1" applyAlignment="1">
      <alignment vertical="center"/>
    </xf>
    <xf numFmtId="3" fontId="13" fillId="4" borderId="62" xfId="0" applyNumberFormat="1" applyFont="1" applyFill="1" applyBorder="1" applyAlignment="1">
      <alignment vertical="center" wrapText="1"/>
    </xf>
    <xf numFmtId="3" fontId="13" fillId="4" borderId="63" xfId="0" applyNumberFormat="1" applyFont="1" applyFill="1" applyBorder="1" applyAlignment="1">
      <alignment vertical="center" wrapText="1"/>
    </xf>
    <xf numFmtId="3" fontId="13" fillId="4" borderId="64" xfId="0" applyNumberFormat="1" applyFont="1" applyFill="1" applyBorder="1" applyAlignment="1">
      <alignment vertical="center"/>
    </xf>
    <xf numFmtId="3" fontId="13" fillId="4" borderId="64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vertical="center" wrapText="1"/>
    </xf>
    <xf numFmtId="3" fontId="9" fillId="0" borderId="22" xfId="118" applyNumberFormat="1" applyFont="1" applyFill="1" applyBorder="1" applyAlignment="1">
      <alignment horizontal="center" vertical="center" wrapText="1"/>
      <protection/>
    </xf>
    <xf numFmtId="3" fontId="9" fillId="0" borderId="22" xfId="118" applyNumberFormat="1" applyFont="1" applyFill="1" applyBorder="1" applyAlignment="1">
      <alignment horizontal="left" vertical="center" wrapText="1"/>
      <protection/>
    </xf>
    <xf numFmtId="3" fontId="16" fillId="0" borderId="14" xfId="118" applyNumberFormat="1" applyFont="1" applyBorder="1" applyAlignment="1">
      <alignment vertical="center"/>
      <protection/>
    </xf>
    <xf numFmtId="3" fontId="40" fillId="4" borderId="14" xfId="118" applyNumberFormat="1" applyFont="1" applyFill="1" applyBorder="1" applyAlignment="1">
      <alignment horizontal="center" vertical="center" wrapText="1"/>
      <protection/>
    </xf>
    <xf numFmtId="3" fontId="40" fillId="4" borderId="18" xfId="118" applyNumberFormat="1" applyFont="1" applyFill="1" applyBorder="1" applyAlignment="1">
      <alignment horizontal="center" vertical="center" wrapText="1"/>
      <protection/>
    </xf>
    <xf numFmtId="3" fontId="13" fillId="0" borderId="14" xfId="118" applyNumberFormat="1" applyFont="1" applyBorder="1" applyAlignment="1">
      <alignment vertical="center"/>
      <protection/>
    </xf>
    <xf numFmtId="0" fontId="14" fillId="27" borderId="65" xfId="103" applyFont="1" applyFill="1" applyBorder="1" applyAlignment="1">
      <alignment vertical="center"/>
      <protection/>
    </xf>
    <xf numFmtId="0" fontId="13" fillId="27" borderId="48" xfId="103" applyFont="1" applyFill="1" applyBorder="1" applyAlignment="1">
      <alignment horizontal="center" vertical="top"/>
      <protection/>
    </xf>
    <xf numFmtId="3" fontId="13" fillId="27" borderId="30" xfId="103" applyNumberFormat="1" applyFont="1" applyFill="1" applyBorder="1" applyAlignment="1">
      <alignment horizontal="center" vertical="center" wrapText="1"/>
      <protection/>
    </xf>
    <xf numFmtId="3" fontId="13" fillId="27" borderId="49" xfId="103" applyNumberFormat="1" applyFont="1" applyFill="1" applyBorder="1" applyAlignment="1">
      <alignment horizontal="center" vertical="center" wrapText="1"/>
      <protection/>
    </xf>
    <xf numFmtId="0" fontId="17" fillId="0" borderId="31" xfId="103" applyFont="1" applyBorder="1" applyAlignment="1">
      <alignment vertical="center"/>
      <protection/>
    </xf>
    <xf numFmtId="0" fontId="14" fillId="0" borderId="31" xfId="103" applyFont="1" applyBorder="1" applyAlignment="1">
      <alignment vertical="center"/>
      <protection/>
    </xf>
    <xf numFmtId="0" fontId="14" fillId="0" borderId="31" xfId="103" applyFont="1" applyBorder="1" applyAlignment="1">
      <alignment vertical="center" wrapText="1"/>
      <protection/>
    </xf>
    <xf numFmtId="49" fontId="14" fillId="0" borderId="31" xfId="103" applyNumberFormat="1" applyFont="1" applyBorder="1" applyAlignment="1">
      <alignment vertical="center" wrapText="1"/>
      <protection/>
    </xf>
    <xf numFmtId="3" fontId="14" fillId="0" borderId="31" xfId="103" applyNumberFormat="1" applyFont="1" applyBorder="1" applyAlignment="1">
      <alignment vertical="center"/>
      <protection/>
    </xf>
    <xf numFmtId="3" fontId="14" fillId="0" borderId="31" xfId="103" applyNumberFormat="1" applyFont="1" applyFill="1" applyBorder="1" applyAlignment="1">
      <alignment vertical="center"/>
      <protection/>
    </xf>
    <xf numFmtId="0" fontId="14" fillId="0" borderId="43" xfId="103" applyFont="1" applyBorder="1" applyAlignment="1">
      <alignment vertical="center"/>
      <protection/>
    </xf>
    <xf numFmtId="0" fontId="17" fillId="0" borderId="31" xfId="103" applyFont="1" applyBorder="1" applyAlignment="1">
      <alignment vertical="center" wrapText="1"/>
      <protection/>
    </xf>
    <xf numFmtId="0" fontId="14" fillId="0" borderId="31" xfId="103" applyFont="1" applyFill="1" applyBorder="1" applyAlignment="1">
      <alignment vertical="center"/>
      <protection/>
    </xf>
    <xf numFmtId="0" fontId="17" fillId="0" borderId="31" xfId="103" applyFont="1" applyFill="1" applyBorder="1" applyAlignment="1">
      <alignment vertical="center"/>
      <protection/>
    </xf>
    <xf numFmtId="0" fontId="13" fillId="27" borderId="31" xfId="103" applyFont="1" applyFill="1" applyBorder="1" applyAlignment="1">
      <alignment vertical="center"/>
      <protection/>
    </xf>
    <xf numFmtId="3" fontId="13" fillId="27" borderId="31" xfId="103" applyNumberFormat="1" applyFont="1" applyFill="1" applyBorder="1" applyAlignment="1">
      <alignment vertical="center"/>
      <protection/>
    </xf>
    <xf numFmtId="3" fontId="13" fillId="27" borderId="66" xfId="103" applyNumberFormat="1" applyFont="1" applyFill="1" applyBorder="1" applyAlignment="1">
      <alignment horizontal="center" vertical="center" wrapText="1"/>
      <protection/>
    </xf>
    <xf numFmtId="3" fontId="13" fillId="27" borderId="33" xfId="103" applyNumberFormat="1" applyFont="1" applyFill="1" applyBorder="1" applyAlignment="1">
      <alignment vertical="center"/>
      <protection/>
    </xf>
    <xf numFmtId="3" fontId="13" fillId="27" borderId="14" xfId="103" applyNumberFormat="1" applyFont="1" applyFill="1" applyBorder="1" applyAlignment="1">
      <alignment horizontal="center" vertical="center" wrapText="1"/>
      <protection/>
    </xf>
    <xf numFmtId="3" fontId="14" fillId="0" borderId="33" xfId="103" applyNumberFormat="1" applyFont="1" applyFill="1" applyBorder="1" applyAlignment="1">
      <alignment vertical="center"/>
      <protection/>
    </xf>
    <xf numFmtId="4" fontId="14" fillId="0" borderId="31" xfId="103" applyNumberFormat="1" applyFont="1" applyFill="1" applyBorder="1" applyAlignment="1">
      <alignment vertical="center"/>
      <protection/>
    </xf>
    <xf numFmtId="179" fontId="14" fillId="0" borderId="31" xfId="103" applyNumberFormat="1" applyFont="1" applyFill="1" applyBorder="1" applyAlignment="1">
      <alignment vertical="center"/>
      <protection/>
    </xf>
    <xf numFmtId="3" fontId="68" fillId="0" borderId="31" xfId="103" applyNumberFormat="1" applyFont="1" applyFill="1" applyBorder="1" applyAlignment="1">
      <alignment vertical="center"/>
      <protection/>
    </xf>
    <xf numFmtId="196" fontId="14" fillId="0" borderId="31" xfId="103" applyNumberFormat="1" applyFont="1" applyFill="1" applyBorder="1" applyAlignment="1">
      <alignment vertical="center"/>
      <protection/>
    </xf>
    <xf numFmtId="3" fontId="14" fillId="0" borderId="31" xfId="103" applyNumberFormat="1" applyFont="1" applyBorder="1" applyAlignment="1">
      <alignment horizontal="right" vertical="center"/>
      <protection/>
    </xf>
    <xf numFmtId="179" fontId="14" fillId="0" borderId="31" xfId="103" applyNumberFormat="1" applyFont="1" applyBorder="1" applyAlignment="1">
      <alignment vertical="center"/>
      <protection/>
    </xf>
    <xf numFmtId="0" fontId="17" fillId="0" borderId="43" xfId="103" applyFont="1" applyBorder="1" applyAlignment="1">
      <alignment vertical="center"/>
      <protection/>
    </xf>
    <xf numFmtId="3" fontId="14" fillId="0" borderId="31" xfId="103" applyNumberFormat="1" applyFont="1" applyFill="1" applyBorder="1" applyAlignment="1">
      <alignment horizontal="right" vertical="center"/>
      <protection/>
    </xf>
    <xf numFmtId="3" fontId="70" fillId="0" borderId="31" xfId="103" applyNumberFormat="1" applyFont="1" applyBorder="1" applyAlignment="1">
      <alignment vertical="center"/>
      <protection/>
    </xf>
    <xf numFmtId="175" fontId="39" fillId="0" borderId="14" xfId="111" applyNumberFormat="1" applyFont="1" applyBorder="1">
      <alignment/>
      <protection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vertical="center" wrapText="1"/>
    </xf>
    <xf numFmtId="0" fontId="14" fillId="0" borderId="17" xfId="114" applyFont="1" applyBorder="1" applyAlignment="1">
      <alignment vertical="center" wrapText="1"/>
      <protection/>
    </xf>
    <xf numFmtId="0" fontId="8" fillId="0" borderId="17" xfId="92" applyFont="1" applyFill="1" applyBorder="1" applyAlignment="1">
      <alignment vertical="center" wrapText="1"/>
      <protection/>
    </xf>
    <xf numFmtId="49" fontId="14" fillId="0" borderId="34" xfId="106" applyNumberFormat="1" applyFont="1" applyBorder="1" applyAlignment="1">
      <alignment horizontal="left" vertical="center" wrapText="1"/>
      <protection/>
    </xf>
    <xf numFmtId="0" fontId="8" fillId="0" borderId="17" xfId="99" applyFont="1" applyFill="1" applyBorder="1" applyAlignment="1">
      <alignment vertical="center" wrapText="1"/>
      <protection/>
    </xf>
    <xf numFmtId="0" fontId="8" fillId="0" borderId="40" xfId="105" applyFont="1" applyFill="1" applyBorder="1" applyAlignment="1">
      <alignment vertical="top" wrapText="1"/>
      <protection/>
    </xf>
    <xf numFmtId="49" fontId="8" fillId="0" borderId="33" xfId="112" applyNumberFormat="1" applyFont="1" applyFill="1" applyBorder="1" applyAlignment="1">
      <alignment vertical="top" wrapText="1"/>
      <protection/>
    </xf>
    <xf numFmtId="3" fontId="14" fillId="0" borderId="18" xfId="118" applyNumberFormat="1" applyFont="1" applyFill="1" applyBorder="1" applyAlignment="1">
      <alignment vertical="center"/>
      <protection/>
    </xf>
    <xf numFmtId="0" fontId="16" fillId="0" borderId="17" xfId="93" applyFont="1" applyBorder="1" applyAlignment="1">
      <alignment vertical="center"/>
      <protection/>
    </xf>
    <xf numFmtId="3" fontId="16" fillId="0" borderId="17" xfId="0" applyNumberFormat="1" applyFont="1" applyFill="1" applyBorder="1" applyAlignment="1">
      <alignment vertical="center"/>
    </xf>
    <xf numFmtId="0" fontId="14" fillId="0" borderId="17" xfId="114" applyFont="1" applyFill="1" applyBorder="1" applyAlignment="1">
      <alignment vertical="center" wrapText="1"/>
      <protection/>
    </xf>
    <xf numFmtId="49" fontId="14" fillId="0" borderId="17" xfId="0" applyNumberFormat="1" applyFont="1" applyBorder="1" applyAlignment="1">
      <alignment vertical="center"/>
    </xf>
    <xf numFmtId="0" fontId="14" fillId="0" borderId="18" xfId="114" applyFont="1" applyFill="1" applyBorder="1" applyAlignment="1">
      <alignment vertical="center"/>
      <protection/>
    </xf>
    <xf numFmtId="0" fontId="8" fillId="0" borderId="14" xfId="116" applyFont="1" applyFill="1" applyBorder="1" applyAlignment="1">
      <alignment vertical="center" wrapText="1"/>
      <protection/>
    </xf>
    <xf numFmtId="3" fontId="8" fillId="0" borderId="18" xfId="114" applyNumberFormat="1" applyFont="1" applyFill="1" applyBorder="1" applyAlignment="1">
      <alignment vertical="center"/>
      <protection/>
    </xf>
    <xf numFmtId="0" fontId="8" fillId="0" borderId="14" xfId="114" applyFont="1" applyBorder="1" applyAlignment="1">
      <alignment vertical="center" wrapText="1"/>
      <protection/>
    </xf>
    <xf numFmtId="3" fontId="14" fillId="0" borderId="18" xfId="0" applyNumberFormat="1" applyFont="1" applyFill="1" applyBorder="1" applyAlignment="1">
      <alignment horizontal="right" vertical="center" wrapText="1"/>
    </xf>
    <xf numFmtId="0" fontId="8" fillId="0" borderId="17" xfId="114" applyFont="1" applyBorder="1" applyAlignment="1">
      <alignment vertical="center" wrapText="1"/>
      <protection/>
    </xf>
    <xf numFmtId="3" fontId="8" fillId="0" borderId="17" xfId="0" applyNumberFormat="1" applyFont="1" applyBorder="1" applyAlignment="1">
      <alignment vertical="center" wrapText="1"/>
    </xf>
    <xf numFmtId="0" fontId="8" fillId="0" borderId="17" xfId="97" applyFont="1" applyFill="1" applyBorder="1" applyAlignment="1">
      <alignment vertical="center" wrapText="1"/>
      <protection/>
    </xf>
    <xf numFmtId="0" fontId="14" fillId="0" borderId="14" xfId="114" applyFont="1" applyBorder="1" applyAlignment="1">
      <alignment vertical="center" wrapText="1"/>
      <protection/>
    </xf>
    <xf numFmtId="3" fontId="14" fillId="0" borderId="18" xfId="0" applyNumberFormat="1" applyFont="1" applyFill="1" applyBorder="1" applyAlignment="1">
      <alignment vertical="center" wrapText="1"/>
    </xf>
    <xf numFmtId="3" fontId="14" fillId="26" borderId="17" xfId="0" applyNumberFormat="1" applyFont="1" applyFill="1" applyBorder="1" applyAlignment="1">
      <alignment horizontal="left" vertical="center"/>
    </xf>
    <xf numFmtId="3" fontId="8" fillId="0" borderId="14" xfId="110" applyNumberFormat="1" applyFont="1" applyBorder="1" applyAlignment="1">
      <alignment horizontal="right" vertical="center"/>
      <protection/>
    </xf>
    <xf numFmtId="3" fontId="14" fillId="0" borderId="16" xfId="0" applyNumberFormat="1" applyFont="1" applyFill="1" applyBorder="1" applyAlignment="1">
      <alignment horizontal="left" vertical="center"/>
    </xf>
    <xf numFmtId="3" fontId="14" fillId="0" borderId="14" xfId="118" applyNumberFormat="1" applyFont="1" applyFill="1" applyBorder="1" applyAlignment="1">
      <alignment vertical="center" wrapText="1"/>
      <protection/>
    </xf>
    <xf numFmtId="0" fontId="2" fillId="0" borderId="18" xfId="0" applyFont="1" applyBorder="1" applyAlignment="1">
      <alignment horizontal="left" vertical="center" wrapText="1"/>
    </xf>
    <xf numFmtId="3" fontId="8" fillId="0" borderId="32" xfId="112" applyNumberFormat="1" applyFont="1" applyFill="1" applyBorder="1" applyAlignment="1">
      <alignment horizontal="left" vertical="center" wrapText="1"/>
      <protection/>
    </xf>
    <xf numFmtId="0" fontId="8" fillId="0" borderId="32" xfId="102" applyFont="1" applyFill="1" applyBorder="1" applyAlignment="1">
      <alignment vertical="center"/>
      <protection/>
    </xf>
    <xf numFmtId="0" fontId="5" fillId="0" borderId="32" xfId="102" applyFont="1" applyBorder="1">
      <alignment/>
      <protection/>
    </xf>
    <xf numFmtId="0" fontId="8" fillId="28" borderId="32" xfId="102" applyFont="1" applyFill="1" applyBorder="1" applyAlignment="1">
      <alignment vertical="top"/>
      <protection/>
    </xf>
    <xf numFmtId="0" fontId="8" fillId="28" borderId="32" xfId="102" applyFont="1" applyFill="1" applyBorder="1" applyAlignment="1">
      <alignment vertical="center"/>
      <protection/>
    </xf>
    <xf numFmtId="0" fontId="8" fillId="27" borderId="32" xfId="102" applyFont="1" applyFill="1" applyBorder="1" applyAlignment="1">
      <alignment vertical="center"/>
      <protection/>
    </xf>
    <xf numFmtId="0" fontId="8" fillId="0" borderId="32" xfId="102" applyFont="1" applyFill="1" applyBorder="1" applyAlignment="1">
      <alignment horizontal="left" vertical="center"/>
      <protection/>
    </xf>
    <xf numFmtId="0" fontId="8" fillId="0" borderId="32" xfId="117" applyFont="1" applyFill="1" applyBorder="1" applyAlignment="1">
      <alignment vertical="center"/>
      <protection/>
    </xf>
    <xf numFmtId="0" fontId="8" fillId="0" borderId="32" xfId="102" applyFont="1" applyBorder="1" applyAlignment="1">
      <alignment vertical="center"/>
      <protection/>
    </xf>
    <xf numFmtId="0" fontId="8" fillId="0" borderId="42" xfId="102" applyFont="1" applyFill="1" applyBorder="1" applyAlignment="1">
      <alignment horizontal="left" vertical="center"/>
      <protection/>
    </xf>
    <xf numFmtId="0" fontId="8" fillId="27" borderId="32" xfId="102" applyFont="1" applyFill="1" applyBorder="1" applyAlignment="1">
      <alignment horizontal="left" vertical="center"/>
      <protection/>
    </xf>
    <xf numFmtId="0" fontId="8" fillId="28" borderId="32" xfId="102" applyFont="1" applyFill="1" applyBorder="1" applyAlignment="1">
      <alignment horizontal="left" vertical="center"/>
      <protection/>
    </xf>
    <xf numFmtId="0" fontId="8" fillId="27" borderId="32" xfId="102" applyFont="1" applyFill="1" applyBorder="1">
      <alignment/>
      <protection/>
    </xf>
    <xf numFmtId="0" fontId="8" fillId="0" borderId="31" xfId="112" applyFont="1" applyFill="1" applyBorder="1" applyAlignment="1">
      <alignment horizontal="left" vertical="center" wrapText="1"/>
      <protection/>
    </xf>
    <xf numFmtId="3" fontId="8" fillId="0" borderId="31" xfId="112" applyNumberFormat="1" applyFont="1" applyFill="1" applyBorder="1" applyAlignment="1">
      <alignment horizontal="left" vertical="center" wrapText="1"/>
      <protection/>
    </xf>
    <xf numFmtId="0" fontId="5" fillId="0" borderId="31" xfId="102" applyFont="1" applyBorder="1">
      <alignment/>
      <protection/>
    </xf>
    <xf numFmtId="0" fontId="14" fillId="0" borderId="42" xfId="117" applyFont="1" applyFill="1" applyBorder="1" applyAlignment="1">
      <alignment vertical="center"/>
      <protection/>
    </xf>
    <xf numFmtId="0" fontId="14" fillId="27" borderId="32" xfId="117" applyFont="1" applyFill="1" applyBorder="1" applyAlignment="1">
      <alignment vertical="center"/>
      <protection/>
    </xf>
    <xf numFmtId="0" fontId="64" fillId="0" borderId="32" xfId="102" applyFont="1" applyFill="1" applyBorder="1" applyAlignment="1">
      <alignment horizontal="left" vertical="center"/>
      <protection/>
    </xf>
    <xf numFmtId="0" fontId="14" fillId="28" borderId="32" xfId="117" applyFont="1" applyFill="1" applyBorder="1" applyAlignment="1">
      <alignment vertical="center"/>
      <protection/>
    </xf>
    <xf numFmtId="0" fontId="8" fillId="27" borderId="32" xfId="117" applyFont="1" applyFill="1" applyBorder="1" applyAlignment="1">
      <alignment vertical="center" wrapText="1"/>
      <protection/>
    </xf>
    <xf numFmtId="0" fontId="8" fillId="27" borderId="32" xfId="117" applyFont="1" applyFill="1" applyBorder="1" applyAlignment="1">
      <alignment vertical="center"/>
      <protection/>
    </xf>
    <xf numFmtId="0" fontId="14" fillId="0" borderId="14" xfId="114" applyFont="1" applyFill="1" applyBorder="1" applyAlignment="1">
      <alignment vertical="center" wrapText="1"/>
      <protection/>
    </xf>
    <xf numFmtId="3" fontId="16" fillId="0" borderId="14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3" fontId="14" fillId="26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13" fillId="4" borderId="14" xfId="117" applyNumberFormat="1" applyFont="1" applyFill="1" applyBorder="1" applyAlignment="1">
      <alignment vertical="center"/>
      <protection/>
    </xf>
    <xf numFmtId="3" fontId="9" fillId="27" borderId="67" xfId="117" applyNumberFormat="1" applyFont="1" applyFill="1" applyBorder="1" applyAlignment="1">
      <alignment vertical="center"/>
      <protection/>
    </xf>
    <xf numFmtId="3" fontId="14" fillId="0" borderId="32" xfId="112" applyNumberFormat="1" applyFont="1" applyFill="1" applyBorder="1" applyAlignment="1">
      <alignment horizontal="left" vertical="center" wrapText="1"/>
      <protection/>
    </xf>
    <xf numFmtId="0" fontId="14" fillId="0" borderId="31" xfId="117" applyFont="1" applyFill="1" applyBorder="1" applyAlignment="1">
      <alignment vertical="center"/>
      <protection/>
    </xf>
    <xf numFmtId="0" fontId="6" fillId="0" borderId="31" xfId="117" applyFont="1" applyBorder="1" applyAlignment="1">
      <alignment vertical="center"/>
      <protection/>
    </xf>
    <xf numFmtId="0" fontId="14" fillId="0" borderId="33" xfId="95" applyFont="1" applyFill="1" applyBorder="1" applyAlignment="1">
      <alignment horizontal="left" vertical="center" wrapText="1"/>
      <protection/>
    </xf>
    <xf numFmtId="49" fontId="8" fillId="0" borderId="17" xfId="114" applyNumberFormat="1" applyFont="1" applyBorder="1" applyAlignment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left" vertical="center"/>
    </xf>
    <xf numFmtId="3" fontId="14" fillId="0" borderId="67" xfId="103" applyNumberFormat="1" applyFont="1" applyFill="1" applyBorder="1" applyAlignment="1">
      <alignment vertical="center"/>
      <protection/>
    </xf>
    <xf numFmtId="3" fontId="14" fillId="0" borderId="31" xfId="112" applyNumberFormat="1" applyFont="1" applyFill="1" applyBorder="1" applyAlignment="1">
      <alignment horizontal="left" vertical="center"/>
      <protection/>
    </xf>
    <xf numFmtId="0" fontId="8" fillId="0" borderId="31" xfId="102" applyFont="1" applyFill="1" applyBorder="1" applyAlignment="1">
      <alignment horizontal="left" vertical="center"/>
      <protection/>
    </xf>
    <xf numFmtId="3" fontId="14" fillId="0" borderId="23" xfId="0" applyNumberFormat="1" applyFont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3" fontId="14" fillId="26" borderId="15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62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3" fontId="13" fillId="27" borderId="63" xfId="103" applyNumberFormat="1" applyFont="1" applyFill="1" applyBorder="1" applyAlignment="1">
      <alignment horizontal="center" vertical="center"/>
      <protection/>
    </xf>
    <xf numFmtId="3" fontId="13" fillId="27" borderId="68" xfId="103" applyNumberFormat="1" applyFont="1" applyFill="1" applyBorder="1" applyAlignment="1">
      <alignment horizontal="center" vertical="center"/>
      <protection/>
    </xf>
    <xf numFmtId="3" fontId="13" fillId="27" borderId="14" xfId="103" applyNumberFormat="1" applyFont="1" applyFill="1" applyBorder="1" applyAlignment="1">
      <alignment horizontal="center" vertical="center"/>
      <protection/>
    </xf>
    <xf numFmtId="0" fontId="2" fillId="4" borderId="14" xfId="0" applyFont="1" applyFill="1" applyBorder="1" applyAlignment="1">
      <alignment horizontal="center" vertical="center" wrapText="1"/>
    </xf>
    <xf numFmtId="0" fontId="13" fillId="4" borderId="14" xfId="93" applyFont="1" applyFill="1" applyBorder="1" applyAlignment="1">
      <alignment horizontal="center" vertical="center" wrapText="1"/>
      <protection/>
    </xf>
    <xf numFmtId="0" fontId="2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3" fontId="18" fillId="4" borderId="69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4" borderId="33" xfId="102" applyFont="1" applyFill="1" applyBorder="1" applyAlignment="1">
      <alignment horizontal="center" vertical="center" wrapText="1"/>
      <protection/>
    </xf>
    <xf numFmtId="0" fontId="9" fillId="4" borderId="41" xfId="102" applyFont="1" applyFill="1" applyBorder="1" applyAlignment="1">
      <alignment horizontal="center" vertical="center" wrapText="1"/>
      <protection/>
    </xf>
    <xf numFmtId="0" fontId="9" fillId="4" borderId="32" xfId="102" applyFont="1" applyFill="1" applyBorder="1" applyAlignment="1">
      <alignment horizontal="center" vertical="center" wrapText="1"/>
      <protection/>
    </xf>
    <xf numFmtId="0" fontId="40" fillId="27" borderId="45" xfId="102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 wrapText="1"/>
    </xf>
    <xf numFmtId="0" fontId="9" fillId="27" borderId="44" xfId="102" applyFont="1" applyFill="1" applyBorder="1" applyAlignment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9" fillId="27" borderId="45" xfId="102" applyFont="1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27" borderId="46" xfId="102" applyFont="1" applyFill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9" fillId="27" borderId="72" xfId="102" applyFont="1" applyFill="1" applyBorder="1" applyAlignment="1">
      <alignment horizontal="center" vertical="center"/>
      <protection/>
    </xf>
    <xf numFmtId="0" fontId="9" fillId="4" borderId="31" xfId="102" applyFont="1" applyFill="1" applyBorder="1" applyAlignment="1">
      <alignment horizontal="center" vertical="center" wrapText="1"/>
      <protection/>
    </xf>
    <xf numFmtId="0" fontId="13" fillId="4" borderId="17" xfId="117" applyFont="1" applyFill="1" applyBorder="1" applyAlignment="1">
      <alignment horizontal="center" vertical="center" wrapText="1"/>
      <protection/>
    </xf>
    <xf numFmtId="0" fontId="13" fillId="4" borderId="15" xfId="117" applyFont="1" applyFill="1" applyBorder="1" applyAlignment="1">
      <alignment horizontal="center" vertical="center" wrapText="1"/>
      <protection/>
    </xf>
    <xf numFmtId="0" fontId="13" fillId="4" borderId="18" xfId="117" applyFont="1" applyFill="1" applyBorder="1" applyAlignment="1">
      <alignment horizontal="center" vertical="center" wrapText="1"/>
      <protection/>
    </xf>
    <xf numFmtId="3" fontId="16" fillId="0" borderId="33" xfId="112" applyNumberFormat="1" applyFont="1" applyBorder="1" applyAlignment="1">
      <alignment vertical="center"/>
      <protection/>
    </xf>
    <xf numFmtId="3" fontId="16" fillId="0" borderId="32" xfId="112" applyNumberFormat="1" applyFont="1" applyBorder="1" applyAlignment="1">
      <alignment vertical="center"/>
      <protection/>
    </xf>
    <xf numFmtId="0" fontId="13" fillId="27" borderId="73" xfId="117" applyFont="1" applyFill="1" applyBorder="1" applyAlignment="1">
      <alignment horizontal="center" vertical="center"/>
      <protection/>
    </xf>
    <xf numFmtId="0" fontId="13" fillId="27" borderId="45" xfId="117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9" fillId="4" borderId="14" xfId="110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5" xfId="110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wrapText="1"/>
    </xf>
    <xf numFmtId="0" fontId="40" fillId="4" borderId="25" xfId="110" applyFont="1" applyFill="1" applyBorder="1" applyAlignment="1">
      <alignment horizontal="center" vertical="center" wrapText="1"/>
      <protection/>
    </xf>
    <xf numFmtId="0" fontId="40" fillId="4" borderId="23" xfId="110" applyFont="1" applyFill="1" applyBorder="1" applyAlignment="1">
      <alignment horizontal="center" vertical="center" wrapText="1"/>
      <protection/>
    </xf>
    <xf numFmtId="0" fontId="9" fillId="4" borderId="17" xfId="114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17" xfId="11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4" borderId="25" xfId="114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4" fillId="0" borderId="17" xfId="118" applyNumberFormat="1" applyFont="1" applyFill="1" applyBorder="1" applyAlignment="1">
      <alignment vertical="center" wrapText="1"/>
      <protection/>
    </xf>
    <xf numFmtId="3" fontId="14" fillId="0" borderId="18" xfId="118" applyNumberFormat="1" applyFont="1" applyFill="1" applyBorder="1" applyAlignment="1">
      <alignment vertical="center" wrapText="1"/>
      <protection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3" fontId="14" fillId="0" borderId="17" xfId="118" applyNumberFormat="1" applyFont="1" applyFill="1" applyBorder="1" applyAlignment="1">
      <alignment horizontal="left" vertical="center"/>
      <protection/>
    </xf>
    <xf numFmtId="3" fontId="14" fillId="0" borderId="18" xfId="118" applyNumberFormat="1" applyFont="1" applyFill="1" applyBorder="1" applyAlignment="1">
      <alignment horizontal="left" vertical="center"/>
      <protection/>
    </xf>
    <xf numFmtId="3" fontId="14" fillId="0" borderId="17" xfId="118" applyNumberFormat="1" applyFont="1" applyFill="1" applyBorder="1" applyAlignment="1">
      <alignment vertical="center"/>
      <protection/>
    </xf>
    <xf numFmtId="3" fontId="14" fillId="0" borderId="18" xfId="118" applyNumberFormat="1" applyFont="1" applyFill="1" applyBorder="1" applyAlignment="1">
      <alignment vertical="center"/>
      <protection/>
    </xf>
    <xf numFmtId="3" fontId="16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horizontal="left" vertical="center"/>
    </xf>
    <xf numFmtId="3" fontId="69" fillId="4" borderId="74" xfId="0" applyNumberFormat="1" applyFont="1" applyFill="1" applyBorder="1" applyAlignment="1">
      <alignment horizontal="center" vertical="center" wrapText="1"/>
    </xf>
    <xf numFmtId="0" fontId="40" fillId="4" borderId="60" xfId="0" applyFont="1" applyFill="1" applyBorder="1" applyAlignment="1">
      <alignment horizontal="center" vertical="center"/>
    </xf>
    <xf numFmtId="0" fontId="13" fillId="4" borderId="17" xfId="93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3" fontId="13" fillId="0" borderId="57" xfId="0" applyNumberFormat="1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4" fillId="0" borderId="17" xfId="98" applyFont="1" applyFill="1" applyBorder="1" applyAlignment="1">
      <alignment vertical="center"/>
      <protection/>
    </xf>
    <xf numFmtId="0" fontId="41" fillId="0" borderId="15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horizontal="left" vertical="center"/>
    </xf>
    <xf numFmtId="3" fontId="14" fillId="0" borderId="15" xfId="0" applyNumberFormat="1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3" fontId="14" fillId="0" borderId="17" xfId="118" applyNumberFormat="1" applyFont="1" applyBorder="1" applyAlignment="1">
      <alignment horizontal="left" vertical="center"/>
      <protection/>
    </xf>
    <xf numFmtId="3" fontId="14" fillId="0" borderId="18" xfId="118" applyNumberFormat="1" applyFont="1" applyBorder="1" applyAlignment="1">
      <alignment horizontal="left" vertical="center"/>
      <protection/>
    </xf>
    <xf numFmtId="0" fontId="0" fillId="0" borderId="18" xfId="0" applyFill="1" applyBorder="1" applyAlignment="1">
      <alignment vertical="center" wrapText="1"/>
    </xf>
    <xf numFmtId="0" fontId="14" fillId="0" borderId="17" xfId="114" applyFont="1" applyBorder="1" applyAlignment="1">
      <alignment vertical="center"/>
      <protection/>
    </xf>
    <xf numFmtId="0" fontId="14" fillId="0" borderId="18" xfId="114" applyFont="1" applyBorder="1" applyAlignment="1">
      <alignment vertical="center"/>
      <protection/>
    </xf>
    <xf numFmtId="3" fontId="14" fillId="0" borderId="15" xfId="0" applyNumberFormat="1" applyFont="1" applyBorder="1" applyAlignment="1">
      <alignment vertic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vertical="center" wrapText="1"/>
    </xf>
    <xf numFmtId="0" fontId="8" fillId="0" borderId="17" xfId="114" applyFont="1" applyFill="1" applyBorder="1" applyAlignment="1">
      <alignment vertical="center" wrapText="1"/>
      <protection/>
    </xf>
    <xf numFmtId="3" fontId="14" fillId="0" borderId="58" xfId="104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17" xfId="114" applyFont="1" applyFill="1" applyBorder="1" applyAlignment="1">
      <alignment vertical="center"/>
      <protection/>
    </xf>
    <xf numFmtId="0" fontId="14" fillId="0" borderId="15" xfId="114" applyFont="1" applyFill="1" applyBorder="1" applyAlignment="1">
      <alignment vertical="center"/>
      <protection/>
    </xf>
    <xf numFmtId="0" fontId="14" fillId="0" borderId="15" xfId="0" applyFont="1" applyBorder="1" applyAlignment="1">
      <alignment vertical="center"/>
    </xf>
    <xf numFmtId="0" fontId="14" fillId="0" borderId="17" xfId="114" applyFont="1" applyBorder="1" applyAlignment="1">
      <alignment vertical="center" wrapText="1"/>
      <protection/>
    </xf>
    <xf numFmtId="0" fontId="14" fillId="0" borderId="15" xfId="114" applyFont="1" applyBorder="1" applyAlignment="1">
      <alignment vertical="center" wrapText="1"/>
      <protection/>
    </xf>
    <xf numFmtId="3" fontId="14" fillId="0" borderId="17" xfId="115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0" fontId="14" fillId="0" borderId="15" xfId="114" applyFont="1" applyBorder="1" applyAlignment="1">
      <alignment vertical="center"/>
      <protection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3" fontId="14" fillId="0" borderId="17" xfId="118" applyNumberFormat="1" applyFont="1" applyFill="1" applyBorder="1" applyAlignment="1">
      <alignment horizontal="left" vertical="center" wrapText="1"/>
      <protection/>
    </xf>
    <xf numFmtId="3" fontId="14" fillId="0" borderId="15" xfId="118" applyNumberFormat="1" applyFont="1" applyFill="1" applyBorder="1" applyAlignment="1">
      <alignment horizontal="left" vertical="center" wrapText="1"/>
      <protection/>
    </xf>
    <xf numFmtId="0" fontId="14" fillId="0" borderId="15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3" fontId="14" fillId="26" borderId="17" xfId="0" applyNumberFormat="1" applyFont="1" applyFill="1" applyBorder="1" applyAlignment="1">
      <alignment horizontal="left" vertical="center"/>
    </xf>
    <xf numFmtId="3" fontId="14" fillId="26" borderId="15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3" fontId="14" fillId="0" borderId="18" xfId="0" applyNumberFormat="1" applyFont="1" applyBorder="1" applyAlignment="1">
      <alignment horizontal="left" vertical="center"/>
    </xf>
    <xf numFmtId="0" fontId="14" fillId="0" borderId="17" xfId="114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 wrapText="1"/>
    </xf>
    <xf numFmtId="3" fontId="18" fillId="4" borderId="75" xfId="118" applyNumberFormat="1" applyFont="1" applyFill="1" applyBorder="1" applyAlignment="1">
      <alignment horizontal="center" vertical="center" wrapText="1"/>
      <protection/>
    </xf>
    <xf numFmtId="3" fontId="18" fillId="4" borderId="10" xfId="118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/>
    </xf>
    <xf numFmtId="3" fontId="18" fillId="4" borderId="11" xfId="118" applyNumberFormat="1" applyFont="1" applyFill="1" applyBorder="1" applyAlignment="1">
      <alignment horizontal="center" vertical="center" wrapText="1"/>
      <protection/>
    </xf>
    <xf numFmtId="3" fontId="18" fillId="4" borderId="77" xfId="118" applyNumberFormat="1" applyFont="1" applyFill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18" fillId="4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3" fontId="40" fillId="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3" fontId="14" fillId="0" borderId="17" xfId="0" applyNumberFormat="1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left" vertical="center" wrapText="1"/>
    </xf>
    <xf numFmtId="0" fontId="14" fillId="24" borderId="17" xfId="93" applyFont="1" applyFill="1" applyBorder="1" applyAlignment="1">
      <alignment horizontal="left" vertical="center" wrapText="1"/>
      <protection/>
    </xf>
    <xf numFmtId="0" fontId="14" fillId="24" borderId="15" xfId="93" applyFont="1" applyFill="1" applyBorder="1" applyAlignment="1">
      <alignment horizontal="left" vertical="center" wrapText="1"/>
      <protection/>
    </xf>
    <xf numFmtId="0" fontId="63" fillId="24" borderId="17" xfId="93" applyFont="1" applyFill="1" applyBorder="1" applyAlignment="1">
      <alignment horizontal="left" vertical="center" wrapText="1"/>
      <protection/>
    </xf>
    <xf numFmtId="0" fontId="63" fillId="24" borderId="15" xfId="93" applyFont="1" applyFill="1" applyBorder="1" applyAlignment="1">
      <alignment horizontal="left" vertical="center" wrapText="1"/>
      <protection/>
    </xf>
    <xf numFmtId="0" fontId="14" fillId="0" borderId="15" xfId="0" applyFont="1" applyFill="1" applyBorder="1" applyAlignment="1">
      <alignment vertical="center"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Másolat eredetije2014. műk-beru-felúj." xfId="102"/>
    <cellStyle name="Normál_  3   _2010.évi állami" xfId="103"/>
    <cellStyle name="Normál_2012. évi beszámoló 5.a 6a" xfId="104"/>
    <cellStyle name="Normál_2012_költségvetés_MCS_111215_Másolat eredetije2014. műk-beru-felúj." xfId="105"/>
    <cellStyle name="Normál_213_évi_költségvetés_MCS" xfId="106"/>
    <cellStyle name="Normál_7_Másolat eredetije2014. műk-beru-felúj." xfId="107"/>
    <cellStyle name="Normál_8_Másolat eredetije2014. műk-beru-felúj." xfId="108"/>
    <cellStyle name="Normál_Intézmények 2014" xfId="109"/>
    <cellStyle name="Normál_INTKIA96" xfId="110"/>
    <cellStyle name="Normál_Létszám 2014. évi ktgvetés" xfId="111"/>
    <cellStyle name="Normál_Másolat eredetije2014. műk-beru-felúj." xfId="112"/>
    <cellStyle name="Normál_Munka1" xfId="113"/>
    <cellStyle name="Normál_Munka2 (2)" xfId="114"/>
    <cellStyle name="Normál_Munka2 (2)_2012. évi beszámoló 5.a 6a" xfId="115"/>
    <cellStyle name="Normál_Munka3 (2)" xfId="116"/>
    <cellStyle name="Normál_Munka3 (2)_Másolat eredetije2014. műk-beru-felúj." xfId="117"/>
    <cellStyle name="Normál_ÖKIADELÖ" xfId="118"/>
    <cellStyle name="Normál_ÖKIADELÖ_Másolat eredetije2014. műk-beru-felúj." xfId="119"/>
    <cellStyle name="Normal_tanusitv" xfId="120"/>
    <cellStyle name="Note" xfId="121"/>
    <cellStyle name="Output" xfId="122"/>
    <cellStyle name="Összesen" xfId="123"/>
    <cellStyle name="Currency" xfId="124"/>
    <cellStyle name="Currency [0]" xfId="125"/>
    <cellStyle name="Rossz" xfId="126"/>
    <cellStyle name="Semleges" xfId="127"/>
    <cellStyle name="Számítás" xfId="128"/>
    <cellStyle name="Percent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4">
      <selection activeCell="H14" sqref="H14:H15"/>
    </sheetView>
  </sheetViews>
  <sheetFormatPr defaultColWidth="9.00390625" defaultRowHeight="12.75"/>
  <cols>
    <col min="1" max="1" width="39.625" style="100" customWidth="1"/>
    <col min="2" max="3" width="13.625" style="100" customWidth="1"/>
    <col min="4" max="4" width="12.625" style="17" customWidth="1"/>
    <col min="5" max="5" width="2.00390625" style="99" customWidth="1"/>
    <col min="6" max="6" width="40.125" style="100" customWidth="1"/>
    <col min="7" max="7" width="11.00390625" style="100" customWidth="1"/>
    <col min="8" max="8" width="13.875" style="100" customWidth="1"/>
    <col min="9" max="9" width="12.50390625" style="17" customWidth="1"/>
    <col min="10" max="16384" width="9.375" style="49" customWidth="1"/>
  </cols>
  <sheetData>
    <row r="1" spans="1:9" s="88" customFormat="1" ht="39.75" customHeight="1" thickBot="1">
      <c r="A1" s="84" t="s">
        <v>327</v>
      </c>
      <c r="B1" s="85" t="s">
        <v>709</v>
      </c>
      <c r="C1" s="85" t="s">
        <v>1010</v>
      </c>
      <c r="D1" s="86" t="s">
        <v>985</v>
      </c>
      <c r="E1" s="87"/>
      <c r="F1" s="84" t="s">
        <v>327</v>
      </c>
      <c r="G1" s="85" t="s">
        <v>709</v>
      </c>
      <c r="H1" s="85" t="s">
        <v>1010</v>
      </c>
      <c r="I1" s="86" t="s">
        <v>985</v>
      </c>
    </row>
    <row r="2" spans="1:9" s="91" customFormat="1" ht="12.75" customHeight="1">
      <c r="A2" s="89" t="s">
        <v>140</v>
      </c>
      <c r="B2" s="118"/>
      <c r="C2" s="118"/>
      <c r="D2" s="45"/>
      <c r="E2" s="90"/>
      <c r="F2" s="89" t="s">
        <v>141</v>
      </c>
      <c r="G2" s="89"/>
      <c r="H2" s="89"/>
      <c r="I2" s="44"/>
    </row>
    <row r="3" spans="1:9" ht="24.75" customHeight="1">
      <c r="A3" s="92" t="s">
        <v>966</v>
      </c>
      <c r="B3" s="43">
        <v>2820917</v>
      </c>
      <c r="C3" s="92">
        <v>245621</v>
      </c>
      <c r="D3" s="43">
        <f aca="true" t="shared" si="0" ref="D3:D10">SUM(B3:C3)</f>
        <v>3066538</v>
      </c>
      <c r="E3" s="93"/>
      <c r="F3" s="92" t="s">
        <v>234</v>
      </c>
      <c r="G3" s="43">
        <v>6188882</v>
      </c>
      <c r="H3" s="92">
        <v>229479</v>
      </c>
      <c r="I3" s="43">
        <f>SUM(G3:H3)</f>
        <v>6418361</v>
      </c>
    </row>
    <row r="4" spans="1:9" ht="15" customHeight="1">
      <c r="A4" s="92" t="s">
        <v>969</v>
      </c>
      <c r="B4" s="32">
        <v>3474772</v>
      </c>
      <c r="C4" s="92"/>
      <c r="D4" s="43">
        <f t="shared" si="0"/>
        <v>3474772</v>
      </c>
      <c r="E4" s="93"/>
      <c r="F4" s="95" t="s">
        <v>235</v>
      </c>
      <c r="G4" s="43">
        <v>2145619</v>
      </c>
      <c r="H4" s="92">
        <v>207563</v>
      </c>
      <c r="I4" s="43">
        <f>SUM(G4:H4)</f>
        <v>2353182</v>
      </c>
    </row>
    <row r="5" spans="1:9" ht="24.75" customHeight="1">
      <c r="A5" s="92" t="s">
        <v>970</v>
      </c>
      <c r="B5" s="32">
        <v>2047660</v>
      </c>
      <c r="C5" s="92">
        <v>-13822</v>
      </c>
      <c r="D5" s="43">
        <f t="shared" si="0"/>
        <v>2033838</v>
      </c>
      <c r="E5" s="93"/>
      <c r="F5" s="92" t="s">
        <v>972</v>
      </c>
      <c r="G5" s="32">
        <v>1219153</v>
      </c>
      <c r="H5" s="92">
        <v>219061</v>
      </c>
      <c r="I5" s="43">
        <f>SUM(G5:H5)</f>
        <v>1438214</v>
      </c>
    </row>
    <row r="6" spans="1:9" ht="24" customHeight="1">
      <c r="A6" s="92" t="s">
        <v>971</v>
      </c>
      <c r="B6" s="43">
        <v>59600</v>
      </c>
      <c r="C6" s="92">
        <v>394</v>
      </c>
      <c r="D6" s="43">
        <f t="shared" si="0"/>
        <v>59994</v>
      </c>
      <c r="E6" s="93"/>
      <c r="F6" s="92" t="s">
        <v>142</v>
      </c>
      <c r="G6" s="43">
        <v>324818</v>
      </c>
      <c r="H6" s="92">
        <v>-51028</v>
      </c>
      <c r="I6" s="43">
        <f>SUM(G6:H6)</f>
        <v>273790</v>
      </c>
    </row>
    <row r="7" spans="1:9" ht="13.5" customHeight="1">
      <c r="A7" s="94" t="s">
        <v>146</v>
      </c>
      <c r="B7" s="94">
        <f>SUM(B3+B4+B5+B6)</f>
        <v>8402949</v>
      </c>
      <c r="C7" s="94">
        <f>SUM(C3+C4+C5+C6)</f>
        <v>232193</v>
      </c>
      <c r="D7" s="43">
        <f t="shared" si="0"/>
        <v>8635142</v>
      </c>
      <c r="E7" s="93"/>
      <c r="F7" s="92" t="s">
        <v>143</v>
      </c>
      <c r="G7" s="43">
        <v>5000</v>
      </c>
      <c r="H7" s="92">
        <v>-100</v>
      </c>
      <c r="I7" s="43">
        <f>SUM(G7:H7)</f>
        <v>4900</v>
      </c>
    </row>
    <row r="8" spans="1:9" ht="13.5" customHeight="1">
      <c r="A8" s="95" t="s">
        <v>973</v>
      </c>
      <c r="B8" s="94"/>
      <c r="C8" s="94"/>
      <c r="D8" s="43">
        <f t="shared" si="0"/>
        <v>0</v>
      </c>
      <c r="E8" s="93"/>
      <c r="F8" s="94" t="s">
        <v>145</v>
      </c>
      <c r="G8" s="89">
        <f>SUM(G2:G7)</f>
        <v>9883472</v>
      </c>
      <c r="H8" s="89">
        <f>SUM(H2:H7)</f>
        <v>604975</v>
      </c>
      <c r="I8" s="89">
        <f>SUM(I2:I7)</f>
        <v>10488447</v>
      </c>
    </row>
    <row r="9" spans="1:9" ht="24.75" customHeight="1">
      <c r="A9" s="95" t="s">
        <v>974</v>
      </c>
      <c r="B9" s="121">
        <v>1480523</v>
      </c>
      <c r="C9" s="95">
        <v>435762</v>
      </c>
      <c r="D9" s="43">
        <f t="shared" si="0"/>
        <v>1916285</v>
      </c>
      <c r="E9" s="93"/>
      <c r="F9" s="95"/>
      <c r="G9" s="43"/>
      <c r="H9" s="92"/>
      <c r="I9" s="43"/>
    </row>
    <row r="10" spans="1:9" s="91" customFormat="1" ht="24.75" customHeight="1">
      <c r="A10" s="95" t="s">
        <v>975</v>
      </c>
      <c r="B10" s="47"/>
      <c r="C10" s="95"/>
      <c r="D10" s="43">
        <f t="shared" si="0"/>
        <v>0</v>
      </c>
      <c r="E10" s="93"/>
      <c r="F10" s="95"/>
      <c r="G10" s="43"/>
      <c r="H10" s="92"/>
      <c r="I10" s="43"/>
    </row>
    <row r="11" spans="1:9" s="91" customFormat="1" ht="12" customHeight="1">
      <c r="A11" s="97" t="s">
        <v>150</v>
      </c>
      <c r="B11" s="98">
        <f>SUM(B7:B10)</f>
        <v>9883472</v>
      </c>
      <c r="C11" s="98">
        <f>SUM(C7:C10)</f>
        <v>667955</v>
      </c>
      <c r="D11" s="98">
        <f>SUM(D7:D10)</f>
        <v>10551427</v>
      </c>
      <c r="E11" s="93"/>
      <c r="F11" s="96" t="s">
        <v>147</v>
      </c>
      <c r="G11" s="96">
        <f>SUM(G8:G10)</f>
        <v>9883472</v>
      </c>
      <c r="H11" s="96">
        <f>SUM(H8:H10)</f>
        <v>604975</v>
      </c>
      <c r="I11" s="96">
        <f>SUM(I8:I10)</f>
        <v>10488447</v>
      </c>
    </row>
    <row r="12" spans="1:9" ht="13.5" customHeight="1">
      <c r="A12" s="89" t="s">
        <v>152</v>
      </c>
      <c r="B12" s="89"/>
      <c r="C12" s="89"/>
      <c r="D12" s="43"/>
      <c r="E12" s="93"/>
      <c r="F12" s="89" t="s">
        <v>148</v>
      </c>
      <c r="G12" s="89"/>
      <c r="H12" s="89"/>
      <c r="I12" s="94"/>
    </row>
    <row r="13" spans="1:9" ht="24" customHeight="1">
      <c r="A13" s="92" t="s">
        <v>976</v>
      </c>
      <c r="B13" s="43">
        <v>4607238</v>
      </c>
      <c r="C13" s="92">
        <v>1567498</v>
      </c>
      <c r="D13" s="43">
        <f aca="true" t="shared" si="1" ref="D13:D21">SUM(B13:C13)</f>
        <v>6174736</v>
      </c>
      <c r="E13" s="93"/>
      <c r="F13" s="92" t="s">
        <v>977</v>
      </c>
      <c r="G13" s="92">
        <v>516142</v>
      </c>
      <c r="H13" s="92">
        <v>298912</v>
      </c>
      <c r="I13" s="92">
        <f aca="true" t="shared" si="2" ref="I13:I25">SUM(G13:H13)</f>
        <v>815054</v>
      </c>
    </row>
    <row r="14" spans="1:9" ht="19.5" customHeight="1">
      <c r="A14" s="92" t="s">
        <v>969</v>
      </c>
      <c r="B14" s="43">
        <v>783728</v>
      </c>
      <c r="C14" s="92"/>
      <c r="D14" s="43">
        <f t="shared" si="1"/>
        <v>783728</v>
      </c>
      <c r="E14" s="93"/>
      <c r="F14" s="92" t="s">
        <v>149</v>
      </c>
      <c r="G14" s="43">
        <v>43543</v>
      </c>
      <c r="H14" s="92">
        <v>20770</v>
      </c>
      <c r="I14" s="92">
        <f t="shared" si="2"/>
        <v>64313</v>
      </c>
    </row>
    <row r="15" spans="1:9" ht="15" customHeight="1">
      <c r="A15" s="92" t="s">
        <v>978</v>
      </c>
      <c r="B15" s="47">
        <v>251100</v>
      </c>
      <c r="C15" s="92"/>
      <c r="D15" s="43">
        <f t="shared" si="1"/>
        <v>251100</v>
      </c>
      <c r="E15" s="93"/>
      <c r="F15" s="92" t="s">
        <v>151</v>
      </c>
      <c r="G15" s="47">
        <v>472599</v>
      </c>
      <c r="H15" s="92">
        <v>278142</v>
      </c>
      <c r="I15" s="92">
        <f t="shared" si="2"/>
        <v>750741</v>
      </c>
    </row>
    <row r="16" spans="1:9" ht="24.75" customHeight="1">
      <c r="A16" s="92" t="s">
        <v>979</v>
      </c>
      <c r="B16" s="47">
        <v>220000</v>
      </c>
      <c r="C16" s="92">
        <v>746</v>
      </c>
      <c r="D16" s="43">
        <f t="shared" si="1"/>
        <v>220746</v>
      </c>
      <c r="E16" s="93"/>
      <c r="F16" s="92" t="s">
        <v>236</v>
      </c>
      <c r="G16" s="43"/>
      <c r="H16" s="92"/>
      <c r="I16" s="92">
        <f t="shared" si="2"/>
        <v>0</v>
      </c>
    </row>
    <row r="17" spans="1:9" ht="15" customHeight="1">
      <c r="A17" s="92" t="s">
        <v>980</v>
      </c>
      <c r="B17" s="47">
        <v>68305</v>
      </c>
      <c r="C17" s="92">
        <v>273141</v>
      </c>
      <c r="D17" s="43">
        <f t="shared" si="1"/>
        <v>341446</v>
      </c>
      <c r="E17" s="90"/>
      <c r="F17" s="92" t="s">
        <v>153</v>
      </c>
      <c r="G17" s="43">
        <v>6800899</v>
      </c>
      <c r="H17" s="92">
        <v>454634</v>
      </c>
      <c r="I17" s="92">
        <f t="shared" si="2"/>
        <v>7255533</v>
      </c>
    </row>
    <row r="18" spans="1:9" ht="12.75" customHeight="1">
      <c r="A18" s="94" t="s">
        <v>156</v>
      </c>
      <c r="B18" s="89">
        <f>SUM(B12:B17)</f>
        <v>5930371</v>
      </c>
      <c r="C18" s="89">
        <f>SUM(C12:C17)</f>
        <v>1841385</v>
      </c>
      <c r="D18" s="43">
        <f t="shared" si="1"/>
        <v>7771756</v>
      </c>
      <c r="E18" s="90"/>
      <c r="F18" s="92" t="s">
        <v>237</v>
      </c>
      <c r="G18" s="43">
        <v>37447</v>
      </c>
      <c r="H18" s="92">
        <v>73182</v>
      </c>
      <c r="I18" s="92">
        <f t="shared" si="2"/>
        <v>110629</v>
      </c>
    </row>
    <row r="19" spans="1:9" ht="24" customHeight="1">
      <c r="A19" s="95" t="s">
        <v>973</v>
      </c>
      <c r="B19" s="89"/>
      <c r="C19" s="89"/>
      <c r="D19" s="43">
        <f t="shared" si="1"/>
        <v>0</v>
      </c>
      <c r="E19" s="93"/>
      <c r="F19" s="92" t="s">
        <v>154</v>
      </c>
      <c r="G19" s="43">
        <v>691881</v>
      </c>
      <c r="H19" s="92">
        <v>37124</v>
      </c>
      <c r="I19" s="92">
        <f t="shared" si="2"/>
        <v>729005</v>
      </c>
    </row>
    <row r="20" spans="1:9" ht="12.75" customHeight="1">
      <c r="A20" s="95" t="s">
        <v>342</v>
      </c>
      <c r="B20" s="92">
        <v>658892</v>
      </c>
      <c r="C20" s="92"/>
      <c r="D20" s="43">
        <f t="shared" si="1"/>
        <v>658892</v>
      </c>
      <c r="E20" s="93"/>
      <c r="F20" s="92" t="s">
        <v>237</v>
      </c>
      <c r="G20" s="43">
        <v>39879</v>
      </c>
      <c r="H20" s="92">
        <v>29876</v>
      </c>
      <c r="I20" s="92">
        <f t="shared" si="2"/>
        <v>69755</v>
      </c>
    </row>
    <row r="21" spans="1:9" ht="24.75" customHeight="1">
      <c r="A21" s="95" t="s">
        <v>981</v>
      </c>
      <c r="B21" s="121">
        <v>1486283</v>
      </c>
      <c r="C21" s="95">
        <v>67732</v>
      </c>
      <c r="D21" s="43">
        <f t="shared" si="1"/>
        <v>1554015</v>
      </c>
      <c r="E21" s="93"/>
      <c r="F21" s="92" t="s">
        <v>155</v>
      </c>
      <c r="G21" s="43">
        <v>10000</v>
      </c>
      <c r="H21" s="92"/>
      <c r="I21" s="92">
        <f t="shared" si="2"/>
        <v>10000</v>
      </c>
    </row>
    <row r="22" spans="1:9" ht="12.75" customHeight="1">
      <c r="A22" s="95"/>
      <c r="B22" s="92"/>
      <c r="C22" s="92"/>
      <c r="D22" s="92"/>
      <c r="E22" s="93"/>
      <c r="F22" s="92" t="s">
        <v>982</v>
      </c>
      <c r="G22" s="43">
        <v>21956</v>
      </c>
      <c r="H22" s="92">
        <v>18159</v>
      </c>
      <c r="I22" s="92">
        <f t="shared" si="2"/>
        <v>40115</v>
      </c>
    </row>
    <row r="23" spans="1:9" ht="24.75" customHeight="1">
      <c r="A23" s="95"/>
      <c r="B23" s="92"/>
      <c r="C23" s="92"/>
      <c r="D23" s="121"/>
      <c r="E23" s="93"/>
      <c r="F23" s="94" t="s">
        <v>157</v>
      </c>
      <c r="G23" s="89">
        <f>SUM(G13+G17+G19+G21+G22)</f>
        <v>8040878</v>
      </c>
      <c r="H23" s="89">
        <f>SUM(H13+H17+H19+H21+H22)</f>
        <v>808829</v>
      </c>
      <c r="I23" s="92">
        <f t="shared" si="2"/>
        <v>8849707</v>
      </c>
    </row>
    <row r="24" spans="1:9" ht="12.75" customHeight="1">
      <c r="A24" s="92"/>
      <c r="B24" s="92"/>
      <c r="C24" s="92"/>
      <c r="D24" s="121"/>
      <c r="E24" s="93"/>
      <c r="F24" s="95" t="s">
        <v>983</v>
      </c>
      <c r="G24" s="89"/>
      <c r="H24" s="89"/>
      <c r="I24" s="92">
        <f t="shared" si="2"/>
        <v>0</v>
      </c>
    </row>
    <row r="25" spans="1:9" ht="12.75" customHeight="1">
      <c r="A25" s="95"/>
      <c r="B25" s="92"/>
      <c r="C25" s="92"/>
      <c r="D25" s="92"/>
      <c r="E25" s="93"/>
      <c r="F25" s="95" t="s">
        <v>984</v>
      </c>
      <c r="G25" s="32">
        <v>34668</v>
      </c>
      <c r="H25" s="95">
        <v>1163268</v>
      </c>
      <c r="I25" s="92">
        <f t="shared" si="2"/>
        <v>1197936</v>
      </c>
    </row>
    <row r="26" spans="1:9" s="88" customFormat="1" ht="22.5" customHeight="1" thickBot="1">
      <c r="A26" s="617" t="s">
        <v>161</v>
      </c>
      <c r="B26" s="618">
        <f>SUM(B18:B25)</f>
        <v>8075546</v>
      </c>
      <c r="C26" s="618">
        <f>SUM(C18:C25)</f>
        <v>1909117</v>
      </c>
      <c r="D26" s="618">
        <f>SUM(D18:D25)</f>
        <v>9984663</v>
      </c>
      <c r="E26" s="90"/>
      <c r="F26" s="619" t="s">
        <v>162</v>
      </c>
      <c r="G26" s="618">
        <f>SUM(G23:G25)</f>
        <v>8075546</v>
      </c>
      <c r="H26" s="618">
        <f>SUM(H23:H25)</f>
        <v>1972097</v>
      </c>
      <c r="I26" s="618">
        <f>SUM(I23:I25)</f>
        <v>10047643</v>
      </c>
    </row>
    <row r="27" spans="1:9" s="88" customFormat="1" ht="19.5" customHeight="1" thickBot="1">
      <c r="A27" s="620" t="s">
        <v>238</v>
      </c>
      <c r="B27" s="621">
        <f>SUM(B11+B26)</f>
        <v>17959018</v>
      </c>
      <c r="C27" s="621">
        <f>SUM(C11+C26)</f>
        <v>2577072</v>
      </c>
      <c r="D27" s="621">
        <f>SUM(D11+D26)</f>
        <v>20536090</v>
      </c>
      <c r="E27" s="93"/>
      <c r="F27" s="620" t="s">
        <v>238</v>
      </c>
      <c r="G27" s="622">
        <f>SUM(G11+G26)</f>
        <v>17959018</v>
      </c>
      <c r="H27" s="622">
        <f>SUM(H11+H26)</f>
        <v>2577072</v>
      </c>
      <c r="I27" s="622">
        <f>SUM(I11+I26)</f>
        <v>20536090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00390625" style="58" customWidth="1"/>
    <col min="2" max="2" width="37.00390625" style="55" customWidth="1"/>
    <col min="3" max="3" width="12.00390625" style="55" customWidth="1"/>
    <col min="4" max="4" width="12.50390625" style="55" customWidth="1"/>
    <col min="5" max="5" width="12.625" style="55" customWidth="1"/>
    <col min="6" max="6" width="13.125" style="55" customWidth="1"/>
    <col min="7" max="7" width="11.875" style="55" customWidth="1"/>
    <col min="8" max="8" width="9.625" style="55" customWidth="1"/>
    <col min="9" max="9" width="11.50390625" style="55" customWidth="1"/>
    <col min="10" max="10" width="13.125" style="55" customWidth="1"/>
    <col min="11" max="12" width="12.50390625" style="55" customWidth="1"/>
    <col min="13" max="13" width="11.125" style="55" customWidth="1"/>
    <col min="14" max="14" width="12.875" style="55" customWidth="1"/>
    <col min="15" max="16384" width="9.375" style="55" customWidth="1"/>
  </cols>
  <sheetData>
    <row r="1" spans="1:14" ht="14.25" customHeight="1">
      <c r="A1" s="791" t="s">
        <v>429</v>
      </c>
      <c r="B1" s="791" t="s">
        <v>118</v>
      </c>
      <c r="C1" s="795" t="s">
        <v>435</v>
      </c>
      <c r="D1" s="795" t="s">
        <v>1010</v>
      </c>
      <c r="E1" s="791" t="s">
        <v>430</v>
      </c>
      <c r="F1" s="797"/>
      <c r="G1" s="797"/>
      <c r="H1" s="797"/>
      <c r="I1" s="797"/>
      <c r="J1" s="797"/>
      <c r="K1" s="797"/>
      <c r="L1" s="797"/>
      <c r="M1" s="798" t="s">
        <v>434</v>
      </c>
      <c r="N1" s="798" t="s">
        <v>246</v>
      </c>
    </row>
    <row r="2" spans="1:14" ht="82.5" customHeight="1">
      <c r="A2" s="792"/>
      <c r="B2" s="792"/>
      <c r="C2" s="796"/>
      <c r="D2" s="796"/>
      <c r="E2" s="251" t="s">
        <v>1011</v>
      </c>
      <c r="F2" s="251" t="s">
        <v>431</v>
      </c>
      <c r="G2" s="251" t="s">
        <v>97</v>
      </c>
      <c r="H2" s="251" t="s">
        <v>432</v>
      </c>
      <c r="I2" s="251" t="s">
        <v>1014</v>
      </c>
      <c r="J2" s="251" t="s">
        <v>1016</v>
      </c>
      <c r="K2" s="251" t="s">
        <v>1017</v>
      </c>
      <c r="L2" s="251" t="s">
        <v>433</v>
      </c>
      <c r="M2" s="799"/>
      <c r="N2" s="799"/>
    </row>
    <row r="3" spans="1:14" ht="15" customHeight="1">
      <c r="A3" s="250">
        <v>2</v>
      </c>
      <c r="B3" s="156" t="s">
        <v>331</v>
      </c>
      <c r="C3" s="157">
        <v>1237075</v>
      </c>
      <c r="D3" s="157">
        <f>0+'táj.2.'!L3</f>
        <v>61764</v>
      </c>
      <c r="E3" s="252">
        <f>758537+'táj.2.'!C3</f>
        <v>782735</v>
      </c>
      <c r="F3" s="252">
        <f>203325+'táj.2.'!D3</f>
        <v>214550</v>
      </c>
      <c r="G3" s="252">
        <f>238137+'táj.2.'!E3</f>
        <v>246412</v>
      </c>
      <c r="H3" s="253">
        <f>0+'táj.2.'!F3</f>
        <v>0</v>
      </c>
      <c r="I3" s="253">
        <f>0+'táj.2.'!G3</f>
        <v>0</v>
      </c>
      <c r="J3" s="253">
        <f>27447+'táj.2.'!H3</f>
        <v>35513</v>
      </c>
      <c r="K3" s="253">
        <f>9629+'táj.2.'!I3</f>
        <v>19629</v>
      </c>
      <c r="L3" s="253">
        <f>0+'táj.2.'!J3</f>
        <v>0</v>
      </c>
      <c r="M3" s="253">
        <f>0+'táj.2.'!K3</f>
        <v>0</v>
      </c>
      <c r="N3" s="253">
        <f aca="true" t="shared" si="0" ref="N3:N19">SUM(E3:M3)</f>
        <v>1298839</v>
      </c>
    </row>
    <row r="4" spans="1:14" s="56" customFormat="1" ht="14.25" customHeight="1">
      <c r="A4" s="250">
        <v>3</v>
      </c>
      <c r="B4" s="156" t="s">
        <v>419</v>
      </c>
      <c r="C4" s="157">
        <v>1361767</v>
      </c>
      <c r="D4" s="157">
        <f>0+'táj.2.'!L4</f>
        <v>19713</v>
      </c>
      <c r="E4" s="252">
        <f>296534+'táj.2.'!C4</f>
        <v>301644</v>
      </c>
      <c r="F4" s="252">
        <f>87471+'táj.2.'!D4</f>
        <v>82018</v>
      </c>
      <c r="G4" s="252">
        <f>977762+'táj.2.'!E4</f>
        <v>979852</v>
      </c>
      <c r="H4" s="253">
        <f>0+'táj.2.'!F4</f>
        <v>0</v>
      </c>
      <c r="I4" s="253">
        <f>0+'táj.2.'!G4</f>
        <v>4966</v>
      </c>
      <c r="J4" s="253">
        <f>0+'táj.2.'!H4</f>
        <v>3000</v>
      </c>
      <c r="K4" s="253">
        <f>0+'táj.2.'!I4</f>
        <v>10000</v>
      </c>
      <c r="L4" s="253">
        <f>0+'táj.2.'!J4</f>
        <v>0</v>
      </c>
      <c r="M4" s="253">
        <f>0+'táj.2.'!K4</f>
        <v>0</v>
      </c>
      <c r="N4" s="253">
        <f t="shared" si="0"/>
        <v>1381480</v>
      </c>
    </row>
    <row r="5" spans="1:14" s="56" customFormat="1" ht="19.5" customHeight="1">
      <c r="A5" s="250">
        <v>4</v>
      </c>
      <c r="B5" s="156" t="s">
        <v>420</v>
      </c>
      <c r="C5" s="157">
        <v>362804</v>
      </c>
      <c r="D5" s="157">
        <f>0+'táj.2.'!L5</f>
        <v>13419</v>
      </c>
      <c r="E5" s="252">
        <f>198625+'táj.2.'!C5</f>
        <v>209425</v>
      </c>
      <c r="F5" s="252">
        <f>55420+'táj.2.'!D5</f>
        <v>55689</v>
      </c>
      <c r="G5" s="252">
        <f>108759+'táj.2.'!E5</f>
        <v>109595</v>
      </c>
      <c r="H5" s="253">
        <f>0+'táj.2.'!F5</f>
        <v>0</v>
      </c>
      <c r="I5" s="253">
        <f>0+'táj.2.'!G5</f>
        <v>332</v>
      </c>
      <c r="J5" s="253">
        <f>0+'táj.2.'!H5</f>
        <v>682</v>
      </c>
      <c r="K5" s="253">
        <f>0+'táj.2.'!I5</f>
        <v>500</v>
      </c>
      <c r="L5" s="253">
        <f>0+'táj.2.'!J5</f>
        <v>0</v>
      </c>
      <c r="M5" s="253">
        <f>0+'táj.2.'!K5</f>
        <v>0</v>
      </c>
      <c r="N5" s="253">
        <f t="shared" si="0"/>
        <v>376223</v>
      </c>
    </row>
    <row r="6" spans="1:14" s="56" customFormat="1" ht="15" customHeight="1">
      <c r="A6" s="250">
        <v>5</v>
      </c>
      <c r="B6" s="120" t="s">
        <v>421</v>
      </c>
      <c r="C6" s="131">
        <v>316218</v>
      </c>
      <c r="D6" s="157">
        <f>0+'táj.2.'!L6</f>
        <v>93339</v>
      </c>
      <c r="E6" s="252">
        <f>147756+'táj.2.'!C6</f>
        <v>152432</v>
      </c>
      <c r="F6" s="252">
        <f>44464+'táj.2.'!D6</f>
        <v>45232</v>
      </c>
      <c r="G6" s="252">
        <f>123998+'táj.2.'!E6</f>
        <v>204259</v>
      </c>
      <c r="H6" s="253">
        <f>0+'táj.2.'!F6</f>
        <v>0</v>
      </c>
      <c r="I6" s="253">
        <f>0+'táj.2.'!G6</f>
        <v>0</v>
      </c>
      <c r="J6" s="253">
        <f>0+'táj.2.'!H6</f>
        <v>5134</v>
      </c>
      <c r="K6" s="253">
        <f>0+'táj.2.'!I6</f>
        <v>2500</v>
      </c>
      <c r="L6" s="253">
        <f>0+'táj.2.'!J6</f>
        <v>0</v>
      </c>
      <c r="M6" s="253">
        <f>0+'táj.2.'!K6</f>
        <v>0</v>
      </c>
      <c r="N6" s="253">
        <f t="shared" si="0"/>
        <v>409557</v>
      </c>
    </row>
    <row r="7" spans="1:14" s="56" customFormat="1" ht="15.75" customHeight="1">
      <c r="A7" s="250">
        <v>6</v>
      </c>
      <c r="B7" s="120" t="s">
        <v>422</v>
      </c>
      <c r="C7" s="131">
        <v>310239</v>
      </c>
      <c r="D7" s="157">
        <f>0+'táj.2.'!L7</f>
        <v>999</v>
      </c>
      <c r="E7" s="252">
        <f>177559+'táj.2.'!C7</f>
        <v>178481</v>
      </c>
      <c r="F7" s="252">
        <f>50973+'táj.2.'!D7</f>
        <v>50690</v>
      </c>
      <c r="G7" s="252">
        <f>81707+'táj.2.'!E7</f>
        <v>81967</v>
      </c>
      <c r="H7" s="253">
        <f>0+'táj.2.'!F7</f>
        <v>0</v>
      </c>
      <c r="I7" s="253">
        <f>0+'táj.2.'!G7</f>
        <v>0</v>
      </c>
      <c r="J7" s="253">
        <f>0+'táj.2.'!H7</f>
        <v>100</v>
      </c>
      <c r="K7" s="253">
        <f>0+'táj.2.'!I7</f>
        <v>0</v>
      </c>
      <c r="L7" s="253">
        <f>0+'táj.2.'!J7</f>
        <v>0</v>
      </c>
      <c r="M7" s="253">
        <f>0+'táj.2.'!K7</f>
        <v>0</v>
      </c>
      <c r="N7" s="253">
        <f t="shared" si="0"/>
        <v>311238</v>
      </c>
    </row>
    <row r="8" spans="1:14" s="56" customFormat="1" ht="17.25" customHeight="1">
      <c r="A8" s="250">
        <v>7</v>
      </c>
      <c r="B8" s="120" t="s">
        <v>423</v>
      </c>
      <c r="C8" s="131">
        <v>288134</v>
      </c>
      <c r="D8" s="157">
        <f>0+'táj.2.'!L8</f>
        <v>1345</v>
      </c>
      <c r="E8" s="252">
        <f>166833+'táj.2.'!C8</f>
        <v>167606</v>
      </c>
      <c r="F8" s="252">
        <f>47879+'táj.2.'!D8</f>
        <v>47225</v>
      </c>
      <c r="G8" s="252">
        <f>73422+'táj.2.'!E8</f>
        <v>74548</v>
      </c>
      <c r="H8" s="253">
        <f>0+'táj.2.'!F8</f>
        <v>0</v>
      </c>
      <c r="I8" s="253">
        <f>0+'táj.2.'!G8</f>
        <v>0</v>
      </c>
      <c r="J8" s="253">
        <f>0+'táj.2.'!H8</f>
        <v>100</v>
      </c>
      <c r="K8" s="253">
        <f>0+'táj.2.'!I8</f>
        <v>0</v>
      </c>
      <c r="L8" s="253">
        <f>0+'táj.2.'!J8</f>
        <v>0</v>
      </c>
      <c r="M8" s="253">
        <f>0+'táj.2.'!K8</f>
        <v>0</v>
      </c>
      <c r="N8" s="253">
        <f t="shared" si="0"/>
        <v>289479</v>
      </c>
    </row>
    <row r="9" spans="1:14" s="56" customFormat="1" ht="15" customHeight="1">
      <c r="A9" s="250">
        <v>8</v>
      </c>
      <c r="B9" s="120" t="s">
        <v>424</v>
      </c>
      <c r="C9" s="131">
        <v>283986</v>
      </c>
      <c r="D9" s="157">
        <f>0+'táj.2.'!L9</f>
        <v>1174</v>
      </c>
      <c r="E9" s="252">
        <f>167413+'táj.2.'!C9</f>
        <v>168185</v>
      </c>
      <c r="F9" s="252">
        <f>48353+'táj.2.'!D9</f>
        <v>47942</v>
      </c>
      <c r="G9" s="252">
        <f>68220+'táj.2.'!E9</f>
        <v>68933</v>
      </c>
      <c r="H9" s="253">
        <f>0+'táj.2.'!F9</f>
        <v>0</v>
      </c>
      <c r="I9" s="253">
        <f>0+'táj.2.'!G9</f>
        <v>0</v>
      </c>
      <c r="J9" s="253">
        <f>0+'táj.2.'!H9</f>
        <v>100</v>
      </c>
      <c r="K9" s="253">
        <f>0+'táj.2.'!I9</f>
        <v>0</v>
      </c>
      <c r="L9" s="253">
        <f>0+'táj.2.'!J9</f>
        <v>0</v>
      </c>
      <c r="M9" s="253">
        <f>0+'táj.2.'!K9</f>
        <v>0</v>
      </c>
      <c r="N9" s="253">
        <f t="shared" si="0"/>
        <v>285160</v>
      </c>
    </row>
    <row r="10" spans="1:14" s="56" customFormat="1" ht="19.5" customHeight="1">
      <c r="A10" s="250">
        <v>9</v>
      </c>
      <c r="B10" s="120" t="s">
        <v>425</v>
      </c>
      <c r="C10" s="131">
        <v>287762</v>
      </c>
      <c r="D10" s="157">
        <f>0+'táj.2.'!L10</f>
        <v>613</v>
      </c>
      <c r="E10" s="252">
        <f>172048+'táj.2.'!C10</f>
        <v>172471</v>
      </c>
      <c r="F10" s="252">
        <f>49424+'táj.2.'!D10</f>
        <v>49171</v>
      </c>
      <c r="G10" s="252">
        <f>66290+'táj.2.'!E10</f>
        <v>66633</v>
      </c>
      <c r="H10" s="253">
        <f>0+'táj.2.'!F10</f>
        <v>0</v>
      </c>
      <c r="I10" s="253">
        <f>0+'táj.2.'!G10</f>
        <v>0</v>
      </c>
      <c r="J10" s="253">
        <f>0+'táj.2.'!H10</f>
        <v>100</v>
      </c>
      <c r="K10" s="253">
        <f>0+'táj.2.'!I10</f>
        <v>0</v>
      </c>
      <c r="L10" s="253">
        <f>0+'táj.2.'!J10</f>
        <v>0</v>
      </c>
      <c r="M10" s="253">
        <f>0+'táj.2.'!K10</f>
        <v>0</v>
      </c>
      <c r="N10" s="253">
        <f t="shared" si="0"/>
        <v>288375</v>
      </c>
    </row>
    <row r="11" spans="1:14" s="56" customFormat="1" ht="27" customHeight="1">
      <c r="A11" s="250">
        <v>10</v>
      </c>
      <c r="B11" s="230" t="s">
        <v>426</v>
      </c>
      <c r="C11" s="129">
        <v>112025</v>
      </c>
      <c r="D11" s="157">
        <f>0+'táj.2.'!L11</f>
        <v>22332</v>
      </c>
      <c r="E11" s="252">
        <f>55980+'táj.2.'!C11</f>
        <v>56632</v>
      </c>
      <c r="F11" s="252">
        <f>14820+'táj.2.'!D11</f>
        <v>14707</v>
      </c>
      <c r="G11" s="252">
        <f>26700+'táj.2.'!E11</f>
        <v>47993</v>
      </c>
      <c r="H11" s="253">
        <f>0+'táj.2.'!F11</f>
        <v>0</v>
      </c>
      <c r="I11" s="253">
        <f>14525+'táj.2.'!G11</f>
        <v>14525</v>
      </c>
      <c r="J11" s="253">
        <f>0+'táj.2.'!H11</f>
        <v>500</v>
      </c>
      <c r="K11" s="253">
        <f>0+'táj.2.'!I11</f>
        <v>0</v>
      </c>
      <c r="L11" s="253">
        <f>0+'táj.2.'!J11</f>
        <v>0</v>
      </c>
      <c r="M11" s="253">
        <f>0+'táj.2.'!K11</f>
        <v>0</v>
      </c>
      <c r="N11" s="253">
        <f t="shared" si="0"/>
        <v>134357</v>
      </c>
    </row>
    <row r="12" spans="1:14" s="56" customFormat="1" ht="20.25" customHeight="1">
      <c r="A12" s="250">
        <v>11</v>
      </c>
      <c r="B12" s="120" t="s">
        <v>427</v>
      </c>
      <c r="C12" s="131">
        <v>188141</v>
      </c>
      <c r="D12" s="157">
        <f>0+'táj.2.'!L12</f>
        <v>17928</v>
      </c>
      <c r="E12" s="252">
        <f>94350+'táj.2.'!C12</f>
        <v>96682</v>
      </c>
      <c r="F12" s="252">
        <f>24691+'táj.2.'!D12</f>
        <v>24136</v>
      </c>
      <c r="G12" s="252">
        <f>68200+'táj.2.'!E12</f>
        <v>67587</v>
      </c>
      <c r="H12" s="253">
        <f>0+'táj.2.'!F12</f>
        <v>0</v>
      </c>
      <c r="I12" s="253">
        <f>0+'táj.2.'!G12</f>
        <v>0</v>
      </c>
      <c r="J12" s="253">
        <f>0+'táj.2.'!H12</f>
        <v>16764</v>
      </c>
      <c r="K12" s="253">
        <f>900+'táj.2.'!I12</f>
        <v>900</v>
      </c>
      <c r="L12" s="253">
        <f>0+'táj.2.'!J12</f>
        <v>0</v>
      </c>
      <c r="M12" s="253">
        <f>0+'táj.2.'!K12</f>
        <v>0</v>
      </c>
      <c r="N12" s="253">
        <f t="shared" si="0"/>
        <v>206069</v>
      </c>
    </row>
    <row r="13" spans="1:14" s="56" customFormat="1" ht="30" customHeight="1">
      <c r="A13" s="250">
        <v>12</v>
      </c>
      <c r="B13" s="230" t="s">
        <v>428</v>
      </c>
      <c r="C13" s="129">
        <v>15555</v>
      </c>
      <c r="D13" s="157">
        <f>0+'táj.2.'!L13</f>
        <v>1895</v>
      </c>
      <c r="E13" s="252">
        <f>9275+'táj.2.'!C13</f>
        <v>9894</v>
      </c>
      <c r="F13" s="252">
        <f>2505+'táj.2.'!D13</f>
        <v>2531</v>
      </c>
      <c r="G13" s="252">
        <f>3775+'táj.2.'!E13</f>
        <v>5025</v>
      </c>
      <c r="H13" s="253">
        <f>0+'táj.2.'!F13</f>
        <v>0</v>
      </c>
      <c r="I13" s="253">
        <f>0+'táj.2.'!G13</f>
        <v>0</v>
      </c>
      <c r="J13" s="253">
        <f>0+'táj.2.'!H13</f>
        <v>0</v>
      </c>
      <c r="K13" s="253">
        <f>0+'táj.2.'!I13</f>
        <v>0</v>
      </c>
      <c r="L13" s="253">
        <f>0+'táj.2.'!J13</f>
        <v>0</v>
      </c>
      <c r="M13" s="253">
        <f>0+'táj.2.'!K13</f>
        <v>0</v>
      </c>
      <c r="N13" s="253">
        <f t="shared" si="0"/>
        <v>17450</v>
      </c>
    </row>
    <row r="14" spans="1:14" s="56" customFormat="1" ht="16.5" customHeight="1">
      <c r="A14" s="250">
        <v>13</v>
      </c>
      <c r="B14" s="120" t="s">
        <v>132</v>
      </c>
      <c r="C14" s="131">
        <v>353704</v>
      </c>
      <c r="D14" s="157">
        <f>0+'táj.2.'!L14</f>
        <v>2934</v>
      </c>
      <c r="E14" s="252">
        <f>134658+'táj.2.'!C14</f>
        <v>136270</v>
      </c>
      <c r="F14" s="252">
        <f>35165+'táj.2.'!D14</f>
        <v>35079</v>
      </c>
      <c r="G14" s="252">
        <f>157881+'táj.2.'!E14</f>
        <v>159289</v>
      </c>
      <c r="H14" s="253">
        <f>0+'táj.2.'!F14</f>
        <v>0</v>
      </c>
      <c r="I14" s="253">
        <f>16000+'táj.2.'!G14</f>
        <v>16000</v>
      </c>
      <c r="J14" s="253">
        <f>10000+'táj.2.'!H14</f>
        <v>10000</v>
      </c>
      <c r="K14" s="253">
        <f>0+'táj.2.'!I14</f>
        <v>0</v>
      </c>
      <c r="L14" s="253">
        <f>0+'táj.2.'!J14</f>
        <v>0</v>
      </c>
      <c r="M14" s="253">
        <f>0+'táj.2.'!K14</f>
        <v>0</v>
      </c>
      <c r="N14" s="253">
        <f t="shared" si="0"/>
        <v>356638</v>
      </c>
    </row>
    <row r="15" spans="1:14" s="56" customFormat="1" ht="16.5" customHeight="1">
      <c r="A15" s="250">
        <v>14</v>
      </c>
      <c r="B15" s="120" t="s">
        <v>133</v>
      </c>
      <c r="C15" s="131">
        <v>271692</v>
      </c>
      <c r="D15" s="157">
        <f>0+'táj.2.'!L15</f>
        <v>55682</v>
      </c>
      <c r="E15" s="252">
        <f>113927+'táj.2.'!C15</f>
        <v>117818</v>
      </c>
      <c r="F15" s="252">
        <f>26652+'táj.2.'!D15</f>
        <v>30756</v>
      </c>
      <c r="G15" s="252">
        <f>98115+'táj.2.'!E15</f>
        <v>116354</v>
      </c>
      <c r="H15" s="253">
        <f>0+'táj.2.'!F15</f>
        <v>0</v>
      </c>
      <c r="I15" s="253">
        <f>3648+'táj.2.'!G15</f>
        <v>3650</v>
      </c>
      <c r="J15" s="253">
        <f>0+'táj.2.'!H15</f>
        <v>29445</v>
      </c>
      <c r="K15" s="253">
        <f>29350+'táj.2.'!I15</f>
        <v>29351</v>
      </c>
      <c r="L15" s="253">
        <f>0+'táj.2.'!J15</f>
        <v>0</v>
      </c>
      <c r="M15" s="253">
        <f>0+'táj.2.'!K15</f>
        <v>0</v>
      </c>
      <c r="N15" s="253">
        <f t="shared" si="0"/>
        <v>327374</v>
      </c>
    </row>
    <row r="16" spans="1:14" s="56" customFormat="1" ht="18" customHeight="1">
      <c r="A16" s="250">
        <v>15</v>
      </c>
      <c r="B16" s="120" t="s">
        <v>160</v>
      </c>
      <c r="C16" s="131">
        <v>573476</v>
      </c>
      <c r="D16" s="157">
        <f>0+'táj.2.'!L16</f>
        <v>17900</v>
      </c>
      <c r="E16" s="252">
        <f>284948+'táj.2.'!C16</f>
        <v>287723</v>
      </c>
      <c r="F16" s="252">
        <f>70000+'táj.2.'!D16</f>
        <v>72328</v>
      </c>
      <c r="G16" s="252">
        <f>218528+'táj.2.'!E16</f>
        <v>218466</v>
      </c>
      <c r="H16" s="253">
        <f>0+'táj.2.'!F16</f>
        <v>0</v>
      </c>
      <c r="I16" s="253">
        <f>0+'táj.2.'!G16</f>
        <v>2359</v>
      </c>
      <c r="J16" s="253">
        <f>0+'táj.2.'!H16</f>
        <v>3625</v>
      </c>
      <c r="K16" s="253">
        <f>0+'táj.2.'!I16</f>
        <v>6875</v>
      </c>
      <c r="L16" s="253">
        <f>0+'táj.2.'!J16</f>
        <v>0</v>
      </c>
      <c r="M16" s="253">
        <f>0+'táj.2.'!K16</f>
        <v>0</v>
      </c>
      <c r="N16" s="253">
        <f t="shared" si="0"/>
        <v>591376</v>
      </c>
    </row>
    <row r="17" spans="1:14" s="56" customFormat="1" ht="18.75" customHeight="1">
      <c r="A17" s="250">
        <v>16</v>
      </c>
      <c r="B17" s="120" t="s">
        <v>135</v>
      </c>
      <c r="C17" s="131">
        <v>102360</v>
      </c>
      <c r="D17" s="157">
        <f>0+'táj.2.'!L17</f>
        <v>1989</v>
      </c>
      <c r="E17" s="252">
        <f>48860+'táj.2.'!C17</f>
        <v>49512</v>
      </c>
      <c r="F17" s="252">
        <f>11200+'táj.2.'!D17</f>
        <v>11373</v>
      </c>
      <c r="G17" s="252">
        <f>42300+'táj.2.'!E17</f>
        <v>43464</v>
      </c>
      <c r="H17" s="253">
        <f>0+'táj.2.'!F17</f>
        <v>0</v>
      </c>
      <c r="I17" s="253">
        <f>0+'táj.2.'!G17</f>
        <v>0</v>
      </c>
      <c r="J17" s="253">
        <f>0+'táj.2.'!H17</f>
        <v>0</v>
      </c>
      <c r="K17" s="253">
        <f>0+'táj.2.'!I17</f>
        <v>0</v>
      </c>
      <c r="L17" s="253">
        <f>0+'táj.2.'!J17</f>
        <v>0</v>
      </c>
      <c r="M17" s="253">
        <f>0+'táj.2.'!K17</f>
        <v>0</v>
      </c>
      <c r="N17" s="253">
        <f t="shared" si="0"/>
        <v>104349</v>
      </c>
    </row>
    <row r="18" spans="1:14" s="56" customFormat="1" ht="18" customHeight="1">
      <c r="A18" s="250">
        <v>17</v>
      </c>
      <c r="B18" s="120" t="s">
        <v>134</v>
      </c>
      <c r="C18" s="131">
        <v>110370</v>
      </c>
      <c r="D18" s="157">
        <f>0+'táj.2.'!L18</f>
        <v>6198</v>
      </c>
      <c r="E18" s="252">
        <f>38452+'táj.2.'!C18</f>
        <v>38850</v>
      </c>
      <c r="F18" s="252">
        <f>10810+'táj.2.'!D18</f>
        <v>10425</v>
      </c>
      <c r="G18" s="252">
        <f>61108+'táj.2.'!E18</f>
        <v>62327</v>
      </c>
      <c r="H18" s="253">
        <f>0+'táj.2.'!F18</f>
        <v>0</v>
      </c>
      <c r="I18" s="253">
        <f>0+'táj.2.'!G18</f>
        <v>0</v>
      </c>
      <c r="J18" s="253">
        <f>0+'táj.2.'!H18</f>
        <v>4966</v>
      </c>
      <c r="K18" s="253">
        <f>0+'táj.2.'!I18</f>
        <v>0</v>
      </c>
      <c r="L18" s="253">
        <f>0+'táj.2.'!J18</f>
        <v>0</v>
      </c>
      <c r="M18" s="253">
        <f>0+'táj.2.'!K18</f>
        <v>0</v>
      </c>
      <c r="N18" s="253">
        <f t="shared" si="0"/>
        <v>116568</v>
      </c>
    </row>
    <row r="19" spans="1:14" s="56" customFormat="1" ht="18.75" customHeight="1">
      <c r="A19" s="250">
        <v>18</v>
      </c>
      <c r="B19" s="81" t="s">
        <v>98</v>
      </c>
      <c r="C19" s="158">
        <v>90900</v>
      </c>
      <c r="D19" s="157">
        <f>0+'táj.2.'!L19</f>
        <v>13313</v>
      </c>
      <c r="E19" s="252">
        <f>25374+'táj.2.'!C19</f>
        <v>31354</v>
      </c>
      <c r="F19" s="252">
        <f>6850+'táj.2.'!D19</f>
        <v>8479</v>
      </c>
      <c r="G19" s="252">
        <f>58676+'táj.2.'!E19</f>
        <v>63473</v>
      </c>
      <c r="H19" s="253">
        <f>0+'táj.2.'!F19</f>
        <v>0</v>
      </c>
      <c r="I19" s="253">
        <f>0+'táj.2.'!G19</f>
        <v>307</v>
      </c>
      <c r="J19" s="253">
        <f>0+'táj.2.'!H19</f>
        <v>600</v>
      </c>
      <c r="K19" s="253">
        <f>0+'táj.2.'!I19</f>
        <v>0</v>
      </c>
      <c r="L19" s="253">
        <f>0+'táj.2.'!J19</f>
        <v>0</v>
      </c>
      <c r="M19" s="253">
        <f>0+'táj.2.'!K19</f>
        <v>0</v>
      </c>
      <c r="N19" s="253">
        <f t="shared" si="0"/>
        <v>104213</v>
      </c>
    </row>
    <row r="20" spans="1:14" s="56" customFormat="1" ht="18" customHeight="1">
      <c r="A20" s="66"/>
      <c r="B20" s="67" t="s">
        <v>119</v>
      </c>
      <c r="C20" s="68">
        <f>SUM(C3:C19)</f>
        <v>6266208</v>
      </c>
      <c r="D20" s="68">
        <f>SUM(D3:D19)</f>
        <v>332537</v>
      </c>
      <c r="E20" s="68">
        <f aca="true" t="shared" si="1" ref="E20:N20">SUM(E3:E19)</f>
        <v>2957714</v>
      </c>
      <c r="F20" s="68">
        <f t="shared" si="1"/>
        <v>802331</v>
      </c>
      <c r="G20" s="68">
        <f t="shared" si="1"/>
        <v>2616177</v>
      </c>
      <c r="H20" s="68">
        <f t="shared" si="1"/>
        <v>0</v>
      </c>
      <c r="I20" s="68">
        <f t="shared" si="1"/>
        <v>42139</v>
      </c>
      <c r="J20" s="68">
        <f t="shared" si="1"/>
        <v>110629</v>
      </c>
      <c r="K20" s="68">
        <f t="shared" si="1"/>
        <v>69755</v>
      </c>
      <c r="L20" s="68">
        <f t="shared" si="1"/>
        <v>0</v>
      </c>
      <c r="M20" s="68">
        <f t="shared" si="1"/>
        <v>0</v>
      </c>
      <c r="N20" s="68">
        <f t="shared" si="1"/>
        <v>6598745</v>
      </c>
    </row>
    <row r="21" s="56" customFormat="1" ht="12.75">
      <c r="A21" s="57"/>
    </row>
    <row r="22" s="56" customFormat="1" ht="12.75">
      <c r="A22" s="57"/>
    </row>
    <row r="23" s="56" customFormat="1" ht="12.75">
      <c r="A23" s="57"/>
    </row>
    <row r="24" s="56" customFormat="1" ht="12.75">
      <c r="A24" s="57"/>
    </row>
    <row r="25" s="56" customFormat="1" ht="12.75">
      <c r="A25" s="57"/>
    </row>
    <row r="26" s="56" customFormat="1" ht="12.75">
      <c r="A26" s="57"/>
    </row>
    <row r="27" s="56" customFormat="1" ht="12.75">
      <c r="A27" s="57"/>
    </row>
    <row r="28" s="56" customFormat="1" ht="12.75">
      <c r="A28" s="57"/>
    </row>
    <row r="29" s="56" customFormat="1" ht="12.75">
      <c r="A29" s="57"/>
    </row>
    <row r="30" s="56" customFormat="1" ht="12.75">
      <c r="A30" s="57"/>
    </row>
    <row r="31" s="56" customFormat="1" ht="12.75">
      <c r="A31" s="57"/>
    </row>
    <row r="32" s="56" customFormat="1" ht="12.75">
      <c r="A32" s="57"/>
    </row>
    <row r="33" s="56" customFormat="1" ht="12.75">
      <c r="A33" s="57"/>
    </row>
    <row r="34" s="56" customFormat="1" ht="12.75">
      <c r="A34" s="57"/>
    </row>
    <row r="35" s="56" customFormat="1" ht="12.75">
      <c r="A35" s="57"/>
    </row>
    <row r="36" s="56" customFormat="1" ht="12.75">
      <c r="A36" s="57"/>
    </row>
    <row r="37" s="56" customFormat="1" ht="12.75">
      <c r="A37" s="57"/>
    </row>
    <row r="38" s="56" customFormat="1" ht="12.75">
      <c r="A38" s="57"/>
    </row>
    <row r="39" s="56" customFormat="1" ht="12.75">
      <c r="A39" s="57"/>
    </row>
    <row r="40" s="56" customFormat="1" ht="12.75">
      <c r="A40" s="57"/>
    </row>
    <row r="41" s="56" customFormat="1" ht="12.75">
      <c r="A41" s="57"/>
    </row>
    <row r="42" s="56" customFormat="1" ht="12.75">
      <c r="A42" s="57"/>
    </row>
    <row r="43" s="56" customFormat="1" ht="12.75">
      <c r="A43" s="57"/>
    </row>
    <row r="44" s="56" customFormat="1" ht="12.75">
      <c r="A44" s="57"/>
    </row>
    <row r="45" s="56" customFormat="1" ht="12.75">
      <c r="A45" s="57"/>
    </row>
    <row r="46" s="56" customFormat="1" ht="12.75">
      <c r="A46" s="57"/>
    </row>
    <row r="47" s="56" customFormat="1" ht="12.75">
      <c r="A47" s="57"/>
    </row>
    <row r="48" s="56" customFormat="1" ht="12.75">
      <c r="A48" s="57"/>
    </row>
    <row r="49" s="56" customFormat="1" ht="12.75">
      <c r="A49" s="57"/>
    </row>
    <row r="50" s="56" customFormat="1" ht="12.75">
      <c r="A50" s="57"/>
    </row>
    <row r="51" s="56" customFormat="1" ht="12.75">
      <c r="A51" s="57"/>
    </row>
    <row r="52" s="56" customFormat="1" ht="12.75">
      <c r="A52" s="57"/>
    </row>
    <row r="53" s="56" customFormat="1" ht="12.75">
      <c r="A53" s="57"/>
    </row>
    <row r="54" s="56" customFormat="1" ht="12.75">
      <c r="A54" s="57"/>
    </row>
    <row r="55" s="56" customFormat="1" ht="12.75">
      <c r="A55" s="57"/>
    </row>
    <row r="56" s="56" customFormat="1" ht="12.75">
      <c r="A56" s="57"/>
    </row>
    <row r="57" s="56" customFormat="1" ht="12.75">
      <c r="A57" s="57"/>
    </row>
    <row r="58" s="56" customFormat="1" ht="12.75">
      <c r="A58" s="57"/>
    </row>
    <row r="59" s="56" customFormat="1" ht="12.75">
      <c r="A59" s="57"/>
    </row>
    <row r="60" s="56" customFormat="1" ht="12.75">
      <c r="A60" s="57"/>
    </row>
    <row r="61" s="56" customFormat="1" ht="12.75">
      <c r="A61" s="57"/>
    </row>
    <row r="62" s="56" customFormat="1" ht="12.75">
      <c r="A62" s="57"/>
    </row>
    <row r="63" s="56" customFormat="1" ht="12.75">
      <c r="A63" s="57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tábla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C21" sqref="C21:C23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11.3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12.50390625" style="4" customWidth="1"/>
    <col min="11" max="11" width="11.625" style="4" customWidth="1"/>
    <col min="12" max="12" width="12.875" style="4" customWidth="1"/>
    <col min="13" max="13" width="11.375" style="4" customWidth="1"/>
    <col min="14" max="14" width="12.625" style="4" customWidth="1"/>
    <col min="15" max="16384" width="9.375" style="4" customWidth="1"/>
  </cols>
  <sheetData>
    <row r="1" spans="1:14" s="3" customFormat="1" ht="16.5" customHeight="1">
      <c r="A1" s="1"/>
      <c r="B1" s="2"/>
      <c r="C1" s="5"/>
      <c r="D1" s="800" t="s">
        <v>436</v>
      </c>
      <c r="E1" s="801"/>
      <c r="F1" s="801"/>
      <c r="G1" s="801"/>
      <c r="H1" s="801"/>
      <c r="I1" s="801"/>
      <c r="J1" s="802"/>
      <c r="K1" s="803" t="s">
        <v>437</v>
      </c>
      <c r="L1" s="804"/>
      <c r="M1" s="805"/>
      <c r="N1" s="806" t="s">
        <v>330</v>
      </c>
    </row>
    <row r="2" spans="1:14" s="3" customFormat="1" ht="78.75" customHeight="1" thickBot="1">
      <c r="A2" s="7" t="s">
        <v>328</v>
      </c>
      <c r="B2" s="8" t="s">
        <v>329</v>
      </c>
      <c r="C2" s="12" t="s">
        <v>327</v>
      </c>
      <c r="D2" s="584" t="s">
        <v>439</v>
      </c>
      <c r="E2" s="584" t="s">
        <v>440</v>
      </c>
      <c r="F2" s="585" t="s">
        <v>1024</v>
      </c>
      <c r="G2" s="584" t="s">
        <v>441</v>
      </c>
      <c r="H2" s="584" t="s">
        <v>115</v>
      </c>
      <c r="I2" s="584" t="s">
        <v>442</v>
      </c>
      <c r="J2" s="584" t="s">
        <v>443</v>
      </c>
      <c r="K2" s="584" t="s">
        <v>201</v>
      </c>
      <c r="L2" s="584" t="s">
        <v>444</v>
      </c>
      <c r="M2" s="584" t="s">
        <v>446</v>
      </c>
      <c r="N2" s="807"/>
    </row>
    <row r="3" spans="1:14" s="3" customFormat="1" ht="12.75" customHeight="1">
      <c r="A3" s="9">
        <v>1</v>
      </c>
      <c r="B3" s="9"/>
      <c r="C3" s="13" t="s">
        <v>113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3"/>
    </row>
    <row r="4" spans="1:14" s="3" customFormat="1" ht="12.75" customHeight="1">
      <c r="A4" s="9">
        <v>1</v>
      </c>
      <c r="B4" s="9">
        <v>1</v>
      </c>
      <c r="C4" s="206" t="s">
        <v>1028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69"/>
    </row>
    <row r="5" spans="1:14" s="3" customFormat="1" ht="12.75" customHeight="1">
      <c r="A5" s="9">
        <v>1</v>
      </c>
      <c r="B5" s="9">
        <v>12</v>
      </c>
      <c r="C5" s="15" t="s">
        <v>1026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69"/>
    </row>
    <row r="6" spans="1:14" s="3" customFormat="1" ht="24" customHeight="1">
      <c r="A6" s="9"/>
      <c r="B6" s="9"/>
      <c r="C6" s="692" t="s">
        <v>368</v>
      </c>
      <c r="D6" s="674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s="3" customFormat="1" ht="12.75" customHeight="1">
      <c r="A7" s="9"/>
      <c r="B7" s="9"/>
      <c r="C7" s="680" t="s">
        <v>1088</v>
      </c>
      <c r="D7" s="681">
        <v>19</v>
      </c>
      <c r="E7" s="207"/>
      <c r="F7" s="207"/>
      <c r="G7" s="207"/>
      <c r="H7" s="207"/>
      <c r="I7" s="207"/>
      <c r="J7" s="207"/>
      <c r="K7" s="207"/>
      <c r="L7" s="207"/>
      <c r="M7" s="207"/>
      <c r="N7" s="208">
        <f>SUM(D7:M7)</f>
        <v>19</v>
      </c>
    </row>
    <row r="8" spans="1:14" s="3" customFormat="1" ht="16.5" customHeight="1">
      <c r="A8" s="10"/>
      <c r="B8" s="10"/>
      <c r="C8" s="209" t="s">
        <v>1029</v>
      </c>
      <c r="D8" s="210">
        <f aca="true" t="shared" si="0" ref="D8:N8">SUM(D6:D7)</f>
        <v>19</v>
      </c>
      <c r="E8" s="210">
        <f t="shared" si="0"/>
        <v>0</v>
      </c>
      <c r="F8" s="210">
        <f t="shared" si="0"/>
        <v>0</v>
      </c>
      <c r="G8" s="210">
        <f t="shared" si="0"/>
        <v>0</v>
      </c>
      <c r="H8" s="210">
        <f t="shared" si="0"/>
        <v>0</v>
      </c>
      <c r="I8" s="210">
        <f t="shared" si="0"/>
        <v>0</v>
      </c>
      <c r="J8" s="210">
        <f t="shared" si="0"/>
        <v>0</v>
      </c>
      <c r="K8" s="210">
        <f t="shared" si="0"/>
        <v>0</v>
      </c>
      <c r="L8" s="210">
        <f t="shared" si="0"/>
        <v>0</v>
      </c>
      <c r="M8" s="210">
        <f t="shared" si="0"/>
        <v>0</v>
      </c>
      <c r="N8" s="210">
        <f t="shared" si="0"/>
        <v>19</v>
      </c>
    </row>
    <row r="9" spans="1:14" s="3" customFormat="1" ht="12.75" customHeight="1">
      <c r="A9" s="9">
        <v>1</v>
      </c>
      <c r="B9" s="9">
        <v>13</v>
      </c>
      <c r="C9" s="206" t="s">
        <v>1027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</row>
    <row r="10" spans="1:14" s="3" customFormat="1" ht="12.75" customHeight="1">
      <c r="A10" s="9"/>
      <c r="B10" s="9"/>
      <c r="C10" s="15" t="s">
        <v>105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8"/>
    </row>
    <row r="11" spans="1:14" s="3" customFormat="1" ht="15" customHeight="1">
      <c r="A11" s="9"/>
      <c r="B11" s="9"/>
      <c r="C11" s="682" t="s">
        <v>1149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1:14" s="3" customFormat="1" ht="12.75" customHeight="1">
      <c r="A12" s="9"/>
      <c r="B12" s="9"/>
      <c r="C12" s="221" t="s">
        <v>1089</v>
      </c>
      <c r="D12" s="207">
        <v>2230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8">
        <f>SUM(D12:M12)</f>
        <v>2230</v>
      </c>
    </row>
    <row r="13" spans="1:14" s="3" customFormat="1" ht="12.75" customHeight="1">
      <c r="A13" s="9"/>
      <c r="B13" s="9"/>
      <c r="C13" s="95" t="s">
        <v>1156</v>
      </c>
      <c r="D13" s="214"/>
      <c r="E13" s="207"/>
      <c r="F13" s="207"/>
      <c r="G13" s="207"/>
      <c r="H13" s="207"/>
      <c r="I13" s="207"/>
      <c r="J13" s="207"/>
      <c r="K13" s="207"/>
      <c r="L13" s="207"/>
      <c r="M13" s="207"/>
      <c r="N13" s="208"/>
    </row>
    <row r="14" spans="1:14" s="3" customFormat="1" ht="12.75" customHeight="1">
      <c r="A14" s="9"/>
      <c r="B14" s="9"/>
      <c r="C14" s="32" t="s">
        <v>356</v>
      </c>
      <c r="D14" s="214">
        <v>250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8">
        <f>SUM(D14:M14)</f>
        <v>250</v>
      </c>
    </row>
    <row r="15" spans="1:14" s="3" customFormat="1" ht="12.75" customHeight="1">
      <c r="A15" s="9"/>
      <c r="B15" s="9"/>
      <c r="C15" s="717" t="s">
        <v>107</v>
      </c>
      <c r="D15" s="693"/>
      <c r="E15" s="207"/>
      <c r="F15" s="207"/>
      <c r="G15" s="207"/>
      <c r="H15" s="207"/>
      <c r="I15" s="207"/>
      <c r="J15" s="207"/>
      <c r="K15" s="207"/>
      <c r="L15" s="207"/>
      <c r="M15" s="207"/>
      <c r="N15" s="208"/>
    </row>
    <row r="16" spans="1:14" s="3" customFormat="1" ht="24.75" customHeight="1">
      <c r="A16" s="9"/>
      <c r="B16" s="9"/>
      <c r="C16" s="95" t="s">
        <v>1155</v>
      </c>
      <c r="D16" s="688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14" s="3" customFormat="1" ht="15" customHeight="1">
      <c r="A17" s="9"/>
      <c r="B17" s="9"/>
      <c r="C17" s="666" t="s">
        <v>364</v>
      </c>
      <c r="D17" s="683">
        <v>8200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8">
        <f>SUM(D17:M17)</f>
        <v>8200</v>
      </c>
    </row>
    <row r="18" spans="1:14" s="3" customFormat="1" ht="18.75" customHeight="1">
      <c r="A18" s="11"/>
      <c r="B18" s="11"/>
      <c r="C18" s="209" t="s">
        <v>1030</v>
      </c>
      <c r="D18" s="210">
        <f aca="true" t="shared" si="1" ref="D18:N18">SUM(D12:D17)</f>
        <v>10680</v>
      </c>
      <c r="E18" s="210">
        <f t="shared" si="1"/>
        <v>0</v>
      </c>
      <c r="F18" s="210">
        <f t="shared" si="1"/>
        <v>0</v>
      </c>
      <c r="G18" s="210">
        <f t="shared" si="1"/>
        <v>0</v>
      </c>
      <c r="H18" s="210">
        <f t="shared" si="1"/>
        <v>0</v>
      </c>
      <c r="I18" s="210">
        <f t="shared" si="1"/>
        <v>0</v>
      </c>
      <c r="J18" s="210">
        <f t="shared" si="1"/>
        <v>0</v>
      </c>
      <c r="K18" s="210">
        <f t="shared" si="1"/>
        <v>0</v>
      </c>
      <c r="L18" s="210">
        <f t="shared" si="1"/>
        <v>0</v>
      </c>
      <c r="M18" s="210">
        <f t="shared" si="1"/>
        <v>0</v>
      </c>
      <c r="N18" s="210">
        <f t="shared" si="1"/>
        <v>10680</v>
      </c>
    </row>
    <row r="19" spans="1:14" s="3" customFormat="1" ht="12.75" customHeight="1">
      <c r="A19" s="9">
        <v>1</v>
      </c>
      <c r="B19" s="9">
        <v>15</v>
      </c>
      <c r="C19" s="206" t="s">
        <v>332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8"/>
    </row>
    <row r="20" spans="1:14" s="3" customFormat="1" ht="12.75" customHeight="1">
      <c r="A20" s="9"/>
      <c r="B20" s="9"/>
      <c r="C20" s="211" t="s">
        <v>352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8"/>
    </row>
    <row r="21" spans="1:14" s="3" customFormat="1" ht="24" customHeight="1">
      <c r="A21" s="9"/>
      <c r="B21" s="9"/>
      <c r="C21" s="684" t="s">
        <v>1090</v>
      </c>
      <c r="D21" s="207"/>
      <c r="E21" s="207">
        <v>484</v>
      </c>
      <c r="F21" s="207"/>
      <c r="G21" s="207"/>
      <c r="H21" s="207"/>
      <c r="I21" s="207"/>
      <c r="J21" s="207"/>
      <c r="K21" s="207"/>
      <c r="L21" s="207"/>
      <c r="M21" s="207"/>
      <c r="N21" s="208">
        <f>SUM(D21:M21)</f>
        <v>484</v>
      </c>
    </row>
    <row r="22" spans="1:14" s="3" customFormat="1" ht="24" customHeight="1">
      <c r="A22" s="9"/>
      <c r="B22" s="9"/>
      <c r="C22" s="667" t="s">
        <v>1050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</row>
    <row r="23" spans="1:14" s="3" customFormat="1" ht="24" customHeight="1">
      <c r="A23" s="9"/>
      <c r="B23" s="9"/>
      <c r="C23" s="677" t="s">
        <v>1091</v>
      </c>
      <c r="D23" s="207">
        <v>445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8">
        <f>SUM(D23:M23)</f>
        <v>445</v>
      </c>
    </row>
    <row r="24" spans="1:14" s="3" customFormat="1" ht="24.75" customHeight="1">
      <c r="A24" s="9"/>
      <c r="B24" s="9"/>
      <c r="C24" s="716" t="s">
        <v>1062</v>
      </c>
      <c r="D24" s="679"/>
      <c r="E24" s="207"/>
      <c r="F24" s="207"/>
      <c r="G24" s="207"/>
      <c r="H24" s="207"/>
      <c r="I24" s="207"/>
      <c r="J24" s="207"/>
      <c r="K24" s="207"/>
      <c r="L24" s="207"/>
      <c r="M24" s="207"/>
      <c r="N24" s="208"/>
    </row>
    <row r="25" spans="1:14" s="3" customFormat="1" ht="24.75" customHeight="1">
      <c r="A25" s="9"/>
      <c r="B25" s="9"/>
      <c r="C25" s="677" t="s">
        <v>1092</v>
      </c>
      <c r="D25" s="207"/>
      <c r="E25" s="207"/>
      <c r="F25" s="207"/>
      <c r="G25" s="207"/>
      <c r="H25" s="207"/>
      <c r="I25" s="207"/>
      <c r="J25" s="207">
        <v>746</v>
      </c>
      <c r="K25" s="207"/>
      <c r="L25" s="207"/>
      <c r="M25" s="207"/>
      <c r="N25" s="208">
        <f>SUM(D25:M25)</f>
        <v>746</v>
      </c>
    </row>
    <row r="26" spans="1:14" s="3" customFormat="1" ht="24.75" customHeight="1">
      <c r="A26" s="9"/>
      <c r="B26" s="9"/>
      <c r="C26" s="677" t="s">
        <v>1093</v>
      </c>
      <c r="D26" s="207"/>
      <c r="E26" s="207"/>
      <c r="F26" s="207"/>
      <c r="G26" s="207">
        <v>262273</v>
      </c>
      <c r="H26" s="207"/>
      <c r="I26" s="207"/>
      <c r="J26" s="219"/>
      <c r="K26" s="207"/>
      <c r="L26" s="207"/>
      <c r="M26" s="207"/>
      <c r="N26" s="208">
        <f>SUM(D26:M26)</f>
        <v>262273</v>
      </c>
    </row>
    <row r="27" spans="1:14" s="3" customFormat="1" ht="18.75" customHeight="1">
      <c r="A27" s="10"/>
      <c r="B27" s="10"/>
      <c r="C27" s="209" t="s">
        <v>245</v>
      </c>
      <c r="D27" s="210">
        <f>SUM(D20:D26)</f>
        <v>445</v>
      </c>
      <c r="E27" s="210">
        <f aca="true" t="shared" si="2" ref="E27:N27">SUM(E20:E26)</f>
        <v>484</v>
      </c>
      <c r="F27" s="210">
        <f t="shared" si="2"/>
        <v>0</v>
      </c>
      <c r="G27" s="210">
        <f t="shared" si="2"/>
        <v>262273</v>
      </c>
      <c r="H27" s="210">
        <f t="shared" si="2"/>
        <v>0</v>
      </c>
      <c r="I27" s="210">
        <f t="shared" si="2"/>
        <v>0</v>
      </c>
      <c r="J27" s="210">
        <f t="shared" si="2"/>
        <v>746</v>
      </c>
      <c r="K27" s="210">
        <f t="shared" si="2"/>
        <v>0</v>
      </c>
      <c r="L27" s="210">
        <f t="shared" si="2"/>
        <v>0</v>
      </c>
      <c r="M27" s="210">
        <f t="shared" si="2"/>
        <v>0</v>
      </c>
      <c r="N27" s="210">
        <f t="shared" si="2"/>
        <v>263948</v>
      </c>
    </row>
    <row r="28" spans="1:14" s="3" customFormat="1" ht="12.75" customHeight="1">
      <c r="A28" s="9">
        <v>1</v>
      </c>
      <c r="B28" s="9">
        <v>16</v>
      </c>
      <c r="C28" s="206" t="s">
        <v>87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8"/>
    </row>
    <row r="29" spans="1:14" s="3" customFormat="1" ht="24.75" customHeight="1">
      <c r="A29" s="9"/>
      <c r="B29" s="9"/>
      <c r="C29" s="728" t="s">
        <v>758</v>
      </c>
      <c r="D29" s="214"/>
      <c r="E29" s="207"/>
      <c r="F29" s="207"/>
      <c r="G29" s="207"/>
      <c r="H29" s="207"/>
      <c r="I29" s="207"/>
      <c r="J29" s="207"/>
      <c r="K29" s="207"/>
      <c r="L29" s="207"/>
      <c r="M29" s="207"/>
      <c r="N29" s="208"/>
    </row>
    <row r="30" spans="1:14" s="3" customFormat="1" ht="43.5" customHeight="1">
      <c r="A30" s="9"/>
      <c r="B30" s="9"/>
      <c r="C30" s="727" t="s">
        <v>757</v>
      </c>
      <c r="D30" s="214"/>
      <c r="E30" s="207">
        <v>246905</v>
      </c>
      <c r="F30" s="207"/>
      <c r="G30" s="207"/>
      <c r="H30" s="207"/>
      <c r="I30" s="207"/>
      <c r="J30" s="207"/>
      <c r="K30" s="207"/>
      <c r="L30" s="207"/>
      <c r="M30" s="207"/>
      <c r="N30" s="208">
        <f>SUM(D30:M30)</f>
        <v>246905</v>
      </c>
    </row>
    <row r="31" spans="1:14" s="3" customFormat="1" ht="19.5" customHeight="1">
      <c r="A31" s="11"/>
      <c r="B31" s="11"/>
      <c r="C31" s="209" t="s">
        <v>90</v>
      </c>
      <c r="D31" s="210">
        <f aca="true" t="shared" si="3" ref="D31:N31">SUM(D30:D30)</f>
        <v>0</v>
      </c>
      <c r="E31" s="210">
        <f t="shared" si="3"/>
        <v>246905</v>
      </c>
      <c r="F31" s="210">
        <f t="shared" si="3"/>
        <v>0</v>
      </c>
      <c r="G31" s="210">
        <f t="shared" si="3"/>
        <v>0</v>
      </c>
      <c r="H31" s="210">
        <f t="shared" si="3"/>
        <v>0</v>
      </c>
      <c r="I31" s="210">
        <f t="shared" si="3"/>
        <v>0</v>
      </c>
      <c r="J31" s="210">
        <f t="shared" si="3"/>
        <v>0</v>
      </c>
      <c r="K31" s="210">
        <f t="shared" si="3"/>
        <v>0</v>
      </c>
      <c r="L31" s="210">
        <f t="shared" si="3"/>
        <v>0</v>
      </c>
      <c r="M31" s="210">
        <f t="shared" si="3"/>
        <v>0</v>
      </c>
      <c r="N31" s="210">
        <f t="shared" si="3"/>
        <v>246905</v>
      </c>
    </row>
    <row r="32" spans="1:14" s="3" customFormat="1" ht="12.75" customHeight="1">
      <c r="A32" s="9">
        <v>1</v>
      </c>
      <c r="B32" s="9">
        <v>17</v>
      </c>
      <c r="C32" s="206" t="s">
        <v>333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8"/>
    </row>
    <row r="33" spans="1:14" s="3" customFormat="1" ht="24.75" customHeight="1">
      <c r="A33" s="9"/>
      <c r="B33" s="9"/>
      <c r="C33" s="682" t="s">
        <v>1096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8"/>
    </row>
    <row r="34" spans="1:14" s="3" customFormat="1" ht="15" customHeight="1">
      <c r="A34" s="9"/>
      <c r="B34" s="9"/>
      <c r="C34" s="234" t="s">
        <v>372</v>
      </c>
      <c r="D34" s="207"/>
      <c r="E34" s="207"/>
      <c r="F34" s="207"/>
      <c r="G34" s="207">
        <v>-100000</v>
      </c>
      <c r="H34" s="207"/>
      <c r="I34" s="207"/>
      <c r="J34" s="207"/>
      <c r="K34" s="207"/>
      <c r="L34" s="207"/>
      <c r="M34" s="207"/>
      <c r="N34" s="208">
        <f>SUM(D34:M34)</f>
        <v>-100000</v>
      </c>
    </row>
    <row r="35" spans="1:14" s="3" customFormat="1" ht="24.75" customHeight="1">
      <c r="A35" s="9"/>
      <c r="B35" s="9"/>
      <c r="C35" s="686" t="s">
        <v>1097</v>
      </c>
      <c r="D35" s="207"/>
      <c r="E35" s="207"/>
      <c r="F35" s="207"/>
      <c r="G35" s="207">
        <v>13970</v>
      </c>
      <c r="H35" s="207"/>
      <c r="I35" s="207"/>
      <c r="J35" s="207"/>
      <c r="K35" s="207"/>
      <c r="L35" s="207"/>
      <c r="M35" s="207"/>
      <c r="N35" s="208">
        <f>SUM(D35:M35)</f>
        <v>13970</v>
      </c>
    </row>
    <row r="36" spans="1:14" s="3" customFormat="1" ht="24.75" customHeight="1">
      <c r="A36" s="9"/>
      <c r="B36" s="9"/>
      <c r="C36" s="685" t="s">
        <v>1094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1:14" s="3" customFormat="1" ht="15" customHeight="1">
      <c r="A37" s="9"/>
      <c r="B37" s="9"/>
      <c r="C37" s="212" t="s">
        <v>1095</v>
      </c>
      <c r="D37" s="207"/>
      <c r="E37" s="207"/>
      <c r="F37" s="207"/>
      <c r="G37" s="207">
        <v>879</v>
      </c>
      <c r="H37" s="207"/>
      <c r="I37" s="207"/>
      <c r="J37" s="207"/>
      <c r="K37" s="207"/>
      <c r="L37" s="207"/>
      <c r="M37" s="207"/>
      <c r="N37" s="208">
        <f>SUM(D37:M37)</f>
        <v>879</v>
      </c>
    </row>
    <row r="38" spans="1:14" s="3" customFormat="1" ht="24.75" customHeight="1">
      <c r="A38" s="9"/>
      <c r="B38" s="9"/>
      <c r="C38" s="668" t="s">
        <v>1098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8"/>
    </row>
    <row r="39" spans="1:14" s="3" customFormat="1" ht="24.75" customHeight="1">
      <c r="A39" s="9"/>
      <c r="B39" s="9"/>
      <c r="C39" s="212" t="s">
        <v>619</v>
      </c>
      <c r="D39" s="207"/>
      <c r="E39" s="207"/>
      <c r="F39" s="207"/>
      <c r="G39" s="207"/>
      <c r="H39" s="207"/>
      <c r="I39" s="207"/>
      <c r="J39" s="207"/>
      <c r="K39" s="207"/>
      <c r="L39" s="207">
        <v>266456</v>
      </c>
      <c r="M39" s="207"/>
      <c r="N39" s="208">
        <f>SUM(D39:M39)</f>
        <v>266456</v>
      </c>
    </row>
    <row r="40" spans="1:14" s="3" customFormat="1" ht="24.75" customHeight="1">
      <c r="A40" s="9"/>
      <c r="B40" s="9"/>
      <c r="C40" s="212" t="s">
        <v>369</v>
      </c>
      <c r="D40" s="207"/>
      <c r="E40" s="207"/>
      <c r="F40" s="207"/>
      <c r="G40" s="207"/>
      <c r="H40" s="207"/>
      <c r="I40" s="207"/>
      <c r="J40" s="207"/>
      <c r="K40" s="207"/>
      <c r="L40" s="207">
        <v>-301456</v>
      </c>
      <c r="M40" s="207"/>
      <c r="N40" s="208">
        <f>SUM(D40:M40)</f>
        <v>-301456</v>
      </c>
    </row>
    <row r="41" spans="1:14" s="3" customFormat="1" ht="16.5" customHeight="1">
      <c r="A41" s="10"/>
      <c r="B41" s="10"/>
      <c r="C41" s="209" t="s">
        <v>77</v>
      </c>
      <c r="D41" s="210">
        <f aca="true" t="shared" si="4" ref="D41:N41">SUM(D33:D40)</f>
        <v>0</v>
      </c>
      <c r="E41" s="210">
        <f t="shared" si="4"/>
        <v>0</v>
      </c>
      <c r="F41" s="210">
        <f t="shared" si="4"/>
        <v>0</v>
      </c>
      <c r="G41" s="210">
        <f t="shared" si="4"/>
        <v>-85151</v>
      </c>
      <c r="H41" s="210">
        <f t="shared" si="4"/>
        <v>0</v>
      </c>
      <c r="I41" s="210">
        <f t="shared" si="4"/>
        <v>0</v>
      </c>
      <c r="J41" s="210">
        <f t="shared" si="4"/>
        <v>0</v>
      </c>
      <c r="K41" s="210">
        <f t="shared" si="4"/>
        <v>0</v>
      </c>
      <c r="L41" s="210">
        <f t="shared" si="4"/>
        <v>-35000</v>
      </c>
      <c r="M41" s="210">
        <f t="shared" si="4"/>
        <v>0</v>
      </c>
      <c r="N41" s="210">
        <f t="shared" si="4"/>
        <v>-120151</v>
      </c>
    </row>
    <row r="42" spans="1:14" s="3" customFormat="1" ht="12.75" customHeight="1">
      <c r="A42" s="9">
        <v>1</v>
      </c>
      <c r="B42" s="9">
        <v>18</v>
      </c>
      <c r="C42" s="206" t="s">
        <v>1031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8"/>
    </row>
    <row r="43" spans="1:14" s="3" customFormat="1" ht="12.75" customHeight="1">
      <c r="A43" s="9"/>
      <c r="B43" s="9"/>
      <c r="C43" s="206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8">
        <f>SUM(D43:M43)</f>
        <v>0</v>
      </c>
    </row>
    <row r="44" spans="1:14" s="3" customFormat="1" ht="18.75" customHeight="1">
      <c r="A44" s="11"/>
      <c r="B44" s="11"/>
      <c r="C44" s="209" t="s">
        <v>1032</v>
      </c>
      <c r="D44" s="210">
        <f aca="true" t="shared" si="5" ref="D44:N44">SUM(D43:D43)</f>
        <v>0</v>
      </c>
      <c r="E44" s="210">
        <f t="shared" si="5"/>
        <v>0</v>
      </c>
      <c r="F44" s="210">
        <f t="shared" si="5"/>
        <v>0</v>
      </c>
      <c r="G44" s="210">
        <f t="shared" si="5"/>
        <v>0</v>
      </c>
      <c r="H44" s="210">
        <f t="shared" si="5"/>
        <v>0</v>
      </c>
      <c r="I44" s="210">
        <f t="shared" si="5"/>
        <v>0</v>
      </c>
      <c r="J44" s="210">
        <f t="shared" si="5"/>
        <v>0</v>
      </c>
      <c r="K44" s="210">
        <f t="shared" si="5"/>
        <v>0</v>
      </c>
      <c r="L44" s="210">
        <f t="shared" si="5"/>
        <v>0</v>
      </c>
      <c r="M44" s="210">
        <f t="shared" si="5"/>
        <v>0</v>
      </c>
      <c r="N44" s="210">
        <f t="shared" si="5"/>
        <v>0</v>
      </c>
    </row>
    <row r="45" spans="1:14" s="3" customFormat="1" ht="15" customHeight="1">
      <c r="A45" s="9">
        <v>1</v>
      </c>
      <c r="B45" s="9">
        <v>19</v>
      </c>
      <c r="C45" s="206" t="s">
        <v>334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8"/>
    </row>
    <row r="46" spans="1:14" s="3" customFormat="1" ht="24.75" customHeight="1">
      <c r="A46" s="9"/>
      <c r="B46" s="9"/>
      <c r="C46" s="682" t="s">
        <v>1102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3" customFormat="1" ht="39" customHeight="1">
      <c r="A47" s="9"/>
      <c r="B47" s="9"/>
      <c r="C47" s="213" t="s">
        <v>1025</v>
      </c>
      <c r="D47" s="207">
        <v>124385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8">
        <f aca="true" t="shared" si="6" ref="N47:N58">SUM(D47:M47)</f>
        <v>124385</v>
      </c>
    </row>
    <row r="48" spans="1:14" s="3" customFormat="1" ht="15" customHeight="1">
      <c r="A48" s="9"/>
      <c r="B48" s="9"/>
      <c r="C48" s="15" t="s">
        <v>74</v>
      </c>
      <c r="D48" s="207">
        <v>18425</v>
      </c>
      <c r="E48" s="207">
        <v>40010</v>
      </c>
      <c r="F48" s="207"/>
      <c r="G48" s="207"/>
      <c r="H48" s="207"/>
      <c r="I48" s="207"/>
      <c r="J48" s="207"/>
      <c r="K48" s="207"/>
      <c r="L48" s="207"/>
      <c r="M48" s="207"/>
      <c r="N48" s="208">
        <f t="shared" si="6"/>
        <v>58435</v>
      </c>
    </row>
    <row r="49" spans="1:14" s="3" customFormat="1" ht="15" customHeight="1">
      <c r="A49" s="9"/>
      <c r="B49" s="9"/>
      <c r="C49" s="15" t="s">
        <v>371</v>
      </c>
      <c r="D49" s="214">
        <v>26722</v>
      </c>
      <c r="E49" s="207">
        <v>1242223</v>
      </c>
      <c r="F49" s="207"/>
      <c r="G49" s="207"/>
      <c r="H49" s="207"/>
      <c r="I49" s="207"/>
      <c r="J49" s="207"/>
      <c r="K49" s="207"/>
      <c r="L49" s="207"/>
      <c r="M49" s="207"/>
      <c r="N49" s="208">
        <f t="shared" si="6"/>
        <v>1268945</v>
      </c>
    </row>
    <row r="50" spans="1:14" s="3" customFormat="1" ht="24.75" customHeight="1">
      <c r="A50" s="9"/>
      <c r="B50" s="9"/>
      <c r="C50" s="687" t="s">
        <v>1145</v>
      </c>
      <c r="D50" s="214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3" customFormat="1" ht="15" customHeight="1">
      <c r="A51" s="9"/>
      <c r="B51" s="9"/>
      <c r="C51" s="687" t="s">
        <v>1099</v>
      </c>
      <c r="D51" s="214"/>
      <c r="E51" s="207"/>
      <c r="F51" s="207"/>
      <c r="G51" s="207">
        <v>69597</v>
      </c>
      <c r="H51" s="207"/>
      <c r="I51" s="207"/>
      <c r="J51" s="207"/>
      <c r="K51" s="207"/>
      <c r="L51" s="207"/>
      <c r="M51" s="207"/>
      <c r="N51" s="208">
        <f t="shared" si="6"/>
        <v>69597</v>
      </c>
    </row>
    <row r="52" spans="1:14" s="3" customFormat="1" ht="15" customHeight="1">
      <c r="A52" s="9"/>
      <c r="B52" s="9"/>
      <c r="C52" s="222" t="s">
        <v>926</v>
      </c>
      <c r="D52" s="214">
        <v>5300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8">
        <f t="shared" si="6"/>
        <v>5300</v>
      </c>
    </row>
    <row r="53" spans="1:14" s="3" customFormat="1" ht="24.75" customHeight="1">
      <c r="A53" s="9"/>
      <c r="B53" s="9"/>
      <c r="C53" s="221" t="s">
        <v>1101</v>
      </c>
      <c r="D53" s="214">
        <v>17293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8">
        <f t="shared" si="6"/>
        <v>17293</v>
      </c>
    </row>
    <row r="54" spans="1:14" s="3" customFormat="1" ht="15" customHeight="1">
      <c r="A54" s="9"/>
      <c r="B54" s="9"/>
      <c r="C54" s="224" t="s">
        <v>345</v>
      </c>
      <c r="D54" s="214"/>
      <c r="E54" s="207"/>
      <c r="F54" s="207"/>
      <c r="G54" s="207">
        <v>1700</v>
      </c>
      <c r="H54" s="207"/>
      <c r="I54" s="207"/>
      <c r="J54" s="207"/>
      <c r="K54" s="207"/>
      <c r="L54" s="207"/>
      <c r="M54" s="207"/>
      <c r="N54" s="208">
        <f>SUM(D54:M54)</f>
        <v>1700</v>
      </c>
    </row>
    <row r="55" spans="1:14" s="3" customFormat="1" ht="24.75" customHeight="1">
      <c r="A55" s="9"/>
      <c r="B55" s="9"/>
      <c r="C55" s="667" t="s">
        <v>1103</v>
      </c>
      <c r="D55" s="214">
        <v>1738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8">
        <f>SUM(D55:M55)</f>
        <v>1738</v>
      </c>
    </row>
    <row r="56" spans="1:14" s="3" customFormat="1" ht="24.75" customHeight="1">
      <c r="A56" s="9"/>
      <c r="B56" s="9"/>
      <c r="C56" s="668" t="s">
        <v>1098</v>
      </c>
      <c r="D56" s="214"/>
      <c r="E56" s="207"/>
      <c r="F56" s="207"/>
      <c r="G56" s="207"/>
      <c r="H56" s="207"/>
      <c r="I56" s="207"/>
      <c r="J56" s="207"/>
      <c r="K56" s="207"/>
      <c r="L56" s="207"/>
      <c r="M56" s="207"/>
      <c r="N56" s="208"/>
    </row>
    <row r="57" spans="1:14" s="3" customFormat="1" ht="24.75" customHeight="1">
      <c r="A57" s="9"/>
      <c r="B57" s="9"/>
      <c r="C57" s="213" t="s">
        <v>1100</v>
      </c>
      <c r="D57" s="214"/>
      <c r="E57" s="207"/>
      <c r="F57" s="207"/>
      <c r="G57" s="207"/>
      <c r="H57" s="207"/>
      <c r="I57" s="207"/>
      <c r="J57" s="207"/>
      <c r="K57" s="207"/>
      <c r="L57" s="207">
        <v>168987</v>
      </c>
      <c r="M57" s="207"/>
      <c r="N57" s="208">
        <f t="shared" si="6"/>
        <v>168987</v>
      </c>
    </row>
    <row r="58" spans="1:14" s="3" customFormat="1" ht="15" customHeight="1">
      <c r="A58" s="9"/>
      <c r="B58" s="9"/>
      <c r="C58" s="215" t="s">
        <v>370</v>
      </c>
      <c r="D58" s="214"/>
      <c r="E58" s="207"/>
      <c r="F58" s="207"/>
      <c r="G58" s="207"/>
      <c r="H58" s="207"/>
      <c r="I58" s="207"/>
      <c r="J58" s="207"/>
      <c r="K58" s="207"/>
      <c r="L58" s="207">
        <v>169168</v>
      </c>
      <c r="M58" s="207"/>
      <c r="N58" s="208">
        <f t="shared" si="6"/>
        <v>169168</v>
      </c>
    </row>
    <row r="59" spans="1:14" s="3" customFormat="1" ht="12.75" customHeight="1">
      <c r="A59" s="11"/>
      <c r="B59" s="10"/>
      <c r="C59" s="209" t="s">
        <v>335</v>
      </c>
      <c r="D59" s="210">
        <f aca="true" t="shared" si="7" ref="D59:N59">SUM(D45:D58)</f>
        <v>193863</v>
      </c>
      <c r="E59" s="210">
        <f t="shared" si="7"/>
        <v>1282233</v>
      </c>
      <c r="F59" s="210">
        <f t="shared" si="7"/>
        <v>0</v>
      </c>
      <c r="G59" s="210">
        <f t="shared" si="7"/>
        <v>71297</v>
      </c>
      <c r="H59" s="210">
        <f t="shared" si="7"/>
        <v>0</v>
      </c>
      <c r="I59" s="210">
        <f t="shared" si="7"/>
        <v>0</v>
      </c>
      <c r="J59" s="210">
        <f t="shared" si="7"/>
        <v>0</v>
      </c>
      <c r="K59" s="210">
        <f t="shared" si="7"/>
        <v>0</v>
      </c>
      <c r="L59" s="210">
        <f t="shared" si="7"/>
        <v>338155</v>
      </c>
      <c r="M59" s="210">
        <f t="shared" si="7"/>
        <v>0</v>
      </c>
      <c r="N59" s="210">
        <f t="shared" si="7"/>
        <v>1885548</v>
      </c>
    </row>
    <row r="60" spans="1:14" s="3" customFormat="1" ht="12.75" customHeight="1">
      <c r="A60" s="117">
        <v>1</v>
      </c>
      <c r="B60" s="117">
        <v>20</v>
      </c>
      <c r="C60" s="216" t="s">
        <v>247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1:14" s="3" customFormat="1" ht="12.75" customHeight="1">
      <c r="A61" s="117"/>
      <c r="B61" s="117"/>
      <c r="C61" s="218"/>
      <c r="D61" s="217"/>
      <c r="E61" s="217"/>
      <c r="F61" s="219"/>
      <c r="G61" s="217"/>
      <c r="H61" s="217"/>
      <c r="I61" s="217"/>
      <c r="J61" s="217"/>
      <c r="K61" s="217"/>
      <c r="L61" s="217"/>
      <c r="M61" s="217"/>
      <c r="N61" s="217">
        <f>SUM(D61:M61)</f>
        <v>0</v>
      </c>
    </row>
    <row r="62" spans="1:14" s="3" customFormat="1" ht="12.75" customHeight="1">
      <c r="A62" s="11"/>
      <c r="B62" s="10"/>
      <c r="C62" s="209" t="s">
        <v>1033</v>
      </c>
      <c r="D62" s="210">
        <f aca="true" t="shared" si="8" ref="D62:N62">SUM(D60:D61)</f>
        <v>0</v>
      </c>
      <c r="E62" s="210">
        <f t="shared" si="8"/>
        <v>0</v>
      </c>
      <c r="F62" s="210">
        <f t="shared" si="8"/>
        <v>0</v>
      </c>
      <c r="G62" s="210">
        <f t="shared" si="8"/>
        <v>0</v>
      </c>
      <c r="H62" s="210">
        <f t="shared" si="8"/>
        <v>0</v>
      </c>
      <c r="I62" s="210">
        <f t="shared" si="8"/>
        <v>0</v>
      </c>
      <c r="J62" s="210">
        <f t="shared" si="8"/>
        <v>0</v>
      </c>
      <c r="K62" s="210">
        <f t="shared" si="8"/>
        <v>0</v>
      </c>
      <c r="L62" s="210">
        <f t="shared" si="8"/>
        <v>0</v>
      </c>
      <c r="M62" s="210">
        <f t="shared" si="8"/>
        <v>0</v>
      </c>
      <c r="N62" s="210">
        <f t="shared" si="8"/>
        <v>0</v>
      </c>
    </row>
    <row r="63" spans="1:14" s="3" customFormat="1" ht="12.75" customHeight="1">
      <c r="A63" s="117">
        <v>1</v>
      </c>
      <c r="B63" s="117">
        <v>22</v>
      </c>
      <c r="C63" s="216" t="s">
        <v>1034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s="3" customFormat="1" ht="12.75" customHeight="1">
      <c r="A64" s="117"/>
      <c r="B64" s="83"/>
      <c r="C64" s="249"/>
      <c r="D64" s="217"/>
      <c r="E64" s="219"/>
      <c r="F64" s="219"/>
      <c r="G64" s="219"/>
      <c r="H64" s="219"/>
      <c r="I64" s="219"/>
      <c r="J64" s="219"/>
      <c r="K64" s="219"/>
      <c r="L64" s="219"/>
      <c r="M64" s="219"/>
      <c r="N64" s="219">
        <f>SUM(D64:M64)</f>
        <v>0</v>
      </c>
    </row>
    <row r="65" spans="1:14" s="3" customFormat="1" ht="12.75" customHeight="1">
      <c r="A65" s="11"/>
      <c r="B65" s="10"/>
      <c r="C65" s="209" t="s">
        <v>1035</v>
      </c>
      <c r="D65" s="210">
        <f aca="true" t="shared" si="9" ref="D65:N65">SUM(D64:D64)</f>
        <v>0</v>
      </c>
      <c r="E65" s="210">
        <f t="shared" si="9"/>
        <v>0</v>
      </c>
      <c r="F65" s="210">
        <f t="shared" si="9"/>
        <v>0</v>
      </c>
      <c r="G65" s="210">
        <f t="shared" si="9"/>
        <v>0</v>
      </c>
      <c r="H65" s="210">
        <f t="shared" si="9"/>
        <v>0</v>
      </c>
      <c r="I65" s="210">
        <f t="shared" si="9"/>
        <v>0</v>
      </c>
      <c r="J65" s="210">
        <f t="shared" si="9"/>
        <v>0</v>
      </c>
      <c r="K65" s="210">
        <f t="shared" si="9"/>
        <v>0</v>
      </c>
      <c r="L65" s="210">
        <f t="shared" si="9"/>
        <v>0</v>
      </c>
      <c r="M65" s="210">
        <f t="shared" si="9"/>
        <v>0</v>
      </c>
      <c r="N65" s="210">
        <f t="shared" si="9"/>
        <v>0</v>
      </c>
    </row>
    <row r="66" spans="1:14" s="3" customFormat="1" ht="25.5" customHeight="1">
      <c r="A66" s="10"/>
      <c r="B66" s="10"/>
      <c r="C66" s="220" t="s">
        <v>117</v>
      </c>
      <c r="D66" s="210">
        <f aca="true" t="shared" si="10" ref="D66:N66">SUM(D8+D18+D27+D31+D41+D44+D59+D62+D65)</f>
        <v>205007</v>
      </c>
      <c r="E66" s="210">
        <f t="shared" si="10"/>
        <v>1529622</v>
      </c>
      <c r="F66" s="210">
        <f t="shared" si="10"/>
        <v>0</v>
      </c>
      <c r="G66" s="210">
        <f t="shared" si="10"/>
        <v>248419</v>
      </c>
      <c r="H66" s="210">
        <f t="shared" si="10"/>
        <v>0</v>
      </c>
      <c r="I66" s="210">
        <f t="shared" si="10"/>
        <v>0</v>
      </c>
      <c r="J66" s="210">
        <f t="shared" si="10"/>
        <v>746</v>
      </c>
      <c r="K66" s="210">
        <f t="shared" si="10"/>
        <v>0</v>
      </c>
      <c r="L66" s="210">
        <f t="shared" si="10"/>
        <v>303155</v>
      </c>
      <c r="M66" s="210">
        <f t="shared" si="10"/>
        <v>0</v>
      </c>
      <c r="N66" s="210">
        <f t="shared" si="10"/>
        <v>2286949</v>
      </c>
    </row>
    <row r="67" spans="1:14" s="3" customFormat="1" ht="15" customHeight="1">
      <c r="A67" s="117">
        <v>2</v>
      </c>
      <c r="B67" s="83"/>
      <c r="C67" s="218" t="s">
        <v>114</v>
      </c>
      <c r="D67" s="219">
        <f>'táj.1.'!C20</f>
        <v>40614</v>
      </c>
      <c r="E67" s="219">
        <f>'táj.1.'!D20</f>
        <v>37876</v>
      </c>
      <c r="F67" s="219">
        <f>'táj.1.'!E20</f>
        <v>0</v>
      </c>
      <c r="G67" s="219">
        <f>'táj.1.'!F20</f>
        <v>10900</v>
      </c>
      <c r="H67" s="219">
        <f>'táj.1.'!G20</f>
        <v>0</v>
      </c>
      <c r="I67" s="219">
        <f>'táj.1.'!H20</f>
        <v>394</v>
      </c>
      <c r="J67" s="219">
        <f>'táj.1.'!I20</f>
        <v>0</v>
      </c>
      <c r="K67" s="219"/>
      <c r="L67" s="219">
        <f>'táj.1.'!J20</f>
        <v>200339</v>
      </c>
      <c r="M67" s="219">
        <f>'táj.1.'!L20</f>
        <v>0</v>
      </c>
      <c r="N67" s="219">
        <f>SUM(D67:M67)</f>
        <v>290123</v>
      </c>
    </row>
    <row r="68" spans="1:14" s="3" customFormat="1" ht="15" customHeight="1">
      <c r="A68" s="10"/>
      <c r="B68" s="10"/>
      <c r="C68" s="209" t="s">
        <v>83</v>
      </c>
      <c r="D68" s="210">
        <f aca="true" t="shared" si="11" ref="D68:N68">SUM(D66:D67)</f>
        <v>245621</v>
      </c>
      <c r="E68" s="210">
        <f t="shared" si="11"/>
        <v>1567498</v>
      </c>
      <c r="F68" s="210">
        <f t="shared" si="11"/>
        <v>0</v>
      </c>
      <c r="G68" s="210">
        <f t="shared" si="11"/>
        <v>259319</v>
      </c>
      <c r="H68" s="210">
        <f t="shared" si="11"/>
        <v>0</v>
      </c>
      <c r="I68" s="210">
        <f t="shared" si="11"/>
        <v>394</v>
      </c>
      <c r="J68" s="210">
        <f t="shared" si="11"/>
        <v>746</v>
      </c>
      <c r="K68" s="210">
        <f t="shared" si="11"/>
        <v>0</v>
      </c>
      <c r="L68" s="210">
        <f t="shared" si="11"/>
        <v>503494</v>
      </c>
      <c r="M68" s="210">
        <f t="shared" si="11"/>
        <v>0</v>
      </c>
      <c r="N68" s="210">
        <f t="shared" si="11"/>
        <v>2577072</v>
      </c>
    </row>
    <row r="69" spans="1:14" s="3" customFormat="1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30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AZ I. NEGYEDÉVBEN&amp;R&amp;"Times New Roman,Normál"11. 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7"/>
  <sheetViews>
    <sheetView tabSelected="1" zoomScaleSheetLayoutView="120" zoomScalePageLayoutView="0" workbookViewId="0" topLeftCell="A1">
      <pane ySplit="2" topLeftCell="A180" activePane="bottomLeft" state="frozen"/>
      <selection pane="topLeft" activeCell="A1" sqref="A1"/>
      <selection pane="bottomLeft" activeCell="E67" sqref="E67:E206"/>
    </sheetView>
  </sheetViews>
  <sheetFormatPr defaultColWidth="9.00390625" defaultRowHeight="12.75"/>
  <cols>
    <col min="1" max="1" width="5.125" style="17" customWidth="1"/>
    <col min="2" max="2" width="5.875" style="17" customWidth="1"/>
    <col min="3" max="3" width="9.375" style="17" customWidth="1"/>
    <col min="4" max="4" width="35.125" style="17" customWidth="1"/>
    <col min="5" max="5" width="4.375" style="17" customWidth="1"/>
    <col min="6" max="6" width="10.125" style="17" customWidth="1"/>
    <col min="7" max="7" width="11.00390625" style="17" customWidth="1"/>
    <col min="8" max="8" width="10.00390625" style="17" customWidth="1"/>
    <col min="9" max="10" width="9.375" style="17" customWidth="1"/>
    <col min="11" max="11" width="10.125" style="17" customWidth="1"/>
    <col min="12" max="12" width="9.375" style="17" customWidth="1"/>
    <col min="13" max="13" width="11.00390625" style="17" bestFit="1" customWidth="1"/>
    <col min="14" max="14" width="10.125" style="17" customWidth="1"/>
    <col min="15" max="15" width="9.875" style="17" bestFit="1" customWidth="1"/>
    <col min="16" max="16" width="10.50390625" style="17" customWidth="1"/>
    <col min="17" max="17" width="7.625" style="17" customWidth="1"/>
    <col min="18" max="16384" width="9.375" style="17" customWidth="1"/>
  </cols>
  <sheetData>
    <row r="1" spans="1:17" s="16" customFormat="1" ht="24.75" customHeight="1">
      <c r="A1" s="880" t="s">
        <v>336</v>
      </c>
      <c r="B1" s="882" t="s">
        <v>337</v>
      </c>
      <c r="C1" s="883" t="s">
        <v>327</v>
      </c>
      <c r="D1" s="884"/>
      <c r="E1" s="887" t="s">
        <v>110</v>
      </c>
      <c r="F1" s="889" t="s">
        <v>430</v>
      </c>
      <c r="G1" s="890"/>
      <c r="H1" s="890"/>
      <c r="I1" s="890"/>
      <c r="J1" s="890"/>
      <c r="K1" s="890"/>
      <c r="L1" s="890"/>
      <c r="M1" s="890"/>
      <c r="N1" s="756" t="s">
        <v>434</v>
      </c>
      <c r="O1" s="756"/>
      <c r="P1" s="879" t="s">
        <v>330</v>
      </c>
      <c r="Q1" s="827" t="s">
        <v>244</v>
      </c>
    </row>
    <row r="2" spans="1:17" ht="63.75" customHeight="1">
      <c r="A2" s="881"/>
      <c r="B2" s="807"/>
      <c r="C2" s="885"/>
      <c r="D2" s="886"/>
      <c r="E2" s="888"/>
      <c r="F2" s="176" t="s">
        <v>1011</v>
      </c>
      <c r="G2" s="176" t="s">
        <v>1159</v>
      </c>
      <c r="H2" s="176" t="s">
        <v>97</v>
      </c>
      <c r="I2" s="176" t="s">
        <v>338</v>
      </c>
      <c r="J2" s="176" t="s">
        <v>1014</v>
      </c>
      <c r="K2" s="176" t="s">
        <v>1016</v>
      </c>
      <c r="L2" s="176" t="s">
        <v>1017</v>
      </c>
      <c r="M2" s="176" t="s">
        <v>1018</v>
      </c>
      <c r="N2" s="176" t="s">
        <v>942</v>
      </c>
      <c r="O2" s="598" t="s">
        <v>943</v>
      </c>
      <c r="P2" s="793"/>
      <c r="Q2" s="828"/>
    </row>
    <row r="3" spans="1:17" ht="13.5" customHeight="1">
      <c r="A3" s="586">
        <v>1</v>
      </c>
      <c r="B3" s="586"/>
      <c r="C3" s="587" t="s">
        <v>113</v>
      </c>
      <c r="D3" s="20"/>
      <c r="E3" s="588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90"/>
      <c r="Q3" s="591"/>
    </row>
    <row r="4" spans="1:17" ht="13.5" customHeight="1">
      <c r="A4" s="18">
        <v>1</v>
      </c>
      <c r="B4" s="18">
        <v>1</v>
      </c>
      <c r="C4" s="19" t="s">
        <v>1028</v>
      </c>
      <c r="D4" s="20"/>
      <c r="E4" s="43"/>
      <c r="F4" s="21"/>
      <c r="G4" s="21"/>
      <c r="H4" s="21"/>
      <c r="I4" s="21"/>
      <c r="J4" s="21"/>
      <c r="K4" s="21"/>
      <c r="L4" s="21"/>
      <c r="M4" s="21"/>
      <c r="N4" s="21"/>
      <c r="O4" s="21"/>
      <c r="P4" s="29"/>
      <c r="Q4" s="592"/>
    </row>
    <row r="5" spans="1:17" ht="13.5" customHeight="1">
      <c r="A5" s="18">
        <v>1</v>
      </c>
      <c r="B5" s="18">
        <v>12</v>
      </c>
      <c r="C5" s="818" t="s">
        <v>1143</v>
      </c>
      <c r="D5" s="819"/>
      <c r="E5" s="43"/>
      <c r="F5" s="21"/>
      <c r="G5" s="21"/>
      <c r="H5" s="21"/>
      <c r="I5" s="21"/>
      <c r="J5" s="21"/>
      <c r="K5" s="21"/>
      <c r="L5" s="21"/>
      <c r="M5" s="21"/>
      <c r="N5" s="21"/>
      <c r="O5" s="21"/>
      <c r="P5" s="29"/>
      <c r="Q5" s="592"/>
    </row>
    <row r="6" spans="1:17" ht="13.5" customHeight="1">
      <c r="A6" s="18"/>
      <c r="B6" s="18"/>
      <c r="C6" s="818" t="s">
        <v>1121</v>
      </c>
      <c r="D6" s="875"/>
      <c r="E6" s="236">
        <v>1</v>
      </c>
      <c r="F6" s="173"/>
      <c r="G6" s="173"/>
      <c r="H6" s="173"/>
      <c r="I6" s="173">
        <v>20003</v>
      </c>
      <c r="J6" s="173"/>
      <c r="K6" s="173"/>
      <c r="L6" s="21"/>
      <c r="M6" s="21"/>
      <c r="N6" s="21"/>
      <c r="O6" s="21"/>
      <c r="P6" s="29">
        <f>SUM(F6:O6)</f>
        <v>20003</v>
      </c>
      <c r="Q6" s="592" t="s">
        <v>126</v>
      </c>
    </row>
    <row r="7" spans="1:17" ht="13.5" customHeight="1">
      <c r="A7" s="18"/>
      <c r="B7" s="18"/>
      <c r="C7" s="29" t="s">
        <v>373</v>
      </c>
      <c r="D7" s="116"/>
      <c r="E7" s="236">
        <v>1</v>
      </c>
      <c r="F7" s="173"/>
      <c r="G7" s="173"/>
      <c r="H7" s="173"/>
      <c r="I7" s="173">
        <v>60332</v>
      </c>
      <c r="J7" s="173"/>
      <c r="K7" s="173"/>
      <c r="L7" s="21"/>
      <c r="M7" s="21"/>
      <c r="N7" s="21"/>
      <c r="O7" s="21"/>
      <c r="P7" s="29">
        <f>SUM(F7:O7)</f>
        <v>60332</v>
      </c>
      <c r="Q7" s="592" t="s">
        <v>126</v>
      </c>
    </row>
    <row r="8" spans="1:17" ht="13.5" customHeight="1">
      <c r="A8" s="18"/>
      <c r="B8" s="18"/>
      <c r="C8" s="820" t="s">
        <v>1144</v>
      </c>
      <c r="D8" s="821"/>
      <c r="E8" s="236"/>
      <c r="F8" s="173"/>
      <c r="G8" s="173"/>
      <c r="H8" s="173"/>
      <c r="I8" s="173"/>
      <c r="J8" s="173"/>
      <c r="K8" s="173"/>
      <c r="L8" s="21"/>
      <c r="M8" s="21"/>
      <c r="N8" s="21"/>
      <c r="O8" s="21"/>
      <c r="P8" s="29"/>
      <c r="Q8" s="592"/>
    </row>
    <row r="9" spans="1:17" ht="13.5" customHeight="1">
      <c r="A9" s="18"/>
      <c r="B9" s="18"/>
      <c r="C9" s="29" t="s">
        <v>355</v>
      </c>
      <c r="D9" s="674"/>
      <c r="E9" s="236">
        <v>1</v>
      </c>
      <c r="F9" s="173"/>
      <c r="G9" s="173"/>
      <c r="H9" s="173"/>
      <c r="I9" s="173">
        <v>22439</v>
      </c>
      <c r="J9" s="173"/>
      <c r="K9" s="173"/>
      <c r="L9" s="21"/>
      <c r="M9" s="21"/>
      <c r="N9" s="21"/>
      <c r="O9" s="21"/>
      <c r="P9" s="29">
        <f>SUM(F9:O9)</f>
        <v>22439</v>
      </c>
      <c r="Q9" s="592" t="s">
        <v>126</v>
      </c>
    </row>
    <row r="10" spans="1:17" ht="13.5" customHeight="1">
      <c r="A10" s="18"/>
      <c r="B10" s="18"/>
      <c r="C10" s="820" t="s">
        <v>368</v>
      </c>
      <c r="D10" s="821"/>
      <c r="E10" s="236"/>
      <c r="F10" s="173"/>
      <c r="G10" s="173"/>
      <c r="H10" s="173"/>
      <c r="I10" s="173"/>
      <c r="J10" s="173"/>
      <c r="K10" s="173"/>
      <c r="L10" s="21"/>
      <c r="M10" s="21"/>
      <c r="N10" s="21"/>
      <c r="O10" s="21"/>
      <c r="P10" s="29"/>
      <c r="Q10" s="592"/>
    </row>
    <row r="11" spans="1:17" ht="13.5" customHeight="1">
      <c r="A11" s="18"/>
      <c r="B11" s="18"/>
      <c r="C11" s="29" t="s">
        <v>362</v>
      </c>
      <c r="D11" s="116"/>
      <c r="E11" s="236">
        <v>1</v>
      </c>
      <c r="F11" s="173"/>
      <c r="G11" s="173"/>
      <c r="H11" s="173"/>
      <c r="I11" s="173">
        <v>19</v>
      </c>
      <c r="J11" s="173"/>
      <c r="K11" s="173"/>
      <c r="L11" s="21"/>
      <c r="M11" s="21"/>
      <c r="N11" s="21"/>
      <c r="O11" s="21"/>
      <c r="P11" s="29">
        <f>SUM(F11:O11)</f>
        <v>19</v>
      </c>
      <c r="Q11" s="592" t="s">
        <v>126</v>
      </c>
    </row>
    <row r="12" spans="1:17" ht="13.5" customHeight="1">
      <c r="A12" s="18"/>
      <c r="B12" s="18"/>
      <c r="C12" s="820" t="s">
        <v>1144</v>
      </c>
      <c r="D12" s="821"/>
      <c r="E12" s="236">
        <v>1</v>
      </c>
      <c r="F12" s="173"/>
      <c r="G12" s="173"/>
      <c r="H12" s="173"/>
      <c r="I12" s="173"/>
      <c r="J12" s="173"/>
      <c r="K12" s="173"/>
      <c r="L12" s="21"/>
      <c r="M12" s="21"/>
      <c r="N12" s="21"/>
      <c r="O12" s="21"/>
      <c r="P12" s="29">
        <f>SUM(F12:O12)</f>
        <v>0</v>
      </c>
      <c r="Q12" s="592" t="s">
        <v>126</v>
      </c>
    </row>
    <row r="13" spans="1:17" ht="13.5" customHeight="1">
      <c r="A13" s="18"/>
      <c r="B13" s="18"/>
      <c r="C13" s="820" t="s">
        <v>1122</v>
      </c>
      <c r="D13" s="817"/>
      <c r="E13" s="236">
        <v>1</v>
      </c>
      <c r="F13" s="173"/>
      <c r="G13" s="173"/>
      <c r="H13" s="173"/>
      <c r="I13" s="173">
        <v>4396</v>
      </c>
      <c r="J13" s="173"/>
      <c r="K13" s="173"/>
      <c r="L13" s="21"/>
      <c r="M13" s="21"/>
      <c r="N13" s="21"/>
      <c r="O13" s="21"/>
      <c r="P13" s="29">
        <f>SUM(F13:O13)</f>
        <v>4396</v>
      </c>
      <c r="Q13" s="592" t="s">
        <v>126</v>
      </c>
    </row>
    <row r="14" spans="1:17" ht="13.5" customHeight="1">
      <c r="A14" s="18"/>
      <c r="B14" s="18"/>
      <c r="C14" s="197" t="s">
        <v>1123</v>
      </c>
      <c r="D14" s="31"/>
      <c r="E14" s="237"/>
      <c r="F14" s="173"/>
      <c r="G14" s="173"/>
      <c r="H14" s="173"/>
      <c r="I14" s="173"/>
      <c r="J14" s="173"/>
      <c r="K14" s="173"/>
      <c r="L14" s="21"/>
      <c r="M14" s="21"/>
      <c r="N14" s="21"/>
      <c r="O14" s="21"/>
      <c r="P14" s="29"/>
      <c r="Q14" s="592"/>
    </row>
    <row r="15" spans="1:17" ht="13.5" customHeight="1">
      <c r="A15" s="18"/>
      <c r="B15" s="18"/>
      <c r="C15" s="33" t="s">
        <v>375</v>
      </c>
      <c r="D15" s="31"/>
      <c r="E15" s="237">
        <v>1</v>
      </c>
      <c r="F15" s="173"/>
      <c r="G15" s="173"/>
      <c r="H15" s="173"/>
      <c r="I15" s="173"/>
      <c r="J15" s="173">
        <v>-2000</v>
      </c>
      <c r="K15" s="173"/>
      <c r="L15" s="21"/>
      <c r="M15" s="21"/>
      <c r="N15" s="21"/>
      <c r="O15" s="21"/>
      <c r="P15" s="29">
        <f>SUM(F15:O15)</f>
        <v>-2000</v>
      </c>
      <c r="Q15" s="592" t="s">
        <v>126</v>
      </c>
    </row>
    <row r="16" spans="1:17" ht="13.5" customHeight="1">
      <c r="A16" s="18"/>
      <c r="B16" s="18"/>
      <c r="C16" s="844" t="s">
        <v>1145</v>
      </c>
      <c r="D16" s="845"/>
      <c r="E16" s="238"/>
      <c r="F16" s="173"/>
      <c r="G16" s="173"/>
      <c r="H16" s="173"/>
      <c r="I16" s="173"/>
      <c r="J16" s="173"/>
      <c r="K16" s="173"/>
      <c r="L16" s="21"/>
      <c r="M16" s="21"/>
      <c r="N16" s="21"/>
      <c r="O16" s="21"/>
      <c r="P16" s="29"/>
      <c r="Q16" s="592"/>
    </row>
    <row r="17" spans="1:17" ht="13.5" customHeight="1">
      <c r="A17" s="18"/>
      <c r="B17" s="18"/>
      <c r="C17" s="198" t="s">
        <v>376</v>
      </c>
      <c r="D17" s="199"/>
      <c r="E17" s="239">
        <v>2</v>
      </c>
      <c r="F17" s="173"/>
      <c r="G17" s="173"/>
      <c r="H17" s="173">
        <v>-1975</v>
      </c>
      <c r="I17" s="173"/>
      <c r="J17" s="173"/>
      <c r="K17" s="173"/>
      <c r="L17" s="21"/>
      <c r="M17" s="21"/>
      <c r="N17" s="21"/>
      <c r="O17" s="21"/>
      <c r="P17" s="29">
        <f>SUM(F17:O17)</f>
        <v>-1975</v>
      </c>
      <c r="Q17" s="592" t="s">
        <v>126</v>
      </c>
    </row>
    <row r="18" spans="1:17" ht="13.5" customHeight="1">
      <c r="A18" s="18"/>
      <c r="B18" s="18"/>
      <c r="C18" s="841" t="s">
        <v>940</v>
      </c>
      <c r="D18" s="842"/>
      <c r="E18" s="239"/>
      <c r="F18" s="173"/>
      <c r="G18" s="173"/>
      <c r="H18" s="173"/>
      <c r="I18" s="173"/>
      <c r="J18" s="173"/>
      <c r="K18" s="173"/>
      <c r="L18" s="21"/>
      <c r="M18" s="21"/>
      <c r="N18" s="21"/>
      <c r="O18" s="21"/>
      <c r="P18" s="29"/>
      <c r="Q18" s="592"/>
    </row>
    <row r="19" spans="1:17" ht="13.5" customHeight="1">
      <c r="A19" s="18"/>
      <c r="B19" s="18"/>
      <c r="C19" s="41" t="s">
        <v>1157</v>
      </c>
      <c r="D19" s="42"/>
      <c r="E19" s="240">
        <v>1</v>
      </c>
      <c r="F19" s="173"/>
      <c r="G19" s="173"/>
      <c r="H19" s="173"/>
      <c r="I19" s="173">
        <v>-800</v>
      </c>
      <c r="J19" s="173">
        <v>800</v>
      </c>
      <c r="K19" s="173"/>
      <c r="L19" s="21"/>
      <c r="M19" s="21"/>
      <c r="N19" s="21"/>
      <c r="O19" s="21"/>
      <c r="P19" s="29">
        <f>SUM(F19:O19)</f>
        <v>0</v>
      </c>
      <c r="Q19" s="592" t="s">
        <v>126</v>
      </c>
    </row>
    <row r="20" spans="1:17" ht="13.5" customHeight="1">
      <c r="A20" s="174"/>
      <c r="B20" s="174"/>
      <c r="C20" s="181" t="s">
        <v>1161</v>
      </c>
      <c r="D20" s="175"/>
      <c r="E20" s="178"/>
      <c r="F20" s="177">
        <f aca="true" t="shared" si="0" ref="F20:M20">SUM(F5:F19)</f>
        <v>0</v>
      </c>
      <c r="G20" s="177">
        <f t="shared" si="0"/>
        <v>0</v>
      </c>
      <c r="H20" s="177">
        <f t="shared" si="0"/>
        <v>-1975</v>
      </c>
      <c r="I20" s="177">
        <f t="shared" si="0"/>
        <v>106389</v>
      </c>
      <c r="J20" s="177">
        <f t="shared" si="0"/>
        <v>-1200</v>
      </c>
      <c r="K20" s="177">
        <f t="shared" si="0"/>
        <v>0</v>
      </c>
      <c r="L20" s="177">
        <f t="shared" si="0"/>
        <v>0</v>
      </c>
      <c r="M20" s="177">
        <f t="shared" si="0"/>
        <v>0</v>
      </c>
      <c r="N20" s="177"/>
      <c r="O20" s="177">
        <f>SUM(O5:O19)</f>
        <v>0</v>
      </c>
      <c r="P20" s="177">
        <f>SUM(P5:P19)</f>
        <v>103214</v>
      </c>
      <c r="Q20" s="593"/>
    </row>
    <row r="21" spans="1:17" ht="13.5" customHeight="1">
      <c r="A21" s="18"/>
      <c r="B21" s="18"/>
      <c r="C21" s="170" t="s">
        <v>944</v>
      </c>
      <c r="D21" s="20"/>
      <c r="E21" s="734"/>
      <c r="F21" s="21"/>
      <c r="G21" s="21"/>
      <c r="H21" s="21"/>
      <c r="I21" s="21"/>
      <c r="J21" s="21"/>
      <c r="K21" s="21">
        <f>7!J7</f>
        <v>0</v>
      </c>
      <c r="L21" s="21"/>
      <c r="M21" s="21">
        <f>7!K7</f>
        <v>0</v>
      </c>
      <c r="N21" s="21"/>
      <c r="O21" s="21"/>
      <c r="P21" s="29">
        <f>SUM(F21:O21)</f>
        <v>0</v>
      </c>
      <c r="Q21" s="592"/>
    </row>
    <row r="22" spans="1:17" ht="13.5" customHeight="1">
      <c r="A22" s="18"/>
      <c r="B22" s="18"/>
      <c r="C22" s="170" t="s">
        <v>343</v>
      </c>
      <c r="D22" s="20"/>
      <c r="E22" s="73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9">
        <f>SUM(F22:O22)</f>
        <v>0</v>
      </c>
      <c r="Q22" s="592"/>
    </row>
    <row r="23" spans="1:17" ht="13.5" customHeight="1">
      <c r="A23" s="174"/>
      <c r="B23" s="174"/>
      <c r="C23" s="181" t="s">
        <v>1162</v>
      </c>
      <c r="D23" s="175"/>
      <c r="E23" s="735"/>
      <c r="F23" s="177">
        <f>SUM(F20:F22)</f>
        <v>0</v>
      </c>
      <c r="G23" s="177">
        <f aca="true" t="shared" si="1" ref="G23:P23">SUM(G20:G22)</f>
        <v>0</v>
      </c>
      <c r="H23" s="177">
        <f t="shared" si="1"/>
        <v>-1975</v>
      </c>
      <c r="I23" s="177">
        <f t="shared" si="1"/>
        <v>106389</v>
      </c>
      <c r="J23" s="177">
        <f t="shared" si="1"/>
        <v>-1200</v>
      </c>
      <c r="K23" s="177">
        <f t="shared" si="1"/>
        <v>0</v>
      </c>
      <c r="L23" s="177">
        <f t="shared" si="1"/>
        <v>0</v>
      </c>
      <c r="M23" s="177">
        <f t="shared" si="1"/>
        <v>0</v>
      </c>
      <c r="N23" s="177"/>
      <c r="O23" s="177">
        <f t="shared" si="1"/>
        <v>0</v>
      </c>
      <c r="P23" s="177">
        <f t="shared" si="1"/>
        <v>103214</v>
      </c>
      <c r="Q23" s="593"/>
    </row>
    <row r="24" spans="1:17" ht="13.5" customHeight="1">
      <c r="A24" s="30">
        <v>1</v>
      </c>
      <c r="B24" s="30">
        <v>13</v>
      </c>
      <c r="C24" s="59" t="s">
        <v>1027</v>
      </c>
      <c r="D24" s="39"/>
      <c r="E24" s="24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9"/>
      <c r="Q24" s="592"/>
    </row>
    <row r="25" spans="1:17" ht="13.5" customHeight="1">
      <c r="A25" s="30"/>
      <c r="B25" s="30"/>
      <c r="C25" s="675" t="s">
        <v>106</v>
      </c>
      <c r="D25" s="39"/>
      <c r="E25" s="24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9"/>
      <c r="Q25" s="592"/>
    </row>
    <row r="26" spans="1:17" ht="13.5" customHeight="1">
      <c r="A26" s="30"/>
      <c r="B26" s="30"/>
      <c r="C26" s="825" t="s">
        <v>1152</v>
      </c>
      <c r="D26" s="826"/>
      <c r="E26" s="243"/>
      <c r="F26" s="21"/>
      <c r="G26" s="21"/>
      <c r="H26" s="173"/>
      <c r="I26" s="173"/>
      <c r="J26" s="173"/>
      <c r="K26" s="21"/>
      <c r="L26" s="21"/>
      <c r="M26" s="21"/>
      <c r="N26" s="21"/>
      <c r="O26" s="21"/>
      <c r="P26" s="29"/>
      <c r="Q26" s="592"/>
    </row>
    <row r="27" spans="1:17" ht="13.5" customHeight="1">
      <c r="A27" s="30"/>
      <c r="B27" s="30"/>
      <c r="C27" s="775" t="s">
        <v>378</v>
      </c>
      <c r="D27" s="843"/>
      <c r="E27" s="243">
        <v>2</v>
      </c>
      <c r="F27" s="21"/>
      <c r="G27" s="21"/>
      <c r="H27" s="173"/>
      <c r="I27" s="173"/>
      <c r="J27" s="173">
        <v>105</v>
      </c>
      <c r="K27" s="21"/>
      <c r="L27" s="21"/>
      <c r="M27" s="21"/>
      <c r="N27" s="21"/>
      <c r="O27" s="21"/>
      <c r="P27" s="29">
        <f>SUM(F27:O27)</f>
        <v>105</v>
      </c>
      <c r="Q27" s="592" t="s">
        <v>126</v>
      </c>
    </row>
    <row r="28" spans="1:17" ht="24.75" customHeight="1">
      <c r="A28" s="30"/>
      <c r="B28" s="30"/>
      <c r="C28" s="812" t="s">
        <v>1124</v>
      </c>
      <c r="D28" s="813"/>
      <c r="E28" s="244">
        <v>2</v>
      </c>
      <c r="F28" s="173">
        <v>750</v>
      </c>
      <c r="G28" s="173">
        <v>203</v>
      </c>
      <c r="H28" s="173">
        <v>497</v>
      </c>
      <c r="I28" s="173"/>
      <c r="J28" s="173"/>
      <c r="K28" s="21"/>
      <c r="L28" s="21"/>
      <c r="M28" s="21"/>
      <c r="N28" s="21"/>
      <c r="O28" s="21"/>
      <c r="P28" s="29">
        <f>SUM(F28:O28)</f>
        <v>1450</v>
      </c>
      <c r="Q28" s="592" t="s">
        <v>126</v>
      </c>
    </row>
    <row r="29" spans="1:17" ht="15.75" customHeight="1">
      <c r="A29" s="30"/>
      <c r="B29" s="30"/>
      <c r="C29" s="822" t="s">
        <v>107</v>
      </c>
      <c r="D29" s="823"/>
      <c r="E29" s="244"/>
      <c r="F29" s="173"/>
      <c r="G29" s="173"/>
      <c r="H29" s="173"/>
      <c r="I29" s="173"/>
      <c r="J29" s="173"/>
      <c r="K29" s="21"/>
      <c r="L29" s="21"/>
      <c r="M29" s="21"/>
      <c r="N29" s="21"/>
      <c r="O29" s="21"/>
      <c r="P29" s="29"/>
      <c r="Q29" s="592"/>
    </row>
    <row r="30" spans="1:17" ht="24.75" customHeight="1">
      <c r="A30" s="30"/>
      <c r="B30" s="30"/>
      <c r="C30" s="812" t="s">
        <v>1153</v>
      </c>
      <c r="D30" s="813"/>
      <c r="E30" s="245"/>
      <c r="F30" s="21"/>
      <c r="G30" s="21"/>
      <c r="H30" s="173"/>
      <c r="I30" s="173"/>
      <c r="J30" s="173"/>
      <c r="K30" s="21"/>
      <c r="L30" s="21"/>
      <c r="M30" s="21"/>
      <c r="N30" s="21"/>
      <c r="O30" s="21"/>
      <c r="P30" s="29"/>
      <c r="Q30" s="592"/>
    </row>
    <row r="31" spans="1:17" ht="13.5" customHeight="1">
      <c r="A31" s="30"/>
      <c r="B31" s="30"/>
      <c r="C31" s="33" t="s">
        <v>379</v>
      </c>
      <c r="D31" s="31"/>
      <c r="E31" s="237">
        <v>2</v>
      </c>
      <c r="F31" s="21"/>
      <c r="G31" s="21"/>
      <c r="H31" s="173">
        <v>54</v>
      </c>
      <c r="I31" s="173"/>
      <c r="J31" s="173">
        <v>100</v>
      </c>
      <c r="K31" s="21"/>
      <c r="L31" s="21"/>
      <c r="M31" s="21"/>
      <c r="N31" s="21"/>
      <c r="O31" s="21"/>
      <c r="P31" s="29">
        <f>SUM(F31:O31)</f>
        <v>154</v>
      </c>
      <c r="Q31" s="592" t="s">
        <v>126</v>
      </c>
    </row>
    <row r="32" spans="1:17" ht="15" customHeight="1">
      <c r="A32" s="30"/>
      <c r="B32" s="30"/>
      <c r="C32" s="33" t="s">
        <v>357</v>
      </c>
      <c r="D32" s="31"/>
      <c r="E32" s="242">
        <v>2</v>
      </c>
      <c r="F32" s="21"/>
      <c r="G32" s="21"/>
      <c r="H32" s="173">
        <v>39</v>
      </c>
      <c r="I32" s="173"/>
      <c r="J32" s="173"/>
      <c r="K32" s="21"/>
      <c r="L32" s="21"/>
      <c r="M32" s="21"/>
      <c r="N32" s="21"/>
      <c r="O32" s="21"/>
      <c r="P32" s="29">
        <f>SUM(F32:O32)</f>
        <v>39</v>
      </c>
      <c r="Q32" s="592" t="s">
        <v>126</v>
      </c>
    </row>
    <row r="33" spans="1:17" ht="15" customHeight="1">
      <c r="A33" s="30"/>
      <c r="B33" s="30"/>
      <c r="C33" s="193" t="s">
        <v>1154</v>
      </c>
      <c r="D33" s="31"/>
      <c r="E33" s="246"/>
      <c r="F33" s="21"/>
      <c r="G33" s="21"/>
      <c r="H33" s="173"/>
      <c r="I33" s="173"/>
      <c r="J33" s="173"/>
      <c r="K33" s="21"/>
      <c r="L33" s="21"/>
      <c r="M33" s="21"/>
      <c r="N33" s="21"/>
      <c r="O33" s="21"/>
      <c r="P33" s="29"/>
      <c r="Q33" s="592"/>
    </row>
    <row r="34" spans="1:17" ht="13.5" customHeight="1">
      <c r="A34" s="30"/>
      <c r="B34" s="30"/>
      <c r="C34" s="33" t="s">
        <v>380</v>
      </c>
      <c r="D34" s="31"/>
      <c r="E34" s="237">
        <v>2</v>
      </c>
      <c r="F34" s="21"/>
      <c r="G34" s="21"/>
      <c r="H34" s="173">
        <v>14</v>
      </c>
      <c r="I34" s="173"/>
      <c r="J34" s="173"/>
      <c r="K34" s="21"/>
      <c r="L34" s="21"/>
      <c r="M34" s="21"/>
      <c r="N34" s="21"/>
      <c r="O34" s="21"/>
      <c r="P34" s="29">
        <f>SUM(F34:O34)</f>
        <v>14</v>
      </c>
      <c r="Q34" s="592" t="s">
        <v>126</v>
      </c>
    </row>
    <row r="35" spans="1:17" ht="13.5" customHeight="1">
      <c r="A35" s="30"/>
      <c r="B35" s="30"/>
      <c r="C35" s="814" t="s">
        <v>1155</v>
      </c>
      <c r="D35" s="815"/>
      <c r="E35" s="236"/>
      <c r="F35" s="21"/>
      <c r="G35" s="21"/>
      <c r="H35" s="173"/>
      <c r="I35" s="173"/>
      <c r="J35" s="173"/>
      <c r="K35" s="21"/>
      <c r="L35" s="21"/>
      <c r="M35" s="21"/>
      <c r="N35" s="21"/>
      <c r="O35" s="21"/>
      <c r="P35" s="29"/>
      <c r="Q35" s="592"/>
    </row>
    <row r="36" spans="1:17" ht="13.5" customHeight="1">
      <c r="A36" s="30"/>
      <c r="B36" s="30"/>
      <c r="C36" s="775" t="s">
        <v>381</v>
      </c>
      <c r="D36" s="840"/>
      <c r="E36" s="245">
        <v>2</v>
      </c>
      <c r="F36" s="21"/>
      <c r="G36" s="21"/>
      <c r="H36" s="173">
        <v>187</v>
      </c>
      <c r="I36" s="173"/>
      <c r="J36" s="173"/>
      <c r="K36" s="21"/>
      <c r="L36" s="21"/>
      <c r="M36" s="21"/>
      <c r="N36" s="21"/>
      <c r="O36" s="21"/>
      <c r="P36" s="29">
        <f>SUM(F36:O36)</f>
        <v>187</v>
      </c>
      <c r="Q36" s="592" t="s">
        <v>126</v>
      </c>
    </row>
    <row r="37" spans="1:17" ht="13.5" customHeight="1">
      <c r="A37" s="30"/>
      <c r="B37" s="30"/>
      <c r="C37" s="812" t="s">
        <v>367</v>
      </c>
      <c r="D37" s="813"/>
      <c r="E37" s="242">
        <v>2</v>
      </c>
      <c r="F37" s="21"/>
      <c r="G37" s="21"/>
      <c r="H37" s="173"/>
      <c r="I37" s="173"/>
      <c r="J37" s="173">
        <v>-1000</v>
      </c>
      <c r="K37" s="21"/>
      <c r="L37" s="21"/>
      <c r="M37" s="21"/>
      <c r="N37" s="21"/>
      <c r="O37" s="21"/>
      <c r="P37" s="29">
        <f>SUM(F37:O37)</f>
        <v>-1000</v>
      </c>
      <c r="Q37" s="592" t="s">
        <v>126</v>
      </c>
    </row>
    <row r="38" spans="1:17" ht="13.5" customHeight="1">
      <c r="A38" s="30"/>
      <c r="B38" s="30"/>
      <c r="C38" s="33" t="s">
        <v>753</v>
      </c>
      <c r="D38" s="718"/>
      <c r="E38" s="242">
        <v>1</v>
      </c>
      <c r="F38" s="21"/>
      <c r="G38" s="21"/>
      <c r="H38" s="173"/>
      <c r="I38" s="173"/>
      <c r="J38" s="173">
        <v>-1000</v>
      </c>
      <c r="K38" s="21"/>
      <c r="L38" s="21"/>
      <c r="M38" s="21"/>
      <c r="N38" s="21"/>
      <c r="O38" s="21"/>
      <c r="P38" s="29">
        <f>SUM(F38:O38)</f>
        <v>-1000</v>
      </c>
      <c r="Q38" s="592" t="s">
        <v>126</v>
      </c>
    </row>
    <row r="39" spans="1:17" ht="13.5" customHeight="1">
      <c r="A39" s="30"/>
      <c r="B39" s="30"/>
      <c r="C39" s="33" t="s">
        <v>754</v>
      </c>
      <c r="D39" s="718"/>
      <c r="E39" s="242">
        <v>2</v>
      </c>
      <c r="F39" s="21"/>
      <c r="G39" s="21"/>
      <c r="H39" s="173"/>
      <c r="I39" s="173"/>
      <c r="J39" s="173">
        <v>1500</v>
      </c>
      <c r="K39" s="21"/>
      <c r="L39" s="21"/>
      <c r="M39" s="21"/>
      <c r="N39" s="21"/>
      <c r="O39" s="21"/>
      <c r="P39" s="29">
        <f>SUM(F39:O39)</f>
        <v>1500</v>
      </c>
      <c r="Q39" s="592" t="s">
        <v>126</v>
      </c>
    </row>
    <row r="40" spans="1:17" ht="13.5" customHeight="1">
      <c r="A40" s="30"/>
      <c r="B40" s="30"/>
      <c r="C40" s="814" t="s">
        <v>1146</v>
      </c>
      <c r="D40" s="815"/>
      <c r="E40" s="236"/>
      <c r="F40" s="21"/>
      <c r="G40" s="21"/>
      <c r="H40" s="173"/>
      <c r="I40" s="173"/>
      <c r="J40" s="173"/>
      <c r="K40" s="21"/>
      <c r="L40" s="21"/>
      <c r="M40" s="21"/>
      <c r="N40" s="21"/>
      <c r="O40" s="21"/>
      <c r="P40" s="29"/>
      <c r="Q40" s="592"/>
    </row>
    <row r="41" spans="1:17" ht="13.5" customHeight="1">
      <c r="A41" s="30"/>
      <c r="B41" s="30"/>
      <c r="C41" s="33" t="s">
        <v>358</v>
      </c>
      <c r="D41" s="31"/>
      <c r="E41" s="240">
        <v>2</v>
      </c>
      <c r="F41" s="21"/>
      <c r="G41" s="21"/>
      <c r="H41" s="173"/>
      <c r="I41" s="173"/>
      <c r="J41" s="173">
        <v>150</v>
      </c>
      <c r="K41" s="21"/>
      <c r="L41" s="21"/>
      <c r="M41" s="21"/>
      <c r="N41" s="21"/>
      <c r="O41" s="21"/>
      <c r="P41" s="29">
        <f>SUM(F41:O41)</f>
        <v>150</v>
      </c>
      <c r="Q41" s="592" t="s">
        <v>377</v>
      </c>
    </row>
    <row r="42" spans="1:17" ht="13.5" customHeight="1">
      <c r="A42" s="30"/>
      <c r="B42" s="30"/>
      <c r="C42" s="33" t="s">
        <v>1158</v>
      </c>
      <c r="D42" s="196"/>
      <c r="E42" s="240">
        <v>2</v>
      </c>
      <c r="F42" s="21"/>
      <c r="G42" s="21"/>
      <c r="H42" s="173"/>
      <c r="I42" s="173"/>
      <c r="J42" s="173">
        <v>5050</v>
      </c>
      <c r="K42" s="21"/>
      <c r="L42" s="21"/>
      <c r="M42" s="21"/>
      <c r="N42" s="21"/>
      <c r="O42" s="21"/>
      <c r="P42" s="29">
        <f>SUM(F42:O42)</f>
        <v>5050</v>
      </c>
      <c r="Q42" s="592" t="s">
        <v>377</v>
      </c>
    </row>
    <row r="43" spans="1:17" ht="13.5" customHeight="1">
      <c r="A43" s="30"/>
      <c r="B43" s="30"/>
      <c r="C43" s="812" t="s">
        <v>364</v>
      </c>
      <c r="D43" s="813"/>
      <c r="E43" s="240">
        <v>2</v>
      </c>
      <c r="F43" s="21"/>
      <c r="G43" s="21"/>
      <c r="H43" s="173">
        <v>9700</v>
      </c>
      <c r="I43" s="173"/>
      <c r="J43" s="173"/>
      <c r="K43" s="21"/>
      <c r="L43" s="21"/>
      <c r="M43" s="21"/>
      <c r="N43" s="21"/>
      <c r="O43" s="21"/>
      <c r="P43" s="29">
        <f>SUM(F43:O43)</f>
        <v>9700</v>
      </c>
      <c r="Q43" s="592" t="s">
        <v>126</v>
      </c>
    </row>
    <row r="44" spans="1:17" ht="13.5" customHeight="1">
      <c r="A44" s="30"/>
      <c r="B44" s="30"/>
      <c r="C44" s="808" t="s">
        <v>105</v>
      </c>
      <c r="D44" s="809"/>
      <c r="E44" s="240"/>
      <c r="F44" s="21"/>
      <c r="G44" s="21"/>
      <c r="H44" s="173"/>
      <c r="I44" s="173"/>
      <c r="J44" s="173"/>
      <c r="K44" s="21"/>
      <c r="L44" s="21"/>
      <c r="M44" s="21"/>
      <c r="N44" s="21"/>
      <c r="O44" s="21"/>
      <c r="P44" s="29"/>
      <c r="Q44" s="592"/>
    </row>
    <row r="45" spans="1:17" ht="13.5" customHeight="1">
      <c r="A45" s="30"/>
      <c r="B45" s="30"/>
      <c r="C45" s="814" t="s">
        <v>1147</v>
      </c>
      <c r="D45" s="815"/>
      <c r="E45" s="236"/>
      <c r="F45" s="21"/>
      <c r="G45" s="21"/>
      <c r="H45" s="173"/>
      <c r="I45" s="173"/>
      <c r="J45" s="173"/>
      <c r="K45" s="21"/>
      <c r="L45" s="21"/>
      <c r="M45" s="21"/>
      <c r="N45" s="21"/>
      <c r="O45" s="21"/>
      <c r="P45" s="29"/>
      <c r="Q45" s="592"/>
    </row>
    <row r="46" spans="1:17" ht="13.5" customHeight="1">
      <c r="A46" s="30"/>
      <c r="B46" s="30"/>
      <c r="C46" s="33" t="s">
        <v>382</v>
      </c>
      <c r="D46" s="31"/>
      <c r="E46" s="237">
        <v>2</v>
      </c>
      <c r="F46" s="21"/>
      <c r="G46" s="21"/>
      <c r="H46" s="173">
        <v>127</v>
      </c>
      <c r="I46" s="173"/>
      <c r="J46" s="173"/>
      <c r="K46" s="21"/>
      <c r="L46" s="21"/>
      <c r="M46" s="21"/>
      <c r="N46" s="21"/>
      <c r="O46" s="21"/>
      <c r="P46" s="29">
        <f>SUM(F46:O46)</f>
        <v>127</v>
      </c>
      <c r="Q46" s="592" t="s">
        <v>126</v>
      </c>
    </row>
    <row r="47" spans="1:17" ht="13.5" customHeight="1">
      <c r="A47" s="30"/>
      <c r="B47" s="30"/>
      <c r="C47" s="810" t="s">
        <v>1149</v>
      </c>
      <c r="D47" s="811"/>
      <c r="E47" s="245"/>
      <c r="F47" s="21"/>
      <c r="G47" s="21"/>
      <c r="H47" s="173"/>
      <c r="I47" s="173"/>
      <c r="J47" s="173"/>
      <c r="K47" s="21"/>
      <c r="L47" s="21"/>
      <c r="M47" s="21"/>
      <c r="N47" s="21"/>
      <c r="O47" s="21"/>
      <c r="P47" s="29"/>
      <c r="Q47" s="592"/>
    </row>
    <row r="48" spans="1:17" ht="13.5" customHeight="1">
      <c r="A48" s="30"/>
      <c r="B48" s="30"/>
      <c r="C48" s="33" t="s">
        <v>374</v>
      </c>
      <c r="D48" s="31"/>
      <c r="E48" s="237">
        <v>1</v>
      </c>
      <c r="F48" s="21"/>
      <c r="G48" s="21"/>
      <c r="H48" s="173"/>
      <c r="I48" s="173"/>
      <c r="J48" s="173">
        <v>-28932</v>
      </c>
      <c r="K48" s="21"/>
      <c r="L48" s="21"/>
      <c r="M48" s="21"/>
      <c r="N48" s="21"/>
      <c r="O48" s="21"/>
      <c r="P48" s="29">
        <f>SUM(F48:O48)</f>
        <v>-28932</v>
      </c>
      <c r="Q48" s="592" t="s">
        <v>126</v>
      </c>
    </row>
    <row r="49" spans="1:17" ht="13.5" customHeight="1">
      <c r="A49" s="30"/>
      <c r="B49" s="30"/>
      <c r="C49" s="33" t="s">
        <v>1148</v>
      </c>
      <c r="D49" s="31"/>
      <c r="E49" s="237"/>
      <c r="F49" s="21"/>
      <c r="G49" s="21"/>
      <c r="H49" s="173"/>
      <c r="I49" s="173"/>
      <c r="J49" s="173"/>
      <c r="K49" s="21"/>
      <c r="L49" s="21"/>
      <c r="M49" s="21"/>
      <c r="N49" s="21"/>
      <c r="O49" s="21"/>
      <c r="P49" s="29"/>
      <c r="Q49" s="592"/>
    </row>
    <row r="50" spans="1:17" ht="13.5" customHeight="1">
      <c r="A50" s="30"/>
      <c r="B50" s="30"/>
      <c r="C50" s="33" t="s">
        <v>901</v>
      </c>
      <c r="D50" s="31"/>
      <c r="E50" s="237">
        <v>1</v>
      </c>
      <c r="F50" s="21"/>
      <c r="G50" s="21"/>
      <c r="H50" s="173">
        <v>2465</v>
      </c>
      <c r="I50" s="173"/>
      <c r="J50" s="173"/>
      <c r="K50" s="21"/>
      <c r="L50" s="21"/>
      <c r="M50" s="21"/>
      <c r="N50" s="21"/>
      <c r="O50" s="21"/>
      <c r="P50" s="29">
        <f>SUM(F50:O50)</f>
        <v>2465</v>
      </c>
      <c r="Q50" s="592" t="s">
        <v>126</v>
      </c>
    </row>
    <row r="51" spans="1:17" ht="15" customHeight="1">
      <c r="A51" s="30"/>
      <c r="B51" s="30"/>
      <c r="C51" s="775" t="s">
        <v>1156</v>
      </c>
      <c r="D51" s="824"/>
      <c r="E51" s="237"/>
      <c r="F51" s="21"/>
      <c r="G51" s="21"/>
      <c r="H51" s="173"/>
      <c r="I51" s="173"/>
      <c r="J51" s="173"/>
      <c r="K51" s="21"/>
      <c r="L51" s="21"/>
      <c r="M51" s="21"/>
      <c r="N51" s="21"/>
      <c r="O51" s="21"/>
      <c r="P51" s="29"/>
      <c r="Q51" s="592"/>
    </row>
    <row r="52" spans="1:17" ht="15" customHeight="1">
      <c r="A52" s="30"/>
      <c r="B52" s="30"/>
      <c r="C52" s="814" t="s">
        <v>356</v>
      </c>
      <c r="D52" s="815"/>
      <c r="E52" s="237">
        <v>2</v>
      </c>
      <c r="F52" s="173"/>
      <c r="G52" s="173"/>
      <c r="H52" s="173">
        <v>250</v>
      </c>
      <c r="I52" s="173"/>
      <c r="J52" s="173"/>
      <c r="K52" s="21"/>
      <c r="L52" s="21"/>
      <c r="M52" s="21"/>
      <c r="N52" s="21"/>
      <c r="O52" s="21"/>
      <c r="P52" s="29">
        <f>SUM(F52:O52)</f>
        <v>250</v>
      </c>
      <c r="Q52" s="592" t="s">
        <v>126</v>
      </c>
    </row>
    <row r="53" spans="1:17" ht="13.5" customHeight="1">
      <c r="A53" s="30"/>
      <c r="B53" s="30"/>
      <c r="C53" s="676" t="s">
        <v>108</v>
      </c>
      <c r="D53" s="31"/>
      <c r="E53" s="237"/>
      <c r="F53" s="21"/>
      <c r="G53" s="21"/>
      <c r="H53" s="173"/>
      <c r="I53" s="173"/>
      <c r="J53" s="173"/>
      <c r="K53" s="21"/>
      <c r="L53" s="21"/>
      <c r="M53" s="21"/>
      <c r="N53" s="21"/>
      <c r="O53" s="21"/>
      <c r="P53" s="29"/>
      <c r="Q53" s="592"/>
    </row>
    <row r="54" spans="1:17" ht="13.5" customHeight="1">
      <c r="A54" s="30"/>
      <c r="B54" s="30"/>
      <c r="C54" s="825" t="s">
        <v>1150</v>
      </c>
      <c r="D54" s="826"/>
      <c r="E54" s="236"/>
      <c r="F54" s="21"/>
      <c r="G54" s="21"/>
      <c r="H54" s="173"/>
      <c r="I54" s="173"/>
      <c r="J54" s="173"/>
      <c r="K54" s="21"/>
      <c r="L54" s="21"/>
      <c r="M54" s="21"/>
      <c r="N54" s="21"/>
      <c r="O54" s="21"/>
      <c r="P54" s="29"/>
      <c r="Q54" s="592"/>
    </row>
    <row r="55" spans="1:17" ht="13.5" customHeight="1">
      <c r="A55" s="30"/>
      <c r="B55" s="30"/>
      <c r="C55" s="33" t="s">
        <v>383</v>
      </c>
      <c r="D55" s="31"/>
      <c r="E55" s="237">
        <v>2</v>
      </c>
      <c r="F55" s="21"/>
      <c r="G55" s="21"/>
      <c r="H55" s="173"/>
      <c r="I55" s="173"/>
      <c r="J55" s="173">
        <v>53400</v>
      </c>
      <c r="K55" s="21"/>
      <c r="L55" s="21"/>
      <c r="M55" s="21"/>
      <c r="N55" s="21"/>
      <c r="O55" s="21"/>
      <c r="P55" s="29">
        <f>SUM(F55:O55)</f>
        <v>53400</v>
      </c>
      <c r="Q55" s="592" t="s">
        <v>126</v>
      </c>
    </row>
    <row r="56" spans="1:17" ht="13.5" customHeight="1">
      <c r="A56" s="30"/>
      <c r="B56" s="30"/>
      <c r="C56" s="33" t="s">
        <v>109</v>
      </c>
      <c r="D56" s="31"/>
      <c r="E56" s="237">
        <v>2</v>
      </c>
      <c r="F56" s="21"/>
      <c r="G56" s="21"/>
      <c r="H56" s="173"/>
      <c r="I56" s="173"/>
      <c r="J56" s="173">
        <v>175</v>
      </c>
      <c r="K56" s="21"/>
      <c r="L56" s="21"/>
      <c r="M56" s="21"/>
      <c r="N56" s="21"/>
      <c r="O56" s="173"/>
      <c r="P56" s="29">
        <f>SUM(F56:O56)</f>
        <v>175</v>
      </c>
      <c r="Q56" s="592" t="s">
        <v>126</v>
      </c>
    </row>
    <row r="57" spans="1:17" ht="13.5" customHeight="1">
      <c r="A57" s="30"/>
      <c r="B57" s="30"/>
      <c r="C57" s="825" t="s">
        <v>366</v>
      </c>
      <c r="D57" s="826"/>
      <c r="E57" s="237">
        <v>1</v>
      </c>
      <c r="F57" s="21"/>
      <c r="G57" s="21"/>
      <c r="H57" s="173"/>
      <c r="I57" s="173"/>
      <c r="J57" s="173">
        <v>100</v>
      </c>
      <c r="K57" s="21"/>
      <c r="L57" s="21"/>
      <c r="M57" s="21"/>
      <c r="N57" s="21"/>
      <c r="O57" s="173"/>
      <c r="P57" s="29">
        <f>SUM(F57:O57)</f>
        <v>100</v>
      </c>
      <c r="Q57" s="592" t="s">
        <v>126</v>
      </c>
    </row>
    <row r="58" spans="1:17" ht="13.5" customHeight="1">
      <c r="A58" s="30"/>
      <c r="B58" s="30"/>
      <c r="C58" s="825" t="s">
        <v>1151</v>
      </c>
      <c r="D58" s="826"/>
      <c r="E58" s="236"/>
      <c r="F58" s="21"/>
      <c r="G58" s="21"/>
      <c r="H58" s="173"/>
      <c r="I58" s="173"/>
      <c r="J58" s="173"/>
      <c r="K58" s="21"/>
      <c r="L58" s="21"/>
      <c r="M58" s="21"/>
      <c r="N58" s="21"/>
      <c r="O58" s="21"/>
      <c r="P58" s="29">
        <f>SUM(F58:O58)</f>
        <v>0</v>
      </c>
      <c r="Q58" s="592"/>
    </row>
    <row r="59" spans="1:17" ht="13.5" customHeight="1">
      <c r="A59" s="30"/>
      <c r="B59" s="30"/>
      <c r="C59" s="41" t="s">
        <v>384</v>
      </c>
      <c r="D59" s="185"/>
      <c r="E59" s="30">
        <v>1</v>
      </c>
      <c r="F59" s="21"/>
      <c r="G59" s="21"/>
      <c r="H59" s="173">
        <v>127</v>
      </c>
      <c r="I59" s="173"/>
      <c r="J59" s="173">
        <v>100</v>
      </c>
      <c r="K59" s="21"/>
      <c r="L59" s="21"/>
      <c r="M59" s="21"/>
      <c r="N59" s="21"/>
      <c r="O59" s="21"/>
      <c r="P59" s="29">
        <f>SUM(F59:O59)</f>
        <v>227</v>
      </c>
      <c r="Q59" s="592" t="s">
        <v>126</v>
      </c>
    </row>
    <row r="60" spans="1:17" ht="13.5" customHeight="1">
      <c r="A60" s="30"/>
      <c r="B60" s="30"/>
      <c r="C60" s="837" t="s">
        <v>1036</v>
      </c>
      <c r="D60" s="876"/>
      <c r="E60" s="236"/>
      <c r="F60" s="21"/>
      <c r="G60" s="21"/>
      <c r="H60" s="173"/>
      <c r="I60" s="173"/>
      <c r="J60" s="173"/>
      <c r="K60" s="21"/>
      <c r="L60" s="21"/>
      <c r="M60" s="21"/>
      <c r="N60" s="21"/>
      <c r="O60" s="21"/>
      <c r="P60" s="29"/>
      <c r="Q60" s="592"/>
    </row>
    <row r="61" spans="1:17" ht="13.5" customHeight="1">
      <c r="A61" s="30"/>
      <c r="B61" s="30"/>
      <c r="C61" s="41" t="s">
        <v>385</v>
      </c>
      <c r="D61" s="42"/>
      <c r="E61" s="247">
        <v>1</v>
      </c>
      <c r="F61" s="21"/>
      <c r="G61" s="21"/>
      <c r="H61" s="173"/>
      <c r="I61" s="173"/>
      <c r="J61" s="173">
        <v>-1900</v>
      </c>
      <c r="K61" s="21"/>
      <c r="L61" s="21"/>
      <c r="M61" s="21"/>
      <c r="N61" s="21"/>
      <c r="O61" s="21"/>
      <c r="P61" s="29">
        <f aca="true" t="shared" si="2" ref="P61:P66">SUM(F61:O61)</f>
        <v>-1900</v>
      </c>
      <c r="Q61" s="592" t="s">
        <v>126</v>
      </c>
    </row>
    <row r="62" spans="1:17" ht="13.5" customHeight="1">
      <c r="A62" s="30"/>
      <c r="B62" s="30"/>
      <c r="C62" s="873" t="s">
        <v>1037</v>
      </c>
      <c r="D62" s="874"/>
      <c r="E62" s="247">
        <v>1</v>
      </c>
      <c r="F62" s="21"/>
      <c r="G62" s="21"/>
      <c r="H62" s="173"/>
      <c r="I62" s="173"/>
      <c r="J62" s="173">
        <v>4534</v>
      </c>
      <c r="K62" s="21"/>
      <c r="L62" s="21"/>
      <c r="M62" s="21"/>
      <c r="N62" s="21"/>
      <c r="O62" s="21"/>
      <c r="P62" s="29">
        <f t="shared" si="2"/>
        <v>4534</v>
      </c>
      <c r="Q62" s="592" t="s">
        <v>126</v>
      </c>
    </row>
    <row r="63" spans="1:17" ht="13.5" customHeight="1">
      <c r="A63" s="30"/>
      <c r="B63" s="30"/>
      <c r="C63" s="41" t="s">
        <v>1038</v>
      </c>
      <c r="D63" s="196"/>
      <c r="E63" s="240">
        <v>1</v>
      </c>
      <c r="F63" s="21"/>
      <c r="G63" s="21"/>
      <c r="H63" s="173"/>
      <c r="I63" s="173"/>
      <c r="J63" s="173"/>
      <c r="K63" s="21"/>
      <c r="L63" s="21"/>
      <c r="M63" s="21"/>
      <c r="N63" s="21"/>
      <c r="O63" s="21"/>
      <c r="P63" s="29">
        <f t="shared" si="2"/>
        <v>0</v>
      </c>
      <c r="Q63" s="592" t="s">
        <v>346</v>
      </c>
    </row>
    <row r="64" spans="1:17" ht="13.5" customHeight="1">
      <c r="A64" s="30"/>
      <c r="B64" s="30"/>
      <c r="C64" s="816" t="s">
        <v>386</v>
      </c>
      <c r="D64" s="817"/>
      <c r="E64" s="236">
        <v>2</v>
      </c>
      <c r="F64" s="21"/>
      <c r="G64" s="21"/>
      <c r="H64" s="173"/>
      <c r="I64" s="173"/>
      <c r="J64" s="173">
        <v>330</v>
      </c>
      <c r="K64" s="21"/>
      <c r="L64" s="21"/>
      <c r="M64" s="21"/>
      <c r="N64" s="21"/>
      <c r="O64" s="21"/>
      <c r="P64" s="29">
        <f t="shared" si="2"/>
        <v>330</v>
      </c>
      <c r="Q64" s="592" t="s">
        <v>126</v>
      </c>
    </row>
    <row r="65" spans="1:17" ht="24.75" customHeight="1">
      <c r="A65" s="30"/>
      <c r="B65" s="30"/>
      <c r="C65" s="847" t="s">
        <v>1039</v>
      </c>
      <c r="D65" s="848"/>
      <c r="E65" s="236">
        <v>1</v>
      </c>
      <c r="F65" s="21"/>
      <c r="G65" s="21"/>
      <c r="H65" s="173"/>
      <c r="I65" s="173"/>
      <c r="J65" s="173">
        <v>1800</v>
      </c>
      <c r="K65" s="21"/>
      <c r="L65" s="21"/>
      <c r="M65" s="21"/>
      <c r="N65" s="21"/>
      <c r="O65" s="21"/>
      <c r="P65" s="29">
        <f t="shared" si="2"/>
        <v>1800</v>
      </c>
      <c r="Q65" s="592" t="s">
        <v>126</v>
      </c>
    </row>
    <row r="66" spans="1:17" ht="13.5" customHeight="1">
      <c r="A66" s="30"/>
      <c r="B66" s="30"/>
      <c r="C66" s="775" t="s">
        <v>387</v>
      </c>
      <c r="D66" s="849"/>
      <c r="E66" s="248">
        <v>2</v>
      </c>
      <c r="F66" s="21"/>
      <c r="G66" s="173"/>
      <c r="H66" s="173"/>
      <c r="I66" s="173"/>
      <c r="J66" s="173">
        <v>3450</v>
      </c>
      <c r="K66" s="21"/>
      <c r="L66" s="21"/>
      <c r="M66" s="21"/>
      <c r="N66" s="21"/>
      <c r="O66" s="21"/>
      <c r="P66" s="29">
        <f t="shared" si="2"/>
        <v>3450</v>
      </c>
      <c r="Q66" s="592" t="s">
        <v>126</v>
      </c>
    </row>
    <row r="67" spans="1:17" ht="13.5" customHeight="1">
      <c r="A67" s="34"/>
      <c r="B67" s="34"/>
      <c r="C67" s="184" t="s">
        <v>1163</v>
      </c>
      <c r="D67" s="183"/>
      <c r="E67" s="34"/>
      <c r="F67" s="177">
        <f aca="true" t="shared" si="3" ref="F67:P67">SUM(F26:F66)</f>
        <v>750</v>
      </c>
      <c r="G67" s="177">
        <f t="shared" si="3"/>
        <v>203</v>
      </c>
      <c r="H67" s="177">
        <f t="shared" si="3"/>
        <v>13460</v>
      </c>
      <c r="I67" s="177">
        <f t="shared" si="3"/>
        <v>0</v>
      </c>
      <c r="J67" s="177">
        <f t="shared" si="3"/>
        <v>37962</v>
      </c>
      <c r="K67" s="177">
        <f t="shared" si="3"/>
        <v>0</v>
      </c>
      <c r="L67" s="177">
        <f t="shared" si="3"/>
        <v>0</v>
      </c>
      <c r="M67" s="177">
        <f t="shared" si="3"/>
        <v>0</v>
      </c>
      <c r="N67" s="177">
        <f t="shared" si="3"/>
        <v>0</v>
      </c>
      <c r="O67" s="177">
        <f t="shared" si="3"/>
        <v>0</v>
      </c>
      <c r="P67" s="177">
        <f t="shared" si="3"/>
        <v>52375</v>
      </c>
      <c r="Q67" s="177"/>
    </row>
    <row r="68" spans="1:17" ht="13.5" customHeight="1">
      <c r="A68" s="18"/>
      <c r="B68" s="18"/>
      <c r="C68" s="33" t="s">
        <v>945</v>
      </c>
      <c r="D68" s="20"/>
      <c r="E68" s="40"/>
      <c r="F68" s="21"/>
      <c r="G68" s="21"/>
      <c r="H68" s="21"/>
      <c r="I68" s="21"/>
      <c r="J68" s="21"/>
      <c r="K68" s="173">
        <f>7!J32</f>
        <v>42600</v>
      </c>
      <c r="L68" s="173"/>
      <c r="M68" s="173">
        <f>7!K32</f>
        <v>16200</v>
      </c>
      <c r="N68" s="173"/>
      <c r="O68" s="18"/>
      <c r="P68" s="29">
        <f>SUM(F68:O68)</f>
        <v>58800</v>
      </c>
      <c r="Q68" s="592"/>
    </row>
    <row r="69" spans="1:17" ht="13.5" customHeight="1">
      <c r="A69" s="18"/>
      <c r="B69" s="18"/>
      <c r="C69" s="33" t="s">
        <v>343</v>
      </c>
      <c r="D69" s="20"/>
      <c r="E69" s="40"/>
      <c r="F69" s="21"/>
      <c r="G69" s="21"/>
      <c r="H69" s="21"/>
      <c r="I69" s="21"/>
      <c r="J69" s="21"/>
      <c r="K69" s="173"/>
      <c r="L69" s="173">
        <f>8!J44</f>
        <v>-2500</v>
      </c>
      <c r="M69" s="173">
        <f>8!K44</f>
        <v>2500</v>
      </c>
      <c r="N69" s="173"/>
      <c r="O69" s="18"/>
      <c r="P69" s="29">
        <f>SUM(F69:O69)</f>
        <v>0</v>
      </c>
      <c r="Q69" s="592"/>
    </row>
    <row r="70" spans="1:17" ht="13.5" customHeight="1">
      <c r="A70" s="174"/>
      <c r="B70" s="174"/>
      <c r="C70" s="35" t="s">
        <v>1030</v>
      </c>
      <c r="D70" s="175"/>
      <c r="E70" s="178"/>
      <c r="F70" s="177">
        <f>SUM(F67:F69)</f>
        <v>750</v>
      </c>
      <c r="G70" s="177">
        <f aca="true" t="shared" si="4" ref="G70:P70">SUM(G67:G69)</f>
        <v>203</v>
      </c>
      <c r="H70" s="177">
        <f t="shared" si="4"/>
        <v>13460</v>
      </c>
      <c r="I70" s="177">
        <f t="shared" si="4"/>
        <v>0</v>
      </c>
      <c r="J70" s="177">
        <f t="shared" si="4"/>
        <v>37962</v>
      </c>
      <c r="K70" s="177">
        <f t="shared" si="4"/>
        <v>42600</v>
      </c>
      <c r="L70" s="177">
        <f t="shared" si="4"/>
        <v>-2500</v>
      </c>
      <c r="M70" s="177">
        <f t="shared" si="4"/>
        <v>18700</v>
      </c>
      <c r="N70" s="177">
        <f t="shared" si="4"/>
        <v>0</v>
      </c>
      <c r="O70" s="177">
        <f t="shared" si="4"/>
        <v>0</v>
      </c>
      <c r="P70" s="177">
        <f t="shared" si="4"/>
        <v>111175</v>
      </c>
      <c r="Q70" s="593"/>
    </row>
    <row r="71" spans="1:17" ht="13.5" customHeight="1">
      <c r="A71" s="18">
        <v>1</v>
      </c>
      <c r="B71" s="18">
        <v>15</v>
      </c>
      <c r="C71" s="38" t="s">
        <v>1164</v>
      </c>
      <c r="D71" s="185"/>
      <c r="E71" s="30"/>
      <c r="F71" s="21"/>
      <c r="G71" s="21"/>
      <c r="H71" s="21"/>
      <c r="I71" s="21"/>
      <c r="J71" s="21"/>
      <c r="K71" s="179"/>
      <c r="L71" s="179"/>
      <c r="M71" s="179"/>
      <c r="N71" s="179"/>
      <c r="O71" s="21"/>
      <c r="P71" s="29"/>
      <c r="Q71" s="594"/>
    </row>
    <row r="72" spans="1:17" ht="13.5" customHeight="1">
      <c r="A72" s="18"/>
      <c r="B72" s="18"/>
      <c r="C72" s="195" t="s">
        <v>1040</v>
      </c>
      <c r="D72" s="719" t="s">
        <v>389</v>
      </c>
      <c r="E72" s="40"/>
      <c r="F72" s="21"/>
      <c r="G72" s="21"/>
      <c r="H72" s="21"/>
      <c r="I72" s="21"/>
      <c r="J72" s="21"/>
      <c r="K72" s="179"/>
      <c r="L72" s="179"/>
      <c r="M72" s="179"/>
      <c r="N72" s="179"/>
      <c r="O72" s="21"/>
      <c r="P72" s="29"/>
      <c r="Q72" s="594"/>
    </row>
    <row r="73" spans="1:17" ht="13.5" customHeight="1">
      <c r="A73" s="18"/>
      <c r="B73" s="18"/>
      <c r="C73" s="41" t="s">
        <v>388</v>
      </c>
      <c r="D73" s="185"/>
      <c r="E73" s="30">
        <v>1</v>
      </c>
      <c r="F73" s="173"/>
      <c r="G73" s="173"/>
      <c r="H73" s="173">
        <v>-1448</v>
      </c>
      <c r="I73" s="173"/>
      <c r="J73" s="173"/>
      <c r="K73" s="173"/>
      <c r="L73" s="173"/>
      <c r="M73" s="173"/>
      <c r="N73" s="173"/>
      <c r="O73" s="173"/>
      <c r="P73" s="29">
        <f aca="true" t="shared" si="5" ref="P73:P78">SUM(F73:O73)</f>
        <v>-1448</v>
      </c>
      <c r="Q73" s="594" t="s">
        <v>394</v>
      </c>
    </row>
    <row r="74" spans="1:17" ht="13.5" customHeight="1">
      <c r="A74" s="18"/>
      <c r="B74" s="18"/>
      <c r="C74" s="195" t="s">
        <v>1041</v>
      </c>
      <c r="D74" s="719"/>
      <c r="E74" s="30">
        <v>1</v>
      </c>
      <c r="F74" s="173"/>
      <c r="G74" s="173"/>
      <c r="H74" s="173">
        <v>771</v>
      </c>
      <c r="I74" s="173"/>
      <c r="J74" s="173"/>
      <c r="K74" s="173"/>
      <c r="L74" s="173"/>
      <c r="M74" s="173"/>
      <c r="N74" s="173"/>
      <c r="O74" s="173"/>
      <c r="P74" s="29">
        <f t="shared" si="5"/>
        <v>771</v>
      </c>
      <c r="Q74" s="594" t="s">
        <v>126</v>
      </c>
    </row>
    <row r="75" spans="1:17" ht="13.5" customHeight="1">
      <c r="A75" s="18"/>
      <c r="B75" s="18"/>
      <c r="C75" s="195" t="s">
        <v>1042</v>
      </c>
      <c r="D75" s="719"/>
      <c r="E75" s="30">
        <v>2</v>
      </c>
      <c r="F75" s="173"/>
      <c r="G75" s="173"/>
      <c r="H75" s="173">
        <v>-1000</v>
      </c>
      <c r="I75" s="173"/>
      <c r="J75" s="173"/>
      <c r="K75" s="173"/>
      <c r="L75" s="173"/>
      <c r="M75" s="173"/>
      <c r="N75" s="173"/>
      <c r="O75" s="173"/>
      <c r="P75" s="29">
        <f t="shared" si="5"/>
        <v>-1000</v>
      </c>
      <c r="Q75" s="594" t="s">
        <v>346</v>
      </c>
    </row>
    <row r="76" spans="1:17" ht="13.5" customHeight="1">
      <c r="A76" s="18"/>
      <c r="B76" s="18"/>
      <c r="C76" s="195" t="s">
        <v>1043</v>
      </c>
      <c r="D76" s="719"/>
      <c r="E76" s="30">
        <v>1</v>
      </c>
      <c r="F76" s="173"/>
      <c r="G76" s="173"/>
      <c r="H76" s="173">
        <v>390</v>
      </c>
      <c r="I76" s="173"/>
      <c r="J76" s="173"/>
      <c r="K76" s="173"/>
      <c r="L76" s="173"/>
      <c r="M76" s="173"/>
      <c r="N76" s="173"/>
      <c r="O76" s="173"/>
      <c r="P76" s="29">
        <f t="shared" si="5"/>
        <v>390</v>
      </c>
      <c r="Q76" s="594" t="s">
        <v>126</v>
      </c>
    </row>
    <row r="77" spans="1:17" ht="13.5" customHeight="1">
      <c r="A77" s="18"/>
      <c r="B77" s="18"/>
      <c r="C77" s="195" t="s">
        <v>390</v>
      </c>
      <c r="D77" s="736"/>
      <c r="E77" s="742">
        <v>1</v>
      </c>
      <c r="F77" s="173"/>
      <c r="G77" s="173"/>
      <c r="H77" s="173">
        <v>1054</v>
      </c>
      <c r="I77" s="173"/>
      <c r="J77" s="173"/>
      <c r="K77" s="173"/>
      <c r="L77" s="173"/>
      <c r="M77" s="173"/>
      <c r="N77" s="173"/>
      <c r="O77" s="173"/>
      <c r="P77" s="29">
        <f t="shared" si="5"/>
        <v>1054</v>
      </c>
      <c r="Q77" s="594" t="s">
        <v>394</v>
      </c>
    </row>
    <row r="78" spans="1:17" ht="13.5" customHeight="1">
      <c r="A78" s="18"/>
      <c r="B78" s="18"/>
      <c r="C78" s="825" t="s">
        <v>1044</v>
      </c>
      <c r="D78" s="872"/>
      <c r="E78" s="742">
        <v>2</v>
      </c>
      <c r="F78" s="173"/>
      <c r="G78" s="173"/>
      <c r="H78" s="173">
        <v>3628</v>
      </c>
      <c r="I78" s="173"/>
      <c r="J78" s="173"/>
      <c r="K78" s="173"/>
      <c r="L78" s="173"/>
      <c r="M78" s="173"/>
      <c r="N78" s="173"/>
      <c r="O78" s="173"/>
      <c r="P78" s="29">
        <f t="shared" si="5"/>
        <v>3628</v>
      </c>
      <c r="Q78" s="594" t="s">
        <v>126</v>
      </c>
    </row>
    <row r="79" spans="1:17" ht="13.5" customHeight="1">
      <c r="A79" s="18"/>
      <c r="B79" s="18"/>
      <c r="C79" s="816" t="s">
        <v>1045</v>
      </c>
      <c r="D79" s="846"/>
      <c r="E79" s="74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29"/>
      <c r="Q79" s="594"/>
    </row>
    <row r="80" spans="1:17" ht="13.5" customHeight="1">
      <c r="A80" s="18"/>
      <c r="B80" s="18"/>
      <c r="C80" s="41" t="s">
        <v>391</v>
      </c>
      <c r="D80" s="719"/>
      <c r="E80" s="40">
        <v>1</v>
      </c>
      <c r="F80" s="173"/>
      <c r="G80" s="173"/>
      <c r="H80" s="173">
        <v>5557</v>
      </c>
      <c r="I80" s="173"/>
      <c r="J80" s="173"/>
      <c r="K80" s="173"/>
      <c r="L80" s="173"/>
      <c r="M80" s="173"/>
      <c r="N80" s="173"/>
      <c r="O80" s="173"/>
      <c r="P80" s="29">
        <f>SUM(F80:O80)</f>
        <v>5557</v>
      </c>
      <c r="Q80" s="594" t="s">
        <v>126</v>
      </c>
    </row>
    <row r="81" spans="1:17" ht="13.5" customHeight="1">
      <c r="A81" s="18"/>
      <c r="B81" s="18"/>
      <c r="C81" s="816" t="s">
        <v>392</v>
      </c>
      <c r="D81" s="856"/>
      <c r="E81" s="743">
        <v>1</v>
      </c>
      <c r="F81" s="173"/>
      <c r="G81" s="173"/>
      <c r="H81" s="173">
        <v>1611</v>
      </c>
      <c r="I81" s="173"/>
      <c r="J81" s="173"/>
      <c r="K81" s="173"/>
      <c r="L81" s="173"/>
      <c r="M81" s="173"/>
      <c r="N81" s="173"/>
      <c r="O81" s="173"/>
      <c r="P81" s="29">
        <f>SUM(F81:O81)</f>
        <v>1611</v>
      </c>
      <c r="Q81" s="594" t="s">
        <v>126</v>
      </c>
    </row>
    <row r="82" spans="1:17" ht="13.5" customHeight="1">
      <c r="A82" s="18"/>
      <c r="B82" s="18"/>
      <c r="C82" s="816" t="s">
        <v>1046</v>
      </c>
      <c r="D82" s="846"/>
      <c r="E82" s="74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29"/>
      <c r="Q82" s="594"/>
    </row>
    <row r="83" spans="1:17" ht="13.5" customHeight="1">
      <c r="A83" s="18"/>
      <c r="B83" s="18"/>
      <c r="C83" s="195" t="s">
        <v>393</v>
      </c>
      <c r="D83" s="737"/>
      <c r="E83" s="743">
        <v>1</v>
      </c>
      <c r="F83" s="173"/>
      <c r="G83" s="173"/>
      <c r="H83" s="173">
        <v>-389</v>
      </c>
      <c r="I83" s="173"/>
      <c r="J83" s="173"/>
      <c r="K83" s="173"/>
      <c r="L83" s="173"/>
      <c r="M83" s="173"/>
      <c r="N83" s="173"/>
      <c r="O83" s="173"/>
      <c r="P83" s="29">
        <f>SUM(F83:O83)</f>
        <v>-389</v>
      </c>
      <c r="Q83" s="594" t="s">
        <v>126</v>
      </c>
    </row>
    <row r="84" spans="1:17" ht="24.75" customHeight="1">
      <c r="A84" s="18"/>
      <c r="B84" s="18"/>
      <c r="C84" s="835" t="s">
        <v>1047</v>
      </c>
      <c r="D84" s="836"/>
      <c r="E84" s="743">
        <v>1</v>
      </c>
      <c r="F84" s="173"/>
      <c r="G84" s="173"/>
      <c r="H84" s="173">
        <v>17073</v>
      </c>
      <c r="I84" s="173"/>
      <c r="J84" s="173"/>
      <c r="K84" s="173"/>
      <c r="L84" s="173"/>
      <c r="M84" s="173"/>
      <c r="N84" s="173"/>
      <c r="O84" s="173"/>
      <c r="P84" s="29">
        <f>SUM(F84:O84)</f>
        <v>17073</v>
      </c>
      <c r="Q84" s="594" t="s">
        <v>126</v>
      </c>
    </row>
    <row r="85" spans="1:17" ht="24.75" customHeight="1">
      <c r="A85" s="18"/>
      <c r="B85" s="18"/>
      <c r="C85" s="835" t="s">
        <v>1048</v>
      </c>
      <c r="D85" s="836"/>
      <c r="E85" s="74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29"/>
      <c r="Q85" s="594"/>
    </row>
    <row r="86" spans="1:17" ht="15" customHeight="1">
      <c r="A86" s="18"/>
      <c r="B86" s="18"/>
      <c r="C86" s="41" t="s">
        <v>1049</v>
      </c>
      <c r="D86" s="719"/>
      <c r="E86" s="743">
        <v>1</v>
      </c>
      <c r="F86" s="173"/>
      <c r="G86" s="173"/>
      <c r="H86" s="173">
        <v>-1500</v>
      </c>
      <c r="I86" s="173"/>
      <c r="J86" s="173"/>
      <c r="K86" s="173"/>
      <c r="L86" s="173"/>
      <c r="M86" s="173"/>
      <c r="N86" s="173"/>
      <c r="O86" s="173"/>
      <c r="P86" s="29">
        <f>SUM(F86:O86)</f>
        <v>-1500</v>
      </c>
      <c r="Q86" s="594" t="s">
        <v>346</v>
      </c>
    </row>
    <row r="87" spans="1:17" ht="13.5" customHeight="1">
      <c r="A87" s="18"/>
      <c r="B87" s="18"/>
      <c r="C87" s="837" t="s">
        <v>1050</v>
      </c>
      <c r="D87" s="838"/>
      <c r="E87" s="74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29"/>
      <c r="Q87" s="594"/>
    </row>
    <row r="88" spans="1:17" ht="13.5" customHeight="1">
      <c r="A88" s="18"/>
      <c r="B88" s="18"/>
      <c r="C88" s="41" t="s">
        <v>395</v>
      </c>
      <c r="D88" s="719"/>
      <c r="E88" s="40">
        <v>1</v>
      </c>
      <c r="F88" s="173"/>
      <c r="G88" s="173"/>
      <c r="H88" s="173">
        <v>-993</v>
      </c>
      <c r="I88" s="173"/>
      <c r="J88" s="173"/>
      <c r="K88" s="173"/>
      <c r="L88" s="173"/>
      <c r="M88" s="173"/>
      <c r="N88" s="173"/>
      <c r="O88" s="173"/>
      <c r="P88" s="29">
        <f aca="true" t="shared" si="6" ref="P88:P94">SUM(F88:O88)</f>
        <v>-993</v>
      </c>
      <c r="Q88" s="594" t="s">
        <v>346</v>
      </c>
    </row>
    <row r="89" spans="1:17" ht="13.5" customHeight="1">
      <c r="A89" s="18"/>
      <c r="B89" s="18"/>
      <c r="C89" s="41" t="s">
        <v>396</v>
      </c>
      <c r="D89" s="185"/>
      <c r="E89" s="30">
        <v>1</v>
      </c>
      <c r="F89" s="173"/>
      <c r="G89" s="173"/>
      <c r="H89" s="173">
        <v>6483</v>
      </c>
      <c r="I89" s="173"/>
      <c r="J89" s="173"/>
      <c r="K89" s="173"/>
      <c r="L89" s="173"/>
      <c r="M89" s="173"/>
      <c r="N89" s="173"/>
      <c r="O89" s="173"/>
      <c r="P89" s="29">
        <f t="shared" si="6"/>
        <v>6483</v>
      </c>
      <c r="Q89" s="594" t="s">
        <v>126</v>
      </c>
    </row>
    <row r="90" spans="1:17" ht="13.5" customHeight="1">
      <c r="A90" s="18"/>
      <c r="B90" s="18"/>
      <c r="C90" s="41" t="s">
        <v>397</v>
      </c>
      <c r="D90" s="185"/>
      <c r="E90" s="30">
        <v>2</v>
      </c>
      <c r="F90" s="173"/>
      <c r="G90" s="173"/>
      <c r="H90" s="173">
        <v>-800</v>
      </c>
      <c r="I90" s="173"/>
      <c r="J90" s="173">
        <v>650</v>
      </c>
      <c r="K90" s="173"/>
      <c r="L90" s="173"/>
      <c r="M90" s="173"/>
      <c r="N90" s="173"/>
      <c r="O90" s="173"/>
      <c r="P90" s="29">
        <f t="shared" si="6"/>
        <v>-150</v>
      </c>
      <c r="Q90" s="594" t="s">
        <v>394</v>
      </c>
    </row>
    <row r="91" spans="1:17" ht="13.5" customHeight="1">
      <c r="A91" s="18"/>
      <c r="B91" s="18"/>
      <c r="C91" s="41" t="s">
        <v>1051</v>
      </c>
      <c r="D91" s="185"/>
      <c r="E91" s="30">
        <v>1</v>
      </c>
      <c r="F91" s="173"/>
      <c r="G91" s="173"/>
      <c r="H91" s="173">
        <v>3388</v>
      </c>
      <c r="I91" s="173"/>
      <c r="J91" s="173"/>
      <c r="K91" s="173"/>
      <c r="L91" s="173"/>
      <c r="M91" s="173"/>
      <c r="N91" s="173"/>
      <c r="O91" s="173"/>
      <c r="P91" s="29">
        <f t="shared" si="6"/>
        <v>3388</v>
      </c>
      <c r="Q91" s="594" t="s">
        <v>126</v>
      </c>
    </row>
    <row r="92" spans="1:17" ht="13.5" customHeight="1">
      <c r="A92" s="18"/>
      <c r="B92" s="18"/>
      <c r="C92" s="41" t="s">
        <v>1052</v>
      </c>
      <c r="D92" s="185"/>
      <c r="E92" s="30">
        <v>2</v>
      </c>
      <c r="F92" s="173"/>
      <c r="G92" s="173"/>
      <c r="H92" s="173">
        <v>-268</v>
      </c>
      <c r="I92" s="173"/>
      <c r="J92" s="173"/>
      <c r="K92" s="173"/>
      <c r="L92" s="173"/>
      <c r="M92" s="173"/>
      <c r="N92" s="173"/>
      <c r="O92" s="173"/>
      <c r="P92" s="29">
        <f t="shared" si="6"/>
        <v>-268</v>
      </c>
      <c r="Q92" s="594" t="s">
        <v>346</v>
      </c>
    </row>
    <row r="93" spans="1:17" ht="24.75" customHeight="1">
      <c r="A93" s="18"/>
      <c r="B93" s="18"/>
      <c r="C93" s="877" t="s">
        <v>1053</v>
      </c>
      <c r="D93" s="878"/>
      <c r="E93" s="30">
        <v>2</v>
      </c>
      <c r="F93" s="173">
        <v>392</v>
      </c>
      <c r="G93" s="173">
        <v>53</v>
      </c>
      <c r="H93" s="173">
        <v>310</v>
      </c>
      <c r="I93" s="173"/>
      <c r="J93" s="173"/>
      <c r="K93" s="173"/>
      <c r="L93" s="173"/>
      <c r="M93" s="173"/>
      <c r="N93" s="173"/>
      <c r="O93" s="173"/>
      <c r="P93" s="29">
        <f t="shared" si="6"/>
        <v>755</v>
      </c>
      <c r="Q93" s="594" t="s">
        <v>394</v>
      </c>
    </row>
    <row r="94" spans="1:17" ht="13.5" customHeight="1">
      <c r="A94" s="18"/>
      <c r="B94" s="18"/>
      <c r="C94" s="41" t="s">
        <v>398</v>
      </c>
      <c r="D94" s="185"/>
      <c r="E94" s="30">
        <v>2</v>
      </c>
      <c r="F94" s="173"/>
      <c r="G94" s="173"/>
      <c r="H94" s="173">
        <v>-463</v>
      </c>
      <c r="I94" s="173"/>
      <c r="J94" s="173"/>
      <c r="K94" s="173"/>
      <c r="L94" s="173"/>
      <c r="M94" s="173"/>
      <c r="N94" s="173"/>
      <c r="O94" s="173"/>
      <c r="P94" s="29">
        <f t="shared" si="6"/>
        <v>-463</v>
      </c>
      <c r="Q94" s="594" t="s">
        <v>346</v>
      </c>
    </row>
    <row r="95" spans="1:17" ht="13.5" customHeight="1">
      <c r="A95" s="18"/>
      <c r="B95" s="18"/>
      <c r="C95" s="678" t="s">
        <v>1054</v>
      </c>
      <c r="D95" s="200"/>
      <c r="E95" s="744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29"/>
      <c r="Q95" s="594"/>
    </row>
    <row r="96" spans="1:17" ht="13.5" customHeight="1">
      <c r="A96" s="18"/>
      <c r="B96" s="18"/>
      <c r="C96" s="41" t="s">
        <v>399</v>
      </c>
      <c r="D96" s="200"/>
      <c r="E96" s="744">
        <v>1</v>
      </c>
      <c r="F96" s="173"/>
      <c r="G96" s="173"/>
      <c r="H96" s="173">
        <v>-4000</v>
      </c>
      <c r="I96" s="173"/>
      <c r="J96" s="173"/>
      <c r="K96" s="173"/>
      <c r="L96" s="173"/>
      <c r="M96" s="173"/>
      <c r="N96" s="173"/>
      <c r="O96" s="173"/>
      <c r="P96" s="29">
        <f>SUM(F96:O96)</f>
        <v>-4000</v>
      </c>
      <c r="Q96" s="594" t="s">
        <v>346</v>
      </c>
    </row>
    <row r="97" spans="1:17" ht="13.5" customHeight="1">
      <c r="A97" s="18"/>
      <c r="B97" s="18"/>
      <c r="C97" s="837" t="s">
        <v>1055</v>
      </c>
      <c r="D97" s="838"/>
      <c r="E97" s="74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29"/>
      <c r="Q97" s="594"/>
    </row>
    <row r="98" spans="1:17" ht="13.5" customHeight="1">
      <c r="A98" s="18"/>
      <c r="B98" s="18"/>
      <c r="C98" s="43" t="s">
        <v>1056</v>
      </c>
      <c r="D98" s="730"/>
      <c r="E98" s="743">
        <v>2</v>
      </c>
      <c r="F98" s="173"/>
      <c r="G98" s="173"/>
      <c r="H98" s="173">
        <v>6282</v>
      </c>
      <c r="I98" s="173"/>
      <c r="J98" s="173"/>
      <c r="K98" s="173"/>
      <c r="L98" s="173"/>
      <c r="M98" s="173"/>
      <c r="N98" s="173"/>
      <c r="O98" s="173"/>
      <c r="P98" s="29">
        <f>SUM(F98:O98)</f>
        <v>6282</v>
      </c>
      <c r="Q98" s="594" t="s">
        <v>126</v>
      </c>
    </row>
    <row r="99" spans="1:17" ht="13.5" customHeight="1">
      <c r="A99" s="18"/>
      <c r="B99" s="18"/>
      <c r="C99" s="41" t="s">
        <v>1057</v>
      </c>
      <c r="D99" s="730"/>
      <c r="E99" s="743">
        <v>2</v>
      </c>
      <c r="F99" s="173"/>
      <c r="G99" s="173"/>
      <c r="H99" s="173">
        <v>8890</v>
      </c>
      <c r="I99" s="173"/>
      <c r="J99" s="173"/>
      <c r="K99" s="173"/>
      <c r="L99" s="173"/>
      <c r="M99" s="173"/>
      <c r="N99" s="173"/>
      <c r="O99" s="173"/>
      <c r="P99" s="29">
        <f>SUM(F99:O99)</f>
        <v>8890</v>
      </c>
      <c r="Q99" s="594" t="s">
        <v>126</v>
      </c>
    </row>
    <row r="100" spans="1:17" ht="13.5" customHeight="1">
      <c r="A100" s="18"/>
      <c r="B100" s="18"/>
      <c r="C100" s="41" t="s">
        <v>104</v>
      </c>
      <c r="D100" s="719"/>
      <c r="E100" s="40">
        <v>2</v>
      </c>
      <c r="F100" s="173"/>
      <c r="G100" s="173"/>
      <c r="H100" s="173">
        <v>-5000</v>
      </c>
      <c r="I100" s="173"/>
      <c r="J100" s="173"/>
      <c r="K100" s="173"/>
      <c r="L100" s="173"/>
      <c r="M100" s="173"/>
      <c r="N100" s="173"/>
      <c r="O100" s="173"/>
      <c r="P100" s="29">
        <f>SUM(F100:O100)</f>
        <v>-5000</v>
      </c>
      <c r="Q100" s="594" t="s">
        <v>346</v>
      </c>
    </row>
    <row r="101" spans="1:17" ht="13.5" customHeight="1">
      <c r="A101" s="18"/>
      <c r="B101" s="18"/>
      <c r="C101" s="837" t="s">
        <v>1058</v>
      </c>
      <c r="D101" s="838"/>
      <c r="E101" s="40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29"/>
      <c r="Q101" s="594"/>
    </row>
    <row r="102" spans="1:17" ht="24.75" customHeight="1">
      <c r="A102" s="18"/>
      <c r="B102" s="18"/>
      <c r="C102" s="893" t="s">
        <v>929</v>
      </c>
      <c r="D102" s="894"/>
      <c r="E102" s="40">
        <v>1</v>
      </c>
      <c r="F102" s="173"/>
      <c r="G102" s="173"/>
      <c r="H102" s="173"/>
      <c r="I102" s="173"/>
      <c r="J102" s="173">
        <v>2807</v>
      </c>
      <c r="K102" s="173"/>
      <c r="L102" s="173"/>
      <c r="M102" s="173"/>
      <c r="N102" s="173"/>
      <c r="O102" s="173"/>
      <c r="P102" s="29">
        <f>SUM(F102:O102)</f>
        <v>2807</v>
      </c>
      <c r="Q102" s="594" t="s">
        <v>126</v>
      </c>
    </row>
    <row r="103" spans="1:17" ht="15" customHeight="1">
      <c r="A103" s="18"/>
      <c r="B103" s="18"/>
      <c r="C103" s="825" t="s">
        <v>1059</v>
      </c>
      <c r="D103" s="872"/>
      <c r="E103" s="40">
        <v>1</v>
      </c>
      <c r="F103" s="173"/>
      <c r="G103" s="173"/>
      <c r="H103" s="173">
        <v>1000</v>
      </c>
      <c r="I103" s="173"/>
      <c r="J103" s="173"/>
      <c r="K103" s="173"/>
      <c r="L103" s="173"/>
      <c r="M103" s="173"/>
      <c r="N103" s="173"/>
      <c r="O103" s="173"/>
      <c r="P103" s="29">
        <f>SUM(F103:O103)</f>
        <v>1000</v>
      </c>
      <c r="Q103" s="594" t="s">
        <v>346</v>
      </c>
    </row>
    <row r="104" spans="1:17" ht="15" customHeight="1">
      <c r="A104" s="18"/>
      <c r="B104" s="18"/>
      <c r="C104" s="837" t="s">
        <v>1060</v>
      </c>
      <c r="D104" s="838"/>
      <c r="E104" s="40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29"/>
      <c r="Q104" s="594"/>
    </row>
    <row r="105" spans="1:17" ht="15" customHeight="1">
      <c r="A105" s="18"/>
      <c r="B105" s="18"/>
      <c r="C105" s="837" t="s">
        <v>400</v>
      </c>
      <c r="D105" s="838"/>
      <c r="E105" s="40">
        <v>2</v>
      </c>
      <c r="F105" s="173"/>
      <c r="G105" s="173"/>
      <c r="H105" s="173">
        <v>1570</v>
      </c>
      <c r="I105" s="173"/>
      <c r="J105" s="173"/>
      <c r="K105" s="173"/>
      <c r="L105" s="173"/>
      <c r="M105" s="173"/>
      <c r="N105" s="173"/>
      <c r="O105" s="173"/>
      <c r="P105" s="29">
        <f>SUM(F105:O105)</f>
        <v>1570</v>
      </c>
      <c r="Q105" s="594" t="s">
        <v>126</v>
      </c>
    </row>
    <row r="106" spans="1:17" ht="15" customHeight="1">
      <c r="A106" s="18"/>
      <c r="B106" s="18"/>
      <c r="C106" s="33" t="s">
        <v>807</v>
      </c>
      <c r="D106" s="691"/>
      <c r="E106" s="40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29"/>
      <c r="Q106" s="594"/>
    </row>
    <row r="107" spans="1:17" ht="15" customHeight="1">
      <c r="A107" s="18"/>
      <c r="B107" s="18"/>
      <c r="C107" s="851" t="s">
        <v>1087</v>
      </c>
      <c r="D107" s="852"/>
      <c r="E107" s="729">
        <v>2</v>
      </c>
      <c r="F107" s="173"/>
      <c r="G107" s="173"/>
      <c r="H107" s="173"/>
      <c r="I107" s="173"/>
      <c r="J107" s="173">
        <v>2200</v>
      </c>
      <c r="K107" s="173"/>
      <c r="L107" s="173"/>
      <c r="M107" s="173"/>
      <c r="N107" s="173"/>
      <c r="O107" s="173"/>
      <c r="P107" s="29">
        <f>SUM(F107:O107)</f>
        <v>2200</v>
      </c>
      <c r="Q107" s="594" t="s">
        <v>126</v>
      </c>
    </row>
    <row r="108" spans="1:17" ht="13.5" customHeight="1">
      <c r="A108" s="174"/>
      <c r="B108" s="174"/>
      <c r="C108" s="35" t="s">
        <v>1165</v>
      </c>
      <c r="D108" s="175"/>
      <c r="E108" s="178"/>
      <c r="F108" s="177">
        <f aca="true" t="shared" si="7" ref="F108:P108">SUM(F72:F107)</f>
        <v>392</v>
      </c>
      <c r="G108" s="177">
        <f t="shared" si="7"/>
        <v>53</v>
      </c>
      <c r="H108" s="177">
        <f t="shared" si="7"/>
        <v>42146</v>
      </c>
      <c r="I108" s="177">
        <f t="shared" si="7"/>
        <v>0</v>
      </c>
      <c r="J108" s="177">
        <f t="shared" si="7"/>
        <v>5657</v>
      </c>
      <c r="K108" s="177">
        <f t="shared" si="7"/>
        <v>0</v>
      </c>
      <c r="L108" s="177">
        <f t="shared" si="7"/>
        <v>0</v>
      </c>
      <c r="M108" s="177">
        <f t="shared" si="7"/>
        <v>0</v>
      </c>
      <c r="N108" s="177">
        <f t="shared" si="7"/>
        <v>0</v>
      </c>
      <c r="O108" s="177">
        <f t="shared" si="7"/>
        <v>0</v>
      </c>
      <c r="P108" s="177">
        <f t="shared" si="7"/>
        <v>48248</v>
      </c>
      <c r="Q108" s="593"/>
    </row>
    <row r="109" spans="1:17" ht="13.5" customHeight="1">
      <c r="A109" s="18"/>
      <c r="B109" s="18"/>
      <c r="C109" s="33" t="s">
        <v>946</v>
      </c>
      <c r="D109" s="185"/>
      <c r="E109" s="30"/>
      <c r="F109" s="21"/>
      <c r="G109" s="21"/>
      <c r="H109" s="21"/>
      <c r="I109" s="21"/>
      <c r="J109" s="21"/>
      <c r="K109" s="173">
        <f>7!J121</f>
        <v>30299</v>
      </c>
      <c r="L109" s="173"/>
      <c r="M109" s="173">
        <f>7!K121</f>
        <v>248324</v>
      </c>
      <c r="N109" s="173"/>
      <c r="O109" s="21"/>
      <c r="P109" s="29">
        <f>SUM(F109:O109)</f>
        <v>278623</v>
      </c>
      <c r="Q109" s="594"/>
    </row>
    <row r="110" spans="1:17" ht="13.5" customHeight="1">
      <c r="A110" s="18"/>
      <c r="B110" s="18"/>
      <c r="C110" s="33" t="s">
        <v>339</v>
      </c>
      <c r="D110" s="185"/>
      <c r="E110" s="30"/>
      <c r="F110" s="21"/>
      <c r="G110" s="21"/>
      <c r="H110" s="21"/>
      <c r="I110" s="21"/>
      <c r="J110" s="21"/>
      <c r="K110" s="173"/>
      <c r="L110" s="173">
        <f>8!J155</f>
        <v>2456</v>
      </c>
      <c r="M110" s="173">
        <f>8!K155</f>
        <v>4300</v>
      </c>
      <c r="N110" s="173"/>
      <c r="O110" s="21"/>
      <c r="P110" s="29">
        <f>SUM(F110:O110)</f>
        <v>6756</v>
      </c>
      <c r="Q110" s="594"/>
    </row>
    <row r="111" spans="1:17" ht="13.5" customHeight="1">
      <c r="A111" s="176"/>
      <c r="B111" s="176"/>
      <c r="C111" s="35" t="s">
        <v>75</v>
      </c>
      <c r="D111" s="183"/>
      <c r="E111" s="34"/>
      <c r="F111" s="177">
        <f>SUM(F108:F110)</f>
        <v>392</v>
      </c>
      <c r="G111" s="177">
        <f aca="true" t="shared" si="8" ref="G111:P111">SUM(G108:G110)</f>
        <v>53</v>
      </c>
      <c r="H111" s="177">
        <f t="shared" si="8"/>
        <v>42146</v>
      </c>
      <c r="I111" s="177">
        <f t="shared" si="8"/>
        <v>0</v>
      </c>
      <c r="J111" s="177">
        <f t="shared" si="8"/>
        <v>5657</v>
      </c>
      <c r="K111" s="177">
        <f t="shared" si="8"/>
        <v>30299</v>
      </c>
      <c r="L111" s="177">
        <f t="shared" si="8"/>
        <v>2456</v>
      </c>
      <c r="M111" s="177">
        <f t="shared" si="8"/>
        <v>252624</v>
      </c>
      <c r="N111" s="177">
        <f t="shared" si="8"/>
        <v>0</v>
      </c>
      <c r="O111" s="177">
        <f t="shared" si="8"/>
        <v>0</v>
      </c>
      <c r="P111" s="177">
        <f t="shared" si="8"/>
        <v>333627</v>
      </c>
      <c r="Q111" s="595"/>
    </row>
    <row r="112" spans="1:17" ht="13.5" customHeight="1">
      <c r="A112" s="18">
        <v>1</v>
      </c>
      <c r="B112" s="18">
        <v>16</v>
      </c>
      <c r="C112" s="38" t="s">
        <v>87</v>
      </c>
      <c r="D112" s="182"/>
      <c r="E112" s="745"/>
      <c r="F112" s="21"/>
      <c r="G112" s="21"/>
      <c r="H112" s="21"/>
      <c r="I112" s="21"/>
      <c r="J112" s="21"/>
      <c r="K112" s="179"/>
      <c r="L112" s="179"/>
      <c r="M112" s="179"/>
      <c r="N112" s="179"/>
      <c r="O112" s="21"/>
      <c r="P112" s="29"/>
      <c r="Q112" s="596"/>
    </row>
    <row r="113" spans="1:17" ht="13.5" customHeight="1">
      <c r="A113" s="18"/>
      <c r="B113" s="18"/>
      <c r="C113" s="850"/>
      <c r="D113" s="830"/>
      <c r="E113" s="742"/>
      <c r="F113" s="21"/>
      <c r="G113" s="21"/>
      <c r="H113" s="21"/>
      <c r="I113" s="21"/>
      <c r="J113" s="21"/>
      <c r="K113" s="179"/>
      <c r="L113" s="179"/>
      <c r="M113" s="179"/>
      <c r="N113" s="179"/>
      <c r="O113" s="21"/>
      <c r="P113" s="29"/>
      <c r="Q113" s="596"/>
    </row>
    <row r="114" spans="1:17" ht="13.5" customHeight="1">
      <c r="A114" s="174"/>
      <c r="B114" s="174"/>
      <c r="C114" s="35" t="s">
        <v>401</v>
      </c>
      <c r="D114" s="183"/>
      <c r="E114" s="34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595"/>
    </row>
    <row r="115" spans="1:17" ht="13.5" customHeight="1">
      <c r="A115" s="21"/>
      <c r="B115" s="21"/>
      <c r="C115" s="33" t="s">
        <v>947</v>
      </c>
      <c r="D115" s="182"/>
      <c r="E115" s="745"/>
      <c r="F115" s="21"/>
      <c r="G115" s="21"/>
      <c r="H115" s="21"/>
      <c r="I115" s="21"/>
      <c r="J115" s="21"/>
      <c r="K115" s="173">
        <f>7!J231</f>
        <v>307743</v>
      </c>
      <c r="L115" s="173"/>
      <c r="M115" s="173">
        <f>7!K231</f>
        <v>6368</v>
      </c>
      <c r="N115" s="173"/>
      <c r="O115" s="21"/>
      <c r="P115" s="29">
        <f>SUM(F115:O115)</f>
        <v>314111</v>
      </c>
      <c r="Q115" s="596"/>
    </row>
    <row r="116" spans="1:17" ht="13.5" customHeight="1">
      <c r="A116" s="21"/>
      <c r="B116" s="21"/>
      <c r="C116" s="33" t="s">
        <v>343</v>
      </c>
      <c r="D116" s="182"/>
      <c r="E116" s="745"/>
      <c r="F116" s="21"/>
      <c r="G116" s="21"/>
      <c r="H116" s="21"/>
      <c r="I116" s="21"/>
      <c r="J116" s="21"/>
      <c r="K116" s="173"/>
      <c r="L116" s="173">
        <f>8!J175</f>
        <v>7292</v>
      </c>
      <c r="M116" s="173">
        <f>8!K175</f>
        <v>0</v>
      </c>
      <c r="N116" s="173"/>
      <c r="O116" s="21"/>
      <c r="P116" s="29">
        <f>SUM(F116:O116)</f>
        <v>7292</v>
      </c>
      <c r="Q116" s="596"/>
    </row>
    <row r="117" spans="1:17" ht="13.5" customHeight="1">
      <c r="A117" s="176"/>
      <c r="B117" s="176"/>
      <c r="C117" s="35" t="s">
        <v>76</v>
      </c>
      <c r="D117" s="183"/>
      <c r="E117" s="34"/>
      <c r="F117" s="177">
        <f>SUM(F114:F116)</f>
        <v>0</v>
      </c>
      <c r="G117" s="177">
        <f aca="true" t="shared" si="9" ref="G117:P117">SUM(G114:G116)</f>
        <v>0</v>
      </c>
      <c r="H117" s="177">
        <f t="shared" si="9"/>
        <v>0</v>
      </c>
      <c r="I117" s="177">
        <f t="shared" si="9"/>
        <v>0</v>
      </c>
      <c r="J117" s="177">
        <f t="shared" si="9"/>
        <v>0</v>
      </c>
      <c r="K117" s="177">
        <f t="shared" si="9"/>
        <v>307743</v>
      </c>
      <c r="L117" s="177">
        <f t="shared" si="9"/>
        <v>7292</v>
      </c>
      <c r="M117" s="177">
        <f t="shared" si="9"/>
        <v>6368</v>
      </c>
      <c r="N117" s="177"/>
      <c r="O117" s="177">
        <f t="shared" si="9"/>
        <v>0</v>
      </c>
      <c r="P117" s="177">
        <f t="shared" si="9"/>
        <v>321403</v>
      </c>
      <c r="Q117" s="595"/>
    </row>
    <row r="118" spans="1:17" ht="13.5" customHeight="1">
      <c r="A118" s="18">
        <v>1</v>
      </c>
      <c r="B118" s="18">
        <v>17</v>
      </c>
      <c r="C118" s="38" t="s">
        <v>333</v>
      </c>
      <c r="D118" s="182"/>
      <c r="E118" s="745"/>
      <c r="F118" s="21"/>
      <c r="G118" s="21"/>
      <c r="H118" s="21"/>
      <c r="I118" s="21"/>
      <c r="J118" s="21"/>
      <c r="K118" s="179"/>
      <c r="L118" s="179"/>
      <c r="M118" s="179"/>
      <c r="N118" s="179"/>
      <c r="O118" s="21"/>
      <c r="P118" s="29"/>
      <c r="Q118" s="596"/>
    </row>
    <row r="119" spans="1:17" ht="15" customHeight="1">
      <c r="A119" s="18"/>
      <c r="B119" s="18"/>
      <c r="C119" s="854" t="s">
        <v>1062</v>
      </c>
      <c r="D119" s="855"/>
      <c r="E119" s="744"/>
      <c r="F119" s="21"/>
      <c r="G119" s="21"/>
      <c r="H119" s="21"/>
      <c r="I119" s="21"/>
      <c r="J119" s="21"/>
      <c r="K119" s="179"/>
      <c r="L119" s="179"/>
      <c r="M119" s="179"/>
      <c r="N119" s="179"/>
      <c r="O119" s="21"/>
      <c r="P119" s="29"/>
      <c r="Q119" s="596"/>
    </row>
    <row r="120" spans="1:17" ht="13.5" customHeight="1">
      <c r="A120" s="18"/>
      <c r="B120" s="18"/>
      <c r="C120" s="814" t="s">
        <v>402</v>
      </c>
      <c r="D120" s="899"/>
      <c r="E120" s="746">
        <v>1</v>
      </c>
      <c r="F120" s="21"/>
      <c r="G120" s="21"/>
      <c r="H120" s="173">
        <v>8603</v>
      </c>
      <c r="I120" s="21"/>
      <c r="J120" s="21"/>
      <c r="K120" s="179"/>
      <c r="L120" s="179"/>
      <c r="M120" s="179"/>
      <c r="N120" s="179"/>
      <c r="O120" s="21"/>
      <c r="P120" s="29">
        <f aca="true" t="shared" si="10" ref="P120:P126">SUM(F120:O120)</f>
        <v>8603</v>
      </c>
      <c r="Q120" s="594" t="s">
        <v>126</v>
      </c>
    </row>
    <row r="121" spans="1:17" ht="13.5" customHeight="1">
      <c r="A121" s="18"/>
      <c r="B121" s="18"/>
      <c r="C121" s="33" t="s">
        <v>1063</v>
      </c>
      <c r="D121" s="182"/>
      <c r="E121" s="30">
        <v>1</v>
      </c>
      <c r="F121" s="21"/>
      <c r="G121" s="21"/>
      <c r="H121" s="173">
        <v>508</v>
      </c>
      <c r="I121" s="21"/>
      <c r="J121" s="21"/>
      <c r="K121" s="179"/>
      <c r="L121" s="179"/>
      <c r="M121" s="179"/>
      <c r="N121" s="179"/>
      <c r="O121" s="21"/>
      <c r="P121" s="29">
        <f t="shared" si="10"/>
        <v>508</v>
      </c>
      <c r="Q121" s="594" t="s">
        <v>126</v>
      </c>
    </row>
    <row r="122" spans="1:17" ht="13.5" customHeight="1">
      <c r="A122" s="18"/>
      <c r="B122" s="18"/>
      <c r="C122" s="33" t="s">
        <v>1064</v>
      </c>
      <c r="D122" s="182"/>
      <c r="E122" s="30">
        <v>1</v>
      </c>
      <c r="F122" s="21"/>
      <c r="G122" s="21"/>
      <c r="H122" s="173">
        <v>2555</v>
      </c>
      <c r="I122" s="21"/>
      <c r="J122" s="21"/>
      <c r="K122" s="179"/>
      <c r="L122" s="179"/>
      <c r="M122" s="179"/>
      <c r="N122" s="179"/>
      <c r="O122" s="21"/>
      <c r="P122" s="29">
        <f t="shared" si="10"/>
        <v>2555</v>
      </c>
      <c r="Q122" s="594" t="s">
        <v>126</v>
      </c>
    </row>
    <row r="123" spans="1:17" ht="13.5" customHeight="1">
      <c r="A123" s="18"/>
      <c r="B123" s="18"/>
      <c r="C123" s="33" t="s">
        <v>1065</v>
      </c>
      <c r="D123" s="182"/>
      <c r="E123" s="30">
        <v>1</v>
      </c>
      <c r="F123" s="21"/>
      <c r="G123" s="21"/>
      <c r="H123" s="173">
        <v>420</v>
      </c>
      <c r="I123" s="21"/>
      <c r="J123" s="21"/>
      <c r="K123" s="179"/>
      <c r="L123" s="179"/>
      <c r="M123" s="179"/>
      <c r="N123" s="179"/>
      <c r="O123" s="21"/>
      <c r="P123" s="29">
        <f t="shared" si="10"/>
        <v>420</v>
      </c>
      <c r="Q123" s="594" t="s">
        <v>126</v>
      </c>
    </row>
    <row r="124" spans="1:17" ht="13.5" customHeight="1">
      <c r="A124" s="18"/>
      <c r="B124" s="18"/>
      <c r="C124" s="33" t="s">
        <v>403</v>
      </c>
      <c r="D124" s="182"/>
      <c r="E124" s="30">
        <v>1</v>
      </c>
      <c r="F124" s="21"/>
      <c r="G124" s="21"/>
      <c r="H124" s="173">
        <v>469</v>
      </c>
      <c r="I124" s="21"/>
      <c r="J124" s="21"/>
      <c r="K124" s="179"/>
      <c r="L124" s="179"/>
      <c r="M124" s="179"/>
      <c r="N124" s="179"/>
      <c r="O124" s="21"/>
      <c r="P124" s="29">
        <f t="shared" si="10"/>
        <v>469</v>
      </c>
      <c r="Q124" s="594" t="s">
        <v>126</v>
      </c>
    </row>
    <row r="125" spans="1:17" ht="24.75" customHeight="1">
      <c r="A125" s="18"/>
      <c r="B125" s="18"/>
      <c r="C125" s="895" t="s">
        <v>415</v>
      </c>
      <c r="D125" s="896"/>
      <c r="E125" s="30">
        <v>1</v>
      </c>
      <c r="F125" s="21"/>
      <c r="G125" s="21"/>
      <c r="H125" s="173"/>
      <c r="I125" s="21"/>
      <c r="J125" s="173">
        <v>2500</v>
      </c>
      <c r="K125" s="179"/>
      <c r="L125" s="179"/>
      <c r="M125" s="179"/>
      <c r="N125" s="179"/>
      <c r="O125" s="21"/>
      <c r="P125" s="29">
        <f t="shared" si="10"/>
        <v>2500</v>
      </c>
      <c r="Q125" s="594" t="s">
        <v>126</v>
      </c>
    </row>
    <row r="126" spans="1:17" ht="15" customHeight="1">
      <c r="A126" s="18"/>
      <c r="B126" s="18"/>
      <c r="C126" s="897" t="s">
        <v>755</v>
      </c>
      <c r="D126" s="898"/>
      <c r="E126" s="30">
        <v>1</v>
      </c>
      <c r="F126" s="21"/>
      <c r="G126" s="21"/>
      <c r="H126" s="173">
        <v>-500</v>
      </c>
      <c r="I126" s="21"/>
      <c r="J126" s="173"/>
      <c r="K126" s="179"/>
      <c r="L126" s="179"/>
      <c r="M126" s="179"/>
      <c r="N126" s="179"/>
      <c r="O126" s="21"/>
      <c r="P126" s="29">
        <f t="shared" si="10"/>
        <v>-500</v>
      </c>
      <c r="Q126" s="594" t="s">
        <v>126</v>
      </c>
    </row>
    <row r="127" spans="1:17" ht="13.5" customHeight="1">
      <c r="A127" s="18"/>
      <c r="B127" s="18"/>
      <c r="C127" s="816" t="s">
        <v>1061</v>
      </c>
      <c r="D127" s="846"/>
      <c r="E127" s="743"/>
      <c r="F127" s="21"/>
      <c r="G127" s="21"/>
      <c r="H127" s="173"/>
      <c r="I127" s="21"/>
      <c r="J127" s="21"/>
      <c r="K127" s="179"/>
      <c r="L127" s="179"/>
      <c r="M127" s="179"/>
      <c r="N127" s="179"/>
      <c r="O127" s="21"/>
      <c r="P127" s="29"/>
      <c r="Q127" s="594"/>
    </row>
    <row r="128" spans="1:17" ht="13.5" customHeight="1">
      <c r="A128" s="18"/>
      <c r="B128" s="18"/>
      <c r="C128" s="41" t="s">
        <v>925</v>
      </c>
      <c r="D128" s="719"/>
      <c r="E128" s="40">
        <v>1</v>
      </c>
      <c r="F128" s="21"/>
      <c r="G128" s="21"/>
      <c r="H128" s="173">
        <v>-80000</v>
      </c>
      <c r="I128" s="21"/>
      <c r="J128" s="173">
        <v>49307</v>
      </c>
      <c r="K128" s="179"/>
      <c r="L128" s="179"/>
      <c r="M128" s="179"/>
      <c r="N128" s="179"/>
      <c r="O128" s="21"/>
      <c r="P128" s="29">
        <f>SUM(F128:O128)</f>
        <v>-30693</v>
      </c>
      <c r="Q128" s="594" t="s">
        <v>126</v>
      </c>
    </row>
    <row r="129" spans="1:17" ht="13.5" customHeight="1">
      <c r="A129" s="174"/>
      <c r="B129" s="174"/>
      <c r="C129" s="35" t="s">
        <v>1166</v>
      </c>
      <c r="D129" s="183"/>
      <c r="E129" s="34"/>
      <c r="F129" s="177">
        <f aca="true" t="shared" si="11" ref="F129:P129">SUM(F120:F128)</f>
        <v>0</v>
      </c>
      <c r="G129" s="177">
        <f t="shared" si="11"/>
        <v>0</v>
      </c>
      <c r="H129" s="177">
        <f t="shared" si="11"/>
        <v>-67945</v>
      </c>
      <c r="I129" s="177">
        <f t="shared" si="11"/>
        <v>0</v>
      </c>
      <c r="J129" s="177">
        <f t="shared" si="11"/>
        <v>51807</v>
      </c>
      <c r="K129" s="177">
        <f t="shared" si="11"/>
        <v>0</v>
      </c>
      <c r="L129" s="177">
        <f t="shared" si="11"/>
        <v>0</v>
      </c>
      <c r="M129" s="177">
        <f t="shared" si="11"/>
        <v>0</v>
      </c>
      <c r="N129" s="177">
        <f t="shared" si="11"/>
        <v>0</v>
      </c>
      <c r="O129" s="177">
        <f t="shared" si="11"/>
        <v>0</v>
      </c>
      <c r="P129" s="177">
        <f t="shared" si="11"/>
        <v>-16138</v>
      </c>
      <c r="Q129" s="595"/>
    </row>
    <row r="130" spans="1:17" ht="13.5" customHeight="1">
      <c r="A130" s="18"/>
      <c r="B130" s="18"/>
      <c r="C130" s="33" t="s">
        <v>945</v>
      </c>
      <c r="D130" s="182"/>
      <c r="E130" s="745"/>
      <c r="F130" s="21"/>
      <c r="G130" s="21"/>
      <c r="H130" s="21"/>
      <c r="I130" s="21"/>
      <c r="J130" s="21"/>
      <c r="K130" s="179">
        <f>7!J241</f>
        <v>560</v>
      </c>
      <c r="L130" s="173"/>
      <c r="M130" s="173">
        <f>7!K241</f>
        <v>-300</v>
      </c>
      <c r="N130" s="173"/>
      <c r="O130" s="21"/>
      <c r="P130" s="29">
        <f>SUM(F130:O130)</f>
        <v>260</v>
      </c>
      <c r="Q130" s="596"/>
    </row>
    <row r="131" spans="1:17" ht="13.5" customHeight="1">
      <c r="A131" s="18"/>
      <c r="B131" s="18"/>
      <c r="C131" s="33" t="s">
        <v>339</v>
      </c>
      <c r="D131" s="182"/>
      <c r="E131" s="745"/>
      <c r="F131" s="21"/>
      <c r="G131" s="21"/>
      <c r="H131" s="21"/>
      <c r="I131" s="21"/>
      <c r="J131" s="21"/>
      <c r="K131" s="179"/>
      <c r="L131" s="173">
        <f>8!J181</f>
        <v>0</v>
      </c>
      <c r="M131" s="173">
        <f>8!K181</f>
        <v>13970</v>
      </c>
      <c r="N131" s="173"/>
      <c r="O131" s="21"/>
      <c r="P131" s="29">
        <f>SUM(F131:O131)</f>
        <v>13970</v>
      </c>
      <c r="Q131" s="596"/>
    </row>
    <row r="132" spans="1:17" ht="13.5" customHeight="1">
      <c r="A132" s="174"/>
      <c r="B132" s="174"/>
      <c r="C132" s="35" t="s">
        <v>77</v>
      </c>
      <c r="D132" s="183"/>
      <c r="E132" s="34"/>
      <c r="F132" s="177">
        <f>SUM(F129:F131)</f>
        <v>0</v>
      </c>
      <c r="G132" s="177">
        <f aca="true" t="shared" si="12" ref="G132:P132">SUM(G129:G131)</f>
        <v>0</v>
      </c>
      <c r="H132" s="177">
        <f t="shared" si="12"/>
        <v>-67945</v>
      </c>
      <c r="I132" s="177">
        <f t="shared" si="12"/>
        <v>0</v>
      </c>
      <c r="J132" s="177">
        <f t="shared" si="12"/>
        <v>51807</v>
      </c>
      <c r="K132" s="177">
        <f t="shared" si="12"/>
        <v>560</v>
      </c>
      <c r="L132" s="177">
        <f t="shared" si="12"/>
        <v>0</v>
      </c>
      <c r="M132" s="177">
        <f t="shared" si="12"/>
        <v>13670</v>
      </c>
      <c r="N132" s="177">
        <f t="shared" si="12"/>
        <v>0</v>
      </c>
      <c r="O132" s="177">
        <f t="shared" si="12"/>
        <v>0</v>
      </c>
      <c r="P132" s="177">
        <f t="shared" si="12"/>
        <v>-1908</v>
      </c>
      <c r="Q132" s="595"/>
    </row>
    <row r="133" spans="1:17" ht="13.5" customHeight="1">
      <c r="A133" s="18">
        <v>1</v>
      </c>
      <c r="B133" s="18">
        <v>18</v>
      </c>
      <c r="C133" s="38" t="s">
        <v>1167</v>
      </c>
      <c r="D133" s="182"/>
      <c r="E133" s="745"/>
      <c r="F133" s="21"/>
      <c r="G133" s="21"/>
      <c r="H133" s="21"/>
      <c r="I133" s="21"/>
      <c r="J133" s="21"/>
      <c r="K133" s="179"/>
      <c r="L133" s="179"/>
      <c r="M133" s="179"/>
      <c r="N133" s="179"/>
      <c r="O133" s="21"/>
      <c r="P133" s="29"/>
      <c r="Q133" s="596"/>
    </row>
    <row r="134" spans="1:17" ht="24.75" customHeight="1">
      <c r="A134" s="18"/>
      <c r="B134" s="18"/>
      <c r="C134" s="857" t="s">
        <v>1145</v>
      </c>
      <c r="D134" s="858"/>
      <c r="E134" s="721"/>
      <c r="F134" s="21"/>
      <c r="G134" s="21"/>
      <c r="H134" s="21"/>
      <c r="I134" s="21"/>
      <c r="J134" s="21"/>
      <c r="K134" s="179"/>
      <c r="L134" s="179"/>
      <c r="M134" s="179"/>
      <c r="N134" s="179"/>
      <c r="O134" s="21"/>
      <c r="P134" s="29"/>
      <c r="Q134" s="596"/>
    </row>
    <row r="135" spans="1:17" ht="13.5" customHeight="1">
      <c r="A135" s="18"/>
      <c r="B135" s="18"/>
      <c r="C135" s="835" t="s">
        <v>404</v>
      </c>
      <c r="D135" s="804"/>
      <c r="E135" s="729">
        <v>1</v>
      </c>
      <c r="F135" s="21"/>
      <c r="G135" s="21"/>
      <c r="H135" s="173">
        <v>924</v>
      </c>
      <c r="I135" s="21"/>
      <c r="J135" s="173">
        <v>1100</v>
      </c>
      <c r="K135" s="179"/>
      <c r="L135" s="179"/>
      <c r="M135" s="179"/>
      <c r="N135" s="179"/>
      <c r="O135" s="21"/>
      <c r="P135" s="29">
        <f>SUM(F135:O135)</f>
        <v>2024</v>
      </c>
      <c r="Q135" s="597" t="s">
        <v>126</v>
      </c>
    </row>
    <row r="136" spans="1:17" ht="13.5" customHeight="1">
      <c r="A136" s="18"/>
      <c r="B136" s="18"/>
      <c r="C136" s="891" t="s">
        <v>1066</v>
      </c>
      <c r="D136" s="892"/>
      <c r="E136" s="729">
        <v>1</v>
      </c>
      <c r="F136" s="21"/>
      <c r="G136" s="21"/>
      <c r="H136" s="173">
        <v>300</v>
      </c>
      <c r="I136" s="21"/>
      <c r="J136" s="21"/>
      <c r="K136" s="179"/>
      <c r="L136" s="179"/>
      <c r="M136" s="179"/>
      <c r="N136" s="179"/>
      <c r="O136" s="21"/>
      <c r="P136" s="29">
        <f>SUM(F136:O136)</f>
        <v>300</v>
      </c>
      <c r="Q136" s="597" t="s">
        <v>126</v>
      </c>
    </row>
    <row r="137" spans="1:17" ht="13.5" customHeight="1">
      <c r="A137" s="174"/>
      <c r="B137" s="174"/>
      <c r="C137" s="35" t="s">
        <v>1168</v>
      </c>
      <c r="D137" s="183"/>
      <c r="E137" s="34"/>
      <c r="F137" s="177">
        <f>SUM(F134:F136)</f>
        <v>0</v>
      </c>
      <c r="G137" s="177">
        <f aca="true" t="shared" si="13" ref="G137:P137">SUM(G134:G136)</f>
        <v>0</v>
      </c>
      <c r="H137" s="177">
        <f t="shared" si="13"/>
        <v>1224</v>
      </c>
      <c r="I137" s="177">
        <f t="shared" si="13"/>
        <v>0</v>
      </c>
      <c r="J137" s="177">
        <f t="shared" si="13"/>
        <v>1100</v>
      </c>
      <c r="K137" s="177">
        <f t="shared" si="13"/>
        <v>0</v>
      </c>
      <c r="L137" s="177">
        <f t="shared" si="13"/>
        <v>0</v>
      </c>
      <c r="M137" s="177">
        <f t="shared" si="13"/>
        <v>0</v>
      </c>
      <c r="N137" s="177">
        <f t="shared" si="13"/>
        <v>0</v>
      </c>
      <c r="O137" s="177">
        <f t="shared" si="13"/>
        <v>0</v>
      </c>
      <c r="P137" s="177">
        <f t="shared" si="13"/>
        <v>2324</v>
      </c>
      <c r="Q137" s="595"/>
    </row>
    <row r="138" spans="1:17" ht="13.5" customHeight="1">
      <c r="A138" s="18"/>
      <c r="B138" s="18"/>
      <c r="C138" s="33" t="s">
        <v>945</v>
      </c>
      <c r="D138" s="182"/>
      <c r="E138" s="745"/>
      <c r="F138" s="21"/>
      <c r="G138" s="21"/>
      <c r="H138" s="21"/>
      <c r="I138" s="21"/>
      <c r="J138" s="21"/>
      <c r="K138" s="179">
        <f>7!J244</f>
        <v>0</v>
      </c>
      <c r="L138" s="179"/>
      <c r="M138" s="179">
        <f>7!K244</f>
        <v>0</v>
      </c>
      <c r="N138" s="179"/>
      <c r="O138" s="21"/>
      <c r="P138" s="29">
        <f>SUM(F138:O138)</f>
        <v>0</v>
      </c>
      <c r="Q138" s="596"/>
    </row>
    <row r="139" spans="1:17" ht="13.5" customHeight="1">
      <c r="A139" s="174"/>
      <c r="B139" s="174"/>
      <c r="C139" s="35" t="s">
        <v>78</v>
      </c>
      <c r="D139" s="183"/>
      <c r="E139" s="34"/>
      <c r="F139" s="177">
        <f>SUM(F137:F138)</f>
        <v>0</v>
      </c>
      <c r="G139" s="177">
        <f aca="true" t="shared" si="14" ref="G139:P139">SUM(G137:G138)</f>
        <v>0</v>
      </c>
      <c r="H139" s="177">
        <f t="shared" si="14"/>
        <v>1224</v>
      </c>
      <c r="I139" s="177">
        <f t="shared" si="14"/>
        <v>0</v>
      </c>
      <c r="J139" s="177">
        <f t="shared" si="14"/>
        <v>1100</v>
      </c>
      <c r="K139" s="177">
        <f t="shared" si="14"/>
        <v>0</v>
      </c>
      <c r="L139" s="177">
        <f t="shared" si="14"/>
        <v>0</v>
      </c>
      <c r="M139" s="177">
        <f t="shared" si="14"/>
        <v>0</v>
      </c>
      <c r="N139" s="177">
        <f t="shared" si="14"/>
        <v>0</v>
      </c>
      <c r="O139" s="177">
        <f t="shared" si="14"/>
        <v>0</v>
      </c>
      <c r="P139" s="177">
        <f t="shared" si="14"/>
        <v>2324</v>
      </c>
      <c r="Q139" s="595"/>
    </row>
    <row r="140" spans="1:17" ht="13.5" customHeight="1">
      <c r="A140" s="40">
        <v>1</v>
      </c>
      <c r="B140" s="40">
        <v>19</v>
      </c>
      <c r="C140" s="46" t="s">
        <v>334</v>
      </c>
      <c r="D140" s="719"/>
      <c r="E140" s="4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9"/>
      <c r="Q140" s="592"/>
    </row>
    <row r="141" spans="1:17" ht="13.5" customHeight="1">
      <c r="A141" s="40"/>
      <c r="B141" s="40"/>
      <c r="C141" s="837" t="s">
        <v>1067</v>
      </c>
      <c r="D141" s="838"/>
      <c r="E141" s="74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29"/>
      <c r="Q141" s="592"/>
    </row>
    <row r="142" spans="1:17" ht="13.5" customHeight="1">
      <c r="A142" s="40"/>
      <c r="B142" s="40"/>
      <c r="C142" s="816" t="s">
        <v>1068</v>
      </c>
      <c r="D142" s="856"/>
      <c r="E142" s="743">
        <v>1</v>
      </c>
      <c r="F142" s="173"/>
      <c r="G142" s="173"/>
      <c r="H142" s="173">
        <v>-10000</v>
      </c>
      <c r="I142" s="173"/>
      <c r="J142" s="173">
        <v>59263</v>
      </c>
      <c r="K142" s="173"/>
      <c r="L142" s="173"/>
      <c r="M142" s="173"/>
      <c r="N142" s="173"/>
      <c r="O142" s="173"/>
      <c r="P142" s="29">
        <f>SUM(F142:O142)</f>
        <v>49263</v>
      </c>
      <c r="Q142" s="592" t="s">
        <v>126</v>
      </c>
    </row>
    <row r="143" spans="1:17" ht="24.75" customHeight="1">
      <c r="A143" s="40"/>
      <c r="B143" s="40"/>
      <c r="C143" s="857" t="s">
        <v>1145</v>
      </c>
      <c r="D143" s="858"/>
      <c r="E143" s="721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29"/>
      <c r="Q143" s="592"/>
    </row>
    <row r="144" spans="1:17" ht="13.5" customHeight="1">
      <c r="A144" s="40"/>
      <c r="B144" s="40"/>
      <c r="C144" s="41" t="s">
        <v>405</v>
      </c>
      <c r="D144" s="737"/>
      <c r="E144" s="743">
        <v>1</v>
      </c>
      <c r="F144" s="173"/>
      <c r="G144" s="173"/>
      <c r="H144" s="173">
        <v>119525</v>
      </c>
      <c r="I144" s="173"/>
      <c r="J144" s="173"/>
      <c r="K144" s="173"/>
      <c r="L144" s="173"/>
      <c r="M144" s="173"/>
      <c r="N144" s="173"/>
      <c r="O144" s="173"/>
      <c r="P144" s="29">
        <f aca="true" t="shared" si="15" ref="P144:P151">SUM(F144:O144)</f>
        <v>119525</v>
      </c>
      <c r="Q144" s="592" t="s">
        <v>126</v>
      </c>
    </row>
    <row r="145" spans="1:17" ht="13.5" customHeight="1">
      <c r="A145" s="40"/>
      <c r="B145" s="40"/>
      <c r="C145" s="41" t="s">
        <v>1069</v>
      </c>
      <c r="D145" s="719"/>
      <c r="E145" s="40">
        <v>2</v>
      </c>
      <c r="F145" s="173"/>
      <c r="G145" s="173"/>
      <c r="H145" s="173">
        <v>140</v>
      </c>
      <c r="I145" s="173"/>
      <c r="J145" s="173"/>
      <c r="K145" s="173"/>
      <c r="L145" s="173"/>
      <c r="M145" s="173"/>
      <c r="N145" s="173"/>
      <c r="O145" s="173"/>
      <c r="P145" s="29">
        <f t="shared" si="15"/>
        <v>140</v>
      </c>
      <c r="Q145" s="592" t="s">
        <v>126</v>
      </c>
    </row>
    <row r="146" spans="1:17" ht="24.75" customHeight="1">
      <c r="A146" s="40"/>
      <c r="B146" s="40"/>
      <c r="C146" s="859" t="s">
        <v>1070</v>
      </c>
      <c r="D146" s="860"/>
      <c r="E146" s="40">
        <v>1</v>
      </c>
      <c r="F146" s="173"/>
      <c r="G146" s="173"/>
      <c r="H146" s="173"/>
      <c r="I146" s="173"/>
      <c r="J146" s="173">
        <v>19750</v>
      </c>
      <c r="K146" s="173"/>
      <c r="L146" s="173"/>
      <c r="M146" s="173"/>
      <c r="N146" s="173"/>
      <c r="O146" s="173"/>
      <c r="P146" s="29">
        <f t="shared" si="15"/>
        <v>19750</v>
      </c>
      <c r="Q146" s="592" t="s">
        <v>126</v>
      </c>
    </row>
    <row r="147" spans="1:17" ht="24.75" customHeight="1">
      <c r="A147" s="40"/>
      <c r="B147" s="40"/>
      <c r="C147" s="812" t="s">
        <v>1071</v>
      </c>
      <c r="D147" s="853"/>
      <c r="E147" s="743">
        <v>1</v>
      </c>
      <c r="F147" s="173"/>
      <c r="G147" s="173"/>
      <c r="H147" s="173"/>
      <c r="I147" s="173"/>
      <c r="J147" s="173">
        <v>14114</v>
      </c>
      <c r="K147" s="173"/>
      <c r="L147" s="173"/>
      <c r="M147" s="173"/>
      <c r="N147" s="173"/>
      <c r="O147" s="173"/>
      <c r="P147" s="29">
        <f t="shared" si="15"/>
        <v>14114</v>
      </c>
      <c r="Q147" s="592" t="s">
        <v>126</v>
      </c>
    </row>
    <row r="148" spans="1:17" ht="24.75" customHeight="1">
      <c r="A148" s="40"/>
      <c r="B148" s="40"/>
      <c r="C148" s="862" t="s">
        <v>1072</v>
      </c>
      <c r="D148" s="863"/>
      <c r="E148" s="743">
        <v>1</v>
      </c>
      <c r="F148" s="173"/>
      <c r="G148" s="173"/>
      <c r="H148" s="173"/>
      <c r="I148" s="173"/>
      <c r="J148" s="173">
        <v>339</v>
      </c>
      <c r="K148" s="173"/>
      <c r="L148" s="173"/>
      <c r="M148" s="173"/>
      <c r="N148" s="173"/>
      <c r="O148" s="173"/>
      <c r="P148" s="29">
        <f t="shared" si="15"/>
        <v>339</v>
      </c>
      <c r="Q148" s="592" t="s">
        <v>126</v>
      </c>
    </row>
    <row r="149" spans="1:17" ht="24.75" customHeight="1">
      <c r="A149" s="40"/>
      <c r="B149" s="40"/>
      <c r="C149" s="812" t="s">
        <v>1073</v>
      </c>
      <c r="D149" s="853"/>
      <c r="E149" s="743">
        <v>1</v>
      </c>
      <c r="F149" s="173"/>
      <c r="G149" s="173"/>
      <c r="H149" s="173"/>
      <c r="I149" s="173"/>
      <c r="J149" s="173">
        <v>1021</v>
      </c>
      <c r="K149" s="173"/>
      <c r="L149" s="173"/>
      <c r="M149" s="173"/>
      <c r="N149" s="173"/>
      <c r="O149" s="173"/>
      <c r="P149" s="29">
        <f t="shared" si="15"/>
        <v>1021</v>
      </c>
      <c r="Q149" s="592" t="s">
        <v>126</v>
      </c>
    </row>
    <row r="150" spans="1:17" ht="13.5" customHeight="1">
      <c r="A150" s="40"/>
      <c r="B150" s="40"/>
      <c r="C150" s="33" t="s">
        <v>807</v>
      </c>
      <c r="D150" s="738"/>
      <c r="E150" s="743">
        <v>2</v>
      </c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29">
        <f t="shared" si="15"/>
        <v>0</v>
      </c>
      <c r="Q150" s="592" t="s">
        <v>126</v>
      </c>
    </row>
    <row r="151" spans="1:17" ht="13.5" customHeight="1">
      <c r="A151" s="40"/>
      <c r="B151" s="40"/>
      <c r="C151" s="33" t="s">
        <v>406</v>
      </c>
      <c r="D151" s="737"/>
      <c r="E151" s="743">
        <v>2</v>
      </c>
      <c r="F151" s="173"/>
      <c r="G151" s="173"/>
      <c r="H151" s="173"/>
      <c r="I151" s="173"/>
      <c r="J151" s="173">
        <v>4900</v>
      </c>
      <c r="K151" s="173"/>
      <c r="L151" s="173"/>
      <c r="M151" s="173"/>
      <c r="N151" s="173"/>
      <c r="O151" s="173"/>
      <c r="P151" s="29">
        <f t="shared" si="15"/>
        <v>4900</v>
      </c>
      <c r="Q151" s="592" t="s">
        <v>126</v>
      </c>
    </row>
    <row r="152" spans="1:17" ht="15" customHeight="1">
      <c r="A152" s="40"/>
      <c r="B152" s="40"/>
      <c r="C152" s="812" t="s">
        <v>806</v>
      </c>
      <c r="D152" s="839"/>
      <c r="E152" s="747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29"/>
      <c r="Q152" s="592"/>
    </row>
    <row r="153" spans="1:17" ht="15" customHeight="1">
      <c r="A153" s="40"/>
      <c r="B153" s="40"/>
      <c r="C153" s="775" t="s">
        <v>407</v>
      </c>
      <c r="D153" s="860"/>
      <c r="E153" s="747">
        <v>2</v>
      </c>
      <c r="F153" s="173"/>
      <c r="G153" s="173"/>
      <c r="H153" s="173">
        <v>54</v>
      </c>
      <c r="I153" s="173"/>
      <c r="J153" s="173"/>
      <c r="K153" s="173"/>
      <c r="L153" s="173"/>
      <c r="M153" s="173"/>
      <c r="N153" s="173"/>
      <c r="O153" s="173"/>
      <c r="P153" s="29">
        <f>SUM(F153:O153)</f>
        <v>54</v>
      </c>
      <c r="Q153" s="592" t="s">
        <v>126</v>
      </c>
    </row>
    <row r="154" spans="1:17" ht="24.75" customHeight="1">
      <c r="A154" s="40"/>
      <c r="B154" s="40"/>
      <c r="C154" s="835" t="s">
        <v>1074</v>
      </c>
      <c r="D154" s="836"/>
      <c r="E154" s="747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29"/>
      <c r="Q154" s="592"/>
    </row>
    <row r="155" spans="1:17" ht="15" customHeight="1">
      <c r="A155" s="40"/>
      <c r="B155" s="40"/>
      <c r="C155" s="812" t="s">
        <v>1076</v>
      </c>
      <c r="D155" s="853"/>
      <c r="E155" s="747">
        <v>1</v>
      </c>
      <c r="F155" s="173"/>
      <c r="G155" s="173"/>
      <c r="H155" s="173">
        <v>18159</v>
      </c>
      <c r="I155" s="173"/>
      <c r="J155" s="173"/>
      <c r="K155" s="173"/>
      <c r="L155" s="173"/>
      <c r="M155" s="173"/>
      <c r="N155" s="173">
        <v>938096</v>
      </c>
      <c r="O155" s="173">
        <v>225172</v>
      </c>
      <c r="P155" s="29">
        <f>SUM(H155:O155)</f>
        <v>1181427</v>
      </c>
      <c r="Q155" s="592" t="s">
        <v>126</v>
      </c>
    </row>
    <row r="156" spans="1:17" ht="24.75" customHeight="1">
      <c r="A156" s="40"/>
      <c r="B156" s="40"/>
      <c r="C156" s="835" t="s">
        <v>1075</v>
      </c>
      <c r="D156" s="836"/>
      <c r="E156" s="40">
        <v>1</v>
      </c>
      <c r="F156" s="21"/>
      <c r="G156" s="21"/>
      <c r="H156" s="173">
        <v>-5000</v>
      </c>
      <c r="I156" s="18"/>
      <c r="J156" s="18"/>
      <c r="K156" s="18"/>
      <c r="L156" s="21"/>
      <c r="M156" s="21"/>
      <c r="N156" s="21"/>
      <c r="O156" s="21"/>
      <c r="P156" s="29">
        <f>SUM(F156:O156)</f>
        <v>-5000</v>
      </c>
      <c r="Q156" s="592" t="s">
        <v>126</v>
      </c>
    </row>
    <row r="157" spans="1:17" ht="13.5" customHeight="1">
      <c r="A157" s="178"/>
      <c r="B157" s="178"/>
      <c r="C157" s="35" t="s">
        <v>1169</v>
      </c>
      <c r="D157" s="175"/>
      <c r="E157" s="178"/>
      <c r="F157" s="177">
        <f aca="true" t="shared" si="16" ref="F157:P157">SUM(F141:F156)</f>
        <v>0</v>
      </c>
      <c r="G157" s="177">
        <f t="shared" si="16"/>
        <v>0</v>
      </c>
      <c r="H157" s="177">
        <f t="shared" si="16"/>
        <v>122878</v>
      </c>
      <c r="I157" s="177">
        <f t="shared" si="16"/>
        <v>0</v>
      </c>
      <c r="J157" s="177">
        <f t="shared" si="16"/>
        <v>99387</v>
      </c>
      <c r="K157" s="177">
        <f t="shared" si="16"/>
        <v>0</v>
      </c>
      <c r="L157" s="177">
        <f t="shared" si="16"/>
        <v>0</v>
      </c>
      <c r="M157" s="177">
        <f t="shared" si="16"/>
        <v>0</v>
      </c>
      <c r="N157" s="177">
        <f t="shared" si="16"/>
        <v>938096</v>
      </c>
      <c r="O157" s="177">
        <f t="shared" si="16"/>
        <v>225172</v>
      </c>
      <c r="P157" s="177">
        <f t="shared" si="16"/>
        <v>1385533</v>
      </c>
      <c r="Q157" s="593"/>
    </row>
    <row r="158" spans="1:17" ht="13.5" customHeight="1">
      <c r="A158" s="18"/>
      <c r="B158" s="18"/>
      <c r="C158" s="41" t="s">
        <v>945</v>
      </c>
      <c r="D158" s="20"/>
      <c r="E158" s="40"/>
      <c r="F158" s="21"/>
      <c r="G158" s="21"/>
      <c r="H158" s="21"/>
      <c r="I158" s="21"/>
      <c r="J158" s="21"/>
      <c r="K158" s="179">
        <f>7!J250</f>
        <v>0</v>
      </c>
      <c r="L158" s="179"/>
      <c r="M158" s="173">
        <f>7!K250</f>
        <v>7550</v>
      </c>
      <c r="N158" s="173"/>
      <c r="O158" s="21"/>
      <c r="P158" s="29">
        <f>SUM(F158:O158)</f>
        <v>7550</v>
      </c>
      <c r="Q158" s="592" t="s">
        <v>126</v>
      </c>
    </row>
    <row r="159" spans="1:17" ht="13.5" customHeight="1">
      <c r="A159" s="18"/>
      <c r="B159" s="18"/>
      <c r="C159" s="41" t="s">
        <v>339</v>
      </c>
      <c r="D159" s="20"/>
      <c r="E159" s="40"/>
      <c r="F159" s="21"/>
      <c r="G159" s="21"/>
      <c r="H159" s="21"/>
      <c r="I159" s="21"/>
      <c r="J159" s="21"/>
      <c r="K159" s="179"/>
      <c r="L159" s="179">
        <f>8!K185</f>
        <v>0</v>
      </c>
      <c r="M159" s="173">
        <f>8!K185</f>
        <v>0</v>
      </c>
      <c r="N159" s="173"/>
      <c r="O159" s="21"/>
      <c r="P159" s="29">
        <f>SUM(F159:O159)</f>
        <v>0</v>
      </c>
      <c r="Q159" s="592"/>
    </row>
    <row r="160" spans="1:17" ht="13.5" customHeight="1">
      <c r="A160" s="174"/>
      <c r="B160" s="174"/>
      <c r="C160" s="35" t="s">
        <v>335</v>
      </c>
      <c r="D160" s="175"/>
      <c r="E160" s="178"/>
      <c r="F160" s="177">
        <f>SUM(F157:F159)</f>
        <v>0</v>
      </c>
      <c r="G160" s="177">
        <f aca="true" t="shared" si="17" ref="G160:P160">SUM(G157:G159)</f>
        <v>0</v>
      </c>
      <c r="H160" s="177">
        <f t="shared" si="17"/>
        <v>122878</v>
      </c>
      <c r="I160" s="177">
        <f t="shared" si="17"/>
        <v>0</v>
      </c>
      <c r="J160" s="177">
        <f t="shared" si="17"/>
        <v>99387</v>
      </c>
      <c r="K160" s="177">
        <f t="shared" si="17"/>
        <v>0</v>
      </c>
      <c r="L160" s="177">
        <f t="shared" si="17"/>
        <v>0</v>
      </c>
      <c r="M160" s="177">
        <f t="shared" si="17"/>
        <v>7550</v>
      </c>
      <c r="N160" s="177">
        <f t="shared" si="17"/>
        <v>938096</v>
      </c>
      <c r="O160" s="177">
        <f t="shared" si="17"/>
        <v>225172</v>
      </c>
      <c r="P160" s="177">
        <f t="shared" si="17"/>
        <v>1393083</v>
      </c>
      <c r="Q160" s="593"/>
    </row>
    <row r="161" spans="1:17" ht="24.75" customHeight="1">
      <c r="A161" s="18">
        <v>1</v>
      </c>
      <c r="B161" s="18">
        <v>20</v>
      </c>
      <c r="C161" s="864" t="s">
        <v>1145</v>
      </c>
      <c r="D161" s="865"/>
      <c r="E161" s="30"/>
      <c r="F161" s="21"/>
      <c r="G161" s="21"/>
      <c r="H161" s="186"/>
      <c r="I161" s="186"/>
      <c r="J161" s="186"/>
      <c r="K161" s="186"/>
      <c r="L161" s="186"/>
      <c r="M161" s="186"/>
      <c r="N161" s="186"/>
      <c r="O161" s="186"/>
      <c r="P161" s="29">
        <f aca="true" t="shared" si="18" ref="P161:P174">SUM(F161:O161)</f>
        <v>0</v>
      </c>
      <c r="Q161" s="594"/>
    </row>
    <row r="162" spans="1:17" ht="13.5" customHeight="1">
      <c r="A162" s="174"/>
      <c r="B162" s="174"/>
      <c r="C162" s="35" t="s">
        <v>247</v>
      </c>
      <c r="D162" s="175"/>
      <c r="E162" s="178">
        <v>1</v>
      </c>
      <c r="F162" s="177">
        <f>SUM(F161:F161)</f>
        <v>0</v>
      </c>
      <c r="G162" s="177">
        <f>SUM(G161:G161)</f>
        <v>0</v>
      </c>
      <c r="H162" s="177">
        <v>0</v>
      </c>
      <c r="I162" s="177">
        <f aca="true" t="shared" si="19" ref="I162:O162">SUM(I161:I161)</f>
        <v>0</v>
      </c>
      <c r="J162" s="177">
        <f t="shared" si="19"/>
        <v>0</v>
      </c>
      <c r="K162" s="177">
        <f t="shared" si="19"/>
        <v>0</v>
      </c>
      <c r="L162" s="177">
        <f t="shared" si="19"/>
        <v>0</v>
      </c>
      <c r="M162" s="177">
        <f t="shared" si="19"/>
        <v>0</v>
      </c>
      <c r="N162" s="177">
        <f t="shared" si="19"/>
        <v>0</v>
      </c>
      <c r="O162" s="177">
        <f t="shared" si="19"/>
        <v>0</v>
      </c>
      <c r="P162" s="177">
        <f t="shared" si="18"/>
        <v>0</v>
      </c>
      <c r="Q162" s="593" t="s">
        <v>126</v>
      </c>
    </row>
    <row r="163" spans="1:17" ht="13.5" customHeight="1">
      <c r="A163" s="180">
        <v>1</v>
      </c>
      <c r="B163" s="180">
        <v>22</v>
      </c>
      <c r="C163" s="833" t="s">
        <v>1034</v>
      </c>
      <c r="D163" s="834"/>
      <c r="E163" s="748"/>
      <c r="F163" s="21"/>
      <c r="G163" s="21"/>
      <c r="H163" s="21"/>
      <c r="I163" s="21"/>
      <c r="J163" s="21"/>
      <c r="K163" s="179"/>
      <c r="L163" s="179"/>
      <c r="M163" s="179"/>
      <c r="N163" s="179"/>
      <c r="O163" s="21"/>
      <c r="P163" s="29"/>
      <c r="Q163" s="592"/>
    </row>
    <row r="164" spans="1:17" ht="13.5" customHeight="1">
      <c r="A164" s="180"/>
      <c r="B164" s="180"/>
      <c r="C164" s="844" t="s">
        <v>1145</v>
      </c>
      <c r="D164" s="861"/>
      <c r="E164" s="74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29"/>
      <c r="Q164" s="592"/>
    </row>
    <row r="165" spans="1:17" ht="13.5" customHeight="1">
      <c r="A165" s="180"/>
      <c r="B165" s="180"/>
      <c r="C165" s="198" t="s">
        <v>408</v>
      </c>
      <c r="D165" s="739"/>
      <c r="E165" s="720">
        <v>2</v>
      </c>
      <c r="F165" s="173">
        <v>107</v>
      </c>
      <c r="G165" s="173"/>
      <c r="H165" s="173">
        <v>3922</v>
      </c>
      <c r="I165" s="173"/>
      <c r="J165" s="173"/>
      <c r="K165" s="173"/>
      <c r="L165" s="173"/>
      <c r="M165" s="173"/>
      <c r="N165" s="173"/>
      <c r="O165" s="173"/>
      <c r="P165" s="29">
        <f t="shared" si="18"/>
        <v>4029</v>
      </c>
      <c r="Q165" s="594" t="s">
        <v>126</v>
      </c>
    </row>
    <row r="166" spans="1:17" ht="13.5" customHeight="1">
      <c r="A166" s="180"/>
      <c r="B166" s="180"/>
      <c r="C166" s="193" t="s">
        <v>1077</v>
      </c>
      <c r="D166" s="201"/>
      <c r="E166" s="720">
        <v>2</v>
      </c>
      <c r="F166" s="173">
        <v>4030</v>
      </c>
      <c r="G166" s="173">
        <v>979</v>
      </c>
      <c r="H166" s="173">
        <v>-6205</v>
      </c>
      <c r="I166" s="173"/>
      <c r="J166" s="173">
        <v>1196</v>
      </c>
      <c r="K166" s="173"/>
      <c r="L166" s="173"/>
      <c r="M166" s="173"/>
      <c r="N166" s="173"/>
      <c r="O166" s="173"/>
      <c r="P166" s="29">
        <f t="shared" si="18"/>
        <v>0</v>
      </c>
      <c r="Q166" s="594" t="s">
        <v>126</v>
      </c>
    </row>
    <row r="167" spans="1:17" ht="13.5" customHeight="1">
      <c r="A167" s="180"/>
      <c r="B167" s="180"/>
      <c r="C167" s="33" t="s">
        <v>923</v>
      </c>
      <c r="D167" s="201"/>
      <c r="E167" s="720">
        <v>1</v>
      </c>
      <c r="F167" s="173">
        <v>-1707</v>
      </c>
      <c r="G167" s="173">
        <v>-461</v>
      </c>
      <c r="H167" s="173"/>
      <c r="I167" s="173"/>
      <c r="J167" s="173"/>
      <c r="K167" s="173"/>
      <c r="L167" s="173"/>
      <c r="M167" s="173"/>
      <c r="N167" s="173"/>
      <c r="O167" s="173"/>
      <c r="P167" s="29">
        <f t="shared" si="18"/>
        <v>-2168</v>
      </c>
      <c r="Q167" s="594" t="s">
        <v>126</v>
      </c>
    </row>
    <row r="168" spans="1:17" ht="13.5" customHeight="1">
      <c r="A168" s="180"/>
      <c r="B168" s="180"/>
      <c r="C168" s="870" t="s">
        <v>1078</v>
      </c>
      <c r="D168" s="871"/>
      <c r="E168" s="720">
        <v>2</v>
      </c>
      <c r="F168" s="173"/>
      <c r="G168" s="173"/>
      <c r="H168" s="173">
        <v>-1000</v>
      </c>
      <c r="I168" s="173"/>
      <c r="J168" s="173">
        <v>407</v>
      </c>
      <c r="K168" s="173"/>
      <c r="L168" s="173"/>
      <c r="M168" s="173"/>
      <c r="N168" s="173"/>
      <c r="O168" s="173"/>
      <c r="P168" s="29">
        <f t="shared" si="18"/>
        <v>-593</v>
      </c>
      <c r="Q168" s="594" t="s">
        <v>126</v>
      </c>
    </row>
    <row r="169" spans="1:17" ht="13.5" customHeight="1">
      <c r="A169" s="180"/>
      <c r="B169" s="180"/>
      <c r="C169" s="689" t="s">
        <v>752</v>
      </c>
      <c r="D169" s="223"/>
      <c r="E169" s="720">
        <v>2</v>
      </c>
      <c r="F169" s="173"/>
      <c r="G169" s="173"/>
      <c r="H169" s="173"/>
      <c r="I169" s="173"/>
      <c r="J169" s="173">
        <v>593</v>
      </c>
      <c r="K169" s="173"/>
      <c r="L169" s="173"/>
      <c r="M169" s="173"/>
      <c r="N169" s="173"/>
      <c r="O169" s="173"/>
      <c r="P169" s="29">
        <v>593</v>
      </c>
      <c r="Q169" s="594" t="s">
        <v>126</v>
      </c>
    </row>
    <row r="170" spans="1:17" ht="13.5" customHeight="1">
      <c r="A170" s="180"/>
      <c r="B170" s="180"/>
      <c r="C170" s="193" t="s">
        <v>1172</v>
      </c>
      <c r="D170" s="201"/>
      <c r="E170" s="720">
        <v>2</v>
      </c>
      <c r="F170" s="173"/>
      <c r="G170" s="173"/>
      <c r="H170" s="173"/>
      <c r="I170" s="173"/>
      <c r="J170" s="173">
        <v>5000</v>
      </c>
      <c r="K170" s="173"/>
      <c r="L170" s="173"/>
      <c r="M170" s="173"/>
      <c r="N170" s="173"/>
      <c r="O170" s="173"/>
      <c r="P170" s="29">
        <f t="shared" si="18"/>
        <v>5000</v>
      </c>
      <c r="Q170" s="594" t="s">
        <v>126</v>
      </c>
    </row>
    <row r="171" spans="1:17" ht="13.5" customHeight="1">
      <c r="A171" s="180"/>
      <c r="B171" s="180"/>
      <c r="C171" s="816" t="s">
        <v>1079</v>
      </c>
      <c r="D171" s="846"/>
      <c r="E171" s="720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29"/>
      <c r="Q171" s="594"/>
    </row>
    <row r="172" spans="1:17" ht="13.5" customHeight="1">
      <c r="A172" s="180"/>
      <c r="B172" s="180"/>
      <c r="C172" s="41" t="s">
        <v>1080</v>
      </c>
      <c r="D172" s="201"/>
      <c r="E172" s="720">
        <v>2</v>
      </c>
      <c r="F172" s="173"/>
      <c r="G172" s="173"/>
      <c r="H172" s="173">
        <v>59</v>
      </c>
      <c r="I172" s="173"/>
      <c r="J172" s="173"/>
      <c r="K172" s="173"/>
      <c r="L172" s="173"/>
      <c r="M172" s="173"/>
      <c r="N172" s="173"/>
      <c r="O172" s="173"/>
      <c r="P172" s="29">
        <f t="shared" si="18"/>
        <v>59</v>
      </c>
      <c r="Q172" s="594" t="s">
        <v>126</v>
      </c>
    </row>
    <row r="173" spans="1:17" ht="13.5" customHeight="1">
      <c r="A173" s="180"/>
      <c r="B173" s="180"/>
      <c r="C173" s="816" t="s">
        <v>1081</v>
      </c>
      <c r="D173" s="846"/>
      <c r="E173" s="720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29"/>
      <c r="Q173" s="594"/>
    </row>
    <row r="174" spans="1:17" ht="13.5" customHeight="1">
      <c r="A174" s="180"/>
      <c r="B174" s="180"/>
      <c r="C174" s="41" t="s">
        <v>1082</v>
      </c>
      <c r="D174" s="719"/>
      <c r="E174" s="720">
        <v>2</v>
      </c>
      <c r="F174" s="173">
        <v>1800</v>
      </c>
      <c r="G174" s="173">
        <v>1500</v>
      </c>
      <c r="H174" s="173">
        <v>-3152</v>
      </c>
      <c r="I174" s="173"/>
      <c r="J174" s="173">
        <v>500</v>
      </c>
      <c r="K174" s="173"/>
      <c r="L174" s="173"/>
      <c r="M174" s="173"/>
      <c r="N174" s="173"/>
      <c r="O174" s="173"/>
      <c r="P174" s="29">
        <f t="shared" si="18"/>
        <v>648</v>
      </c>
      <c r="Q174" s="594" t="s">
        <v>126</v>
      </c>
    </row>
    <row r="175" spans="1:17" ht="13.5" customHeight="1">
      <c r="A175" s="180"/>
      <c r="B175" s="180"/>
      <c r="C175" s="193" t="s">
        <v>1050</v>
      </c>
      <c r="D175" s="204"/>
      <c r="E175" s="30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29"/>
      <c r="Q175" s="594"/>
    </row>
    <row r="176" spans="1:17" ht="13.5" customHeight="1">
      <c r="A176" s="180"/>
      <c r="B176" s="180"/>
      <c r="C176" s="835" t="s">
        <v>1083</v>
      </c>
      <c r="D176" s="836"/>
      <c r="E176" s="721">
        <v>2</v>
      </c>
      <c r="F176" s="173"/>
      <c r="G176" s="173"/>
      <c r="H176" s="173">
        <v>-100</v>
      </c>
      <c r="I176" s="173"/>
      <c r="J176" s="173">
        <v>1748</v>
      </c>
      <c r="K176" s="173"/>
      <c r="L176" s="173"/>
      <c r="M176" s="173"/>
      <c r="N176" s="173"/>
      <c r="O176" s="173"/>
      <c r="P176" s="29">
        <f>SUM(F176:O176)</f>
        <v>1648</v>
      </c>
      <c r="Q176" s="594" t="s">
        <v>126</v>
      </c>
    </row>
    <row r="177" spans="1:17" ht="13.5" customHeight="1">
      <c r="A177" s="180"/>
      <c r="B177" s="180"/>
      <c r="C177" s="203" t="s">
        <v>409</v>
      </c>
      <c r="D177" s="202"/>
      <c r="E177" s="721">
        <v>2</v>
      </c>
      <c r="F177" s="173"/>
      <c r="G177" s="173"/>
      <c r="H177" s="173">
        <v>5506</v>
      </c>
      <c r="I177" s="173"/>
      <c r="J177" s="173">
        <v>550</v>
      </c>
      <c r="K177" s="173"/>
      <c r="L177" s="173"/>
      <c r="M177" s="173"/>
      <c r="N177" s="173"/>
      <c r="O177" s="173"/>
      <c r="P177" s="29">
        <f>SUM(F177:O177)</f>
        <v>6056</v>
      </c>
      <c r="Q177" s="594" t="s">
        <v>126</v>
      </c>
    </row>
    <row r="178" spans="1:17" ht="13.5" customHeight="1">
      <c r="A178" s="180"/>
      <c r="B178" s="180"/>
      <c r="C178" s="204" t="s">
        <v>1084</v>
      </c>
      <c r="D178" s="202"/>
      <c r="E178" s="721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29"/>
      <c r="Q178" s="594"/>
    </row>
    <row r="179" spans="1:17" ht="13.5" customHeight="1">
      <c r="A179" s="180"/>
      <c r="B179" s="180"/>
      <c r="C179" s="204" t="s">
        <v>410</v>
      </c>
      <c r="D179" s="187"/>
      <c r="E179" s="748">
        <v>1</v>
      </c>
      <c r="F179" s="173"/>
      <c r="G179" s="173"/>
      <c r="H179" s="173"/>
      <c r="I179" s="173"/>
      <c r="J179" s="173">
        <v>14354</v>
      </c>
      <c r="K179" s="173"/>
      <c r="L179" s="173"/>
      <c r="M179" s="173"/>
      <c r="N179" s="173"/>
      <c r="O179" s="173"/>
      <c r="P179" s="29">
        <f>SUM(F179:O179)</f>
        <v>14354</v>
      </c>
      <c r="Q179" s="594" t="s">
        <v>126</v>
      </c>
    </row>
    <row r="180" spans="1:17" ht="13.5" customHeight="1">
      <c r="A180" s="180"/>
      <c r="B180" s="180"/>
      <c r="C180" s="193" t="s">
        <v>411</v>
      </c>
      <c r="D180" s="187"/>
      <c r="E180" s="748">
        <v>1</v>
      </c>
      <c r="F180" s="173"/>
      <c r="G180" s="173"/>
      <c r="H180" s="173">
        <v>2869</v>
      </c>
      <c r="I180" s="173"/>
      <c r="J180" s="173"/>
      <c r="K180" s="173"/>
      <c r="L180" s="173"/>
      <c r="M180" s="173"/>
      <c r="N180" s="173"/>
      <c r="O180" s="173"/>
      <c r="P180" s="29">
        <f>SUM(F180:O180)</f>
        <v>2869</v>
      </c>
      <c r="Q180" s="594" t="s">
        <v>126</v>
      </c>
    </row>
    <row r="181" spans="1:17" ht="13.5" customHeight="1">
      <c r="A181" s="188"/>
      <c r="B181" s="188"/>
      <c r="C181" s="82" t="s">
        <v>266</v>
      </c>
      <c r="D181" s="189"/>
      <c r="E181" s="749"/>
      <c r="F181" s="177">
        <f aca="true" t="shared" si="20" ref="F181:P181">SUM(F163:F180)</f>
        <v>4230</v>
      </c>
      <c r="G181" s="177">
        <f t="shared" si="20"/>
        <v>2018</v>
      </c>
      <c r="H181" s="177">
        <f t="shared" si="20"/>
        <v>1899</v>
      </c>
      <c r="I181" s="177">
        <f t="shared" si="20"/>
        <v>0</v>
      </c>
      <c r="J181" s="177">
        <f t="shared" si="20"/>
        <v>24348</v>
      </c>
      <c r="K181" s="177">
        <f t="shared" si="20"/>
        <v>0</v>
      </c>
      <c r="L181" s="177">
        <f t="shared" si="20"/>
        <v>0</v>
      </c>
      <c r="M181" s="177">
        <f t="shared" si="20"/>
        <v>0</v>
      </c>
      <c r="N181" s="177">
        <f t="shared" si="20"/>
        <v>0</v>
      </c>
      <c r="O181" s="177">
        <f t="shared" si="20"/>
        <v>0</v>
      </c>
      <c r="P181" s="177">
        <f t="shared" si="20"/>
        <v>32495</v>
      </c>
      <c r="Q181" s="595"/>
    </row>
    <row r="182" spans="1:17" ht="13.5" customHeight="1">
      <c r="A182" s="18"/>
      <c r="B182" s="18"/>
      <c r="C182" s="41" t="s">
        <v>945</v>
      </c>
      <c r="D182" s="20"/>
      <c r="E182" s="40"/>
      <c r="F182" s="21"/>
      <c r="G182" s="21"/>
      <c r="H182" s="21"/>
      <c r="I182" s="21"/>
      <c r="J182" s="21"/>
      <c r="K182" s="173">
        <f>7!J253</f>
        <v>250</v>
      </c>
      <c r="L182" s="173"/>
      <c r="M182" s="173">
        <f>7!K253</f>
        <v>0</v>
      </c>
      <c r="N182" s="173"/>
      <c r="O182" s="21"/>
      <c r="P182" s="29">
        <f>SUM(F182:O182)</f>
        <v>250</v>
      </c>
      <c r="Q182" s="592" t="s">
        <v>126</v>
      </c>
    </row>
    <row r="183" spans="1:17" ht="13.5" customHeight="1">
      <c r="A183" s="174"/>
      <c r="B183" s="174"/>
      <c r="C183" s="35" t="s">
        <v>1035</v>
      </c>
      <c r="D183" s="175"/>
      <c r="E183" s="178"/>
      <c r="F183" s="177">
        <f>SUM(F181:F182)</f>
        <v>4230</v>
      </c>
      <c r="G183" s="177">
        <f aca="true" t="shared" si="21" ref="G183:P183">SUM(G181:G182)</f>
        <v>2018</v>
      </c>
      <c r="H183" s="177">
        <f t="shared" si="21"/>
        <v>1899</v>
      </c>
      <c r="I183" s="177">
        <f t="shared" si="21"/>
        <v>0</v>
      </c>
      <c r="J183" s="177">
        <f t="shared" si="21"/>
        <v>24348</v>
      </c>
      <c r="K183" s="177">
        <f t="shared" si="21"/>
        <v>250</v>
      </c>
      <c r="L183" s="177">
        <f t="shared" si="21"/>
        <v>0</v>
      </c>
      <c r="M183" s="177">
        <f t="shared" si="21"/>
        <v>0</v>
      </c>
      <c r="N183" s="177">
        <f t="shared" si="21"/>
        <v>0</v>
      </c>
      <c r="O183" s="177">
        <f t="shared" si="21"/>
        <v>0</v>
      </c>
      <c r="P183" s="177">
        <f t="shared" si="21"/>
        <v>32745</v>
      </c>
      <c r="Q183" s="593"/>
    </row>
    <row r="184" spans="1:17" ht="13.5" customHeight="1">
      <c r="A184" s="40">
        <v>1</v>
      </c>
      <c r="B184" s="40">
        <v>30</v>
      </c>
      <c r="C184" s="46" t="s">
        <v>128</v>
      </c>
      <c r="D184" s="719"/>
      <c r="E184" s="40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29"/>
      <c r="Q184" s="592"/>
    </row>
    <row r="185" spans="1:17" ht="13.5" customHeight="1">
      <c r="A185" s="40">
        <v>1</v>
      </c>
      <c r="B185" s="40">
        <v>31</v>
      </c>
      <c r="C185" s="46" t="s">
        <v>69</v>
      </c>
      <c r="D185" s="719"/>
      <c r="E185" s="40"/>
      <c r="F185" s="43"/>
      <c r="G185" s="43"/>
      <c r="H185" s="43"/>
      <c r="I185" s="43"/>
      <c r="J185" s="43">
        <v>-100</v>
      </c>
      <c r="K185" s="43"/>
      <c r="L185" s="43"/>
      <c r="M185" s="43"/>
      <c r="N185" s="43"/>
      <c r="O185" s="43"/>
      <c r="P185" s="29">
        <f>SUM(J185:O185)</f>
        <v>-100</v>
      </c>
      <c r="Q185" s="592" t="s">
        <v>126</v>
      </c>
    </row>
    <row r="186" spans="1:17" ht="13.5" customHeight="1">
      <c r="A186" s="40"/>
      <c r="B186" s="40">
        <v>32</v>
      </c>
      <c r="C186" s="46" t="s">
        <v>314</v>
      </c>
      <c r="D186" s="719"/>
      <c r="E186" s="40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29"/>
      <c r="Q186" s="592"/>
    </row>
    <row r="187" spans="1:17" ht="15" customHeight="1">
      <c r="A187" s="40"/>
      <c r="B187" s="40"/>
      <c r="C187" s="835" t="s">
        <v>1085</v>
      </c>
      <c r="D187" s="866"/>
      <c r="E187" s="721">
        <v>1</v>
      </c>
      <c r="F187" s="43"/>
      <c r="G187" s="43"/>
      <c r="H187" s="43"/>
      <c r="I187" s="43"/>
      <c r="J187" s="43">
        <v>30514</v>
      </c>
      <c r="K187" s="43"/>
      <c r="L187" s="43"/>
      <c r="M187" s="43"/>
      <c r="N187" s="43"/>
      <c r="O187" s="43"/>
      <c r="P187" s="29">
        <f>SUM(F187:O187)</f>
        <v>30514</v>
      </c>
      <c r="Q187" s="592" t="s">
        <v>126</v>
      </c>
    </row>
    <row r="188" spans="1:17" ht="24.75" customHeight="1">
      <c r="A188" s="40"/>
      <c r="B188" s="40"/>
      <c r="C188" s="835" t="s">
        <v>412</v>
      </c>
      <c r="D188" s="836"/>
      <c r="E188" s="750">
        <v>1</v>
      </c>
      <c r="F188" s="43"/>
      <c r="G188" s="43"/>
      <c r="H188" s="43"/>
      <c r="I188" s="43"/>
      <c r="J188" s="43">
        <v>-6500</v>
      </c>
      <c r="K188" s="43"/>
      <c r="L188" s="43"/>
      <c r="M188" s="43"/>
      <c r="N188" s="43"/>
      <c r="O188" s="43"/>
      <c r="P188" s="29">
        <f>SUM(F188:O188)</f>
        <v>-6500</v>
      </c>
      <c r="Q188" s="592" t="s">
        <v>126</v>
      </c>
    </row>
    <row r="189" spans="1:17" ht="12.75" customHeight="1">
      <c r="A189" s="40"/>
      <c r="B189" s="40"/>
      <c r="C189" s="41" t="s">
        <v>122</v>
      </c>
      <c r="D189" s="719"/>
      <c r="E189" s="40">
        <v>1</v>
      </c>
      <c r="F189" s="43"/>
      <c r="G189" s="43"/>
      <c r="H189" s="43"/>
      <c r="I189" s="43"/>
      <c r="J189" s="43">
        <v>-99769</v>
      </c>
      <c r="K189" s="43"/>
      <c r="L189" s="43"/>
      <c r="M189" s="43"/>
      <c r="N189" s="43"/>
      <c r="O189" s="43"/>
      <c r="P189" s="29">
        <f>SUM(F189:O189)</f>
        <v>-99769</v>
      </c>
      <c r="Q189" s="592" t="s">
        <v>126</v>
      </c>
    </row>
    <row r="190" spans="1:17" ht="31.5" customHeight="1">
      <c r="A190" s="40"/>
      <c r="B190" s="40"/>
      <c r="C190" s="867" t="s">
        <v>413</v>
      </c>
      <c r="D190" s="866"/>
      <c r="E190" s="721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29"/>
      <c r="Q190" s="592"/>
    </row>
    <row r="191" spans="1:17" ht="12.75" customHeight="1">
      <c r="A191" s="40"/>
      <c r="B191" s="40"/>
      <c r="C191" s="835" t="s">
        <v>414</v>
      </c>
      <c r="D191" s="866"/>
      <c r="E191" s="721">
        <v>2</v>
      </c>
      <c r="F191" s="43"/>
      <c r="G191" s="43"/>
      <c r="H191" s="43"/>
      <c r="I191" s="43"/>
      <c r="J191" s="43">
        <v>-3973</v>
      </c>
      <c r="K191" s="43"/>
      <c r="L191" s="43"/>
      <c r="M191" s="43"/>
      <c r="N191" s="43"/>
      <c r="O191" s="43"/>
      <c r="P191" s="29">
        <f>SUM(F191:O191)</f>
        <v>-3973</v>
      </c>
      <c r="Q191" s="592" t="s">
        <v>126</v>
      </c>
    </row>
    <row r="192" spans="1:17" ht="31.5" customHeight="1">
      <c r="A192" s="40"/>
      <c r="B192" s="40"/>
      <c r="C192" s="867" t="s">
        <v>416</v>
      </c>
      <c r="D192" s="866"/>
      <c r="E192" s="721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29"/>
      <c r="Q192" s="592"/>
    </row>
    <row r="193" spans="1:17" ht="12.75" customHeight="1">
      <c r="A193" s="40"/>
      <c r="B193" s="40"/>
      <c r="C193" s="41" t="s">
        <v>1086</v>
      </c>
      <c r="D193" s="737"/>
      <c r="E193" s="743">
        <v>2</v>
      </c>
      <c r="F193" s="43"/>
      <c r="G193" s="43"/>
      <c r="H193" s="43"/>
      <c r="I193" s="43"/>
      <c r="J193" s="43">
        <v>-5000</v>
      </c>
      <c r="K193" s="43"/>
      <c r="L193" s="43"/>
      <c r="M193" s="43"/>
      <c r="N193" s="43"/>
      <c r="O193" s="43"/>
      <c r="P193" s="29">
        <f>SUM(F193:O193)</f>
        <v>-5000</v>
      </c>
      <c r="Q193" s="592" t="s">
        <v>126</v>
      </c>
    </row>
    <row r="194" spans="1:17" ht="12.75" customHeight="1">
      <c r="A194" s="40"/>
      <c r="B194" s="40"/>
      <c r="C194" s="835" t="s">
        <v>417</v>
      </c>
      <c r="D194" s="866"/>
      <c r="E194" s="721">
        <v>2</v>
      </c>
      <c r="F194" s="43"/>
      <c r="G194" s="43"/>
      <c r="H194" s="43"/>
      <c r="I194" s="43"/>
      <c r="J194" s="43">
        <v>-3000</v>
      </c>
      <c r="K194" s="43"/>
      <c r="L194" s="43"/>
      <c r="M194" s="43"/>
      <c r="N194" s="43"/>
      <c r="O194" s="43"/>
      <c r="P194" s="29">
        <f>SUM(F194:O194)</f>
        <v>-3000</v>
      </c>
      <c r="Q194" s="592" t="s">
        <v>126</v>
      </c>
    </row>
    <row r="195" spans="1:17" ht="24.75" customHeight="1">
      <c r="A195" s="40"/>
      <c r="B195" s="40"/>
      <c r="C195" s="867" t="s">
        <v>418</v>
      </c>
      <c r="D195" s="866"/>
      <c r="E195" s="721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29"/>
      <c r="Q195" s="592"/>
    </row>
    <row r="196" spans="1:17" ht="12.75" customHeight="1">
      <c r="A196" s="40"/>
      <c r="B196" s="40"/>
      <c r="C196" s="41" t="s">
        <v>895</v>
      </c>
      <c r="D196" s="737"/>
      <c r="E196" s="743">
        <v>2</v>
      </c>
      <c r="F196" s="43"/>
      <c r="G196" s="43"/>
      <c r="H196" s="43"/>
      <c r="I196" s="43"/>
      <c r="J196" s="43">
        <v>-5000</v>
      </c>
      <c r="K196" s="43"/>
      <c r="L196" s="43"/>
      <c r="M196" s="43"/>
      <c r="N196" s="43"/>
      <c r="O196" s="43"/>
      <c r="P196" s="29">
        <f>SUM(F196:O196)</f>
        <v>-5000</v>
      </c>
      <c r="Q196" s="592" t="s">
        <v>126</v>
      </c>
    </row>
    <row r="197" spans="1:17" ht="24.75" customHeight="1">
      <c r="A197" s="40"/>
      <c r="B197" s="40"/>
      <c r="C197" s="867" t="s">
        <v>896</v>
      </c>
      <c r="D197" s="866"/>
      <c r="E197" s="721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29"/>
      <c r="Q197" s="592"/>
    </row>
    <row r="198" spans="1:17" ht="12.75" customHeight="1">
      <c r="A198" s="40"/>
      <c r="B198" s="40"/>
      <c r="C198" s="835" t="s">
        <v>897</v>
      </c>
      <c r="D198" s="866"/>
      <c r="E198" s="721">
        <v>2</v>
      </c>
      <c r="F198" s="43"/>
      <c r="G198" s="43"/>
      <c r="H198" s="43"/>
      <c r="I198" s="43"/>
      <c r="J198" s="43">
        <v>-2200</v>
      </c>
      <c r="K198" s="43"/>
      <c r="L198" s="43"/>
      <c r="M198" s="43"/>
      <c r="N198" s="43"/>
      <c r="O198" s="43"/>
      <c r="P198" s="29">
        <f>SUM(F198:O198)</f>
        <v>-2200</v>
      </c>
      <c r="Q198" s="592" t="s">
        <v>126</v>
      </c>
    </row>
    <row r="199" spans="1:17" ht="31.5" customHeight="1">
      <c r="A199" s="40"/>
      <c r="B199" s="40"/>
      <c r="C199" s="868" t="s">
        <v>899</v>
      </c>
      <c r="D199" s="869"/>
      <c r="E199" s="751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29"/>
      <c r="Q199" s="592"/>
    </row>
    <row r="200" spans="1:17" ht="12.75" customHeight="1">
      <c r="A200" s="40"/>
      <c r="B200" s="40"/>
      <c r="C200" s="775" t="s">
        <v>898</v>
      </c>
      <c r="D200" s="866"/>
      <c r="E200" s="721">
        <v>1</v>
      </c>
      <c r="F200" s="43"/>
      <c r="G200" s="43"/>
      <c r="H200" s="43"/>
      <c r="I200" s="43"/>
      <c r="J200" s="43">
        <v>-1100</v>
      </c>
      <c r="K200" s="43"/>
      <c r="L200" s="43"/>
      <c r="M200" s="43"/>
      <c r="N200" s="43"/>
      <c r="O200" s="43"/>
      <c r="P200" s="29">
        <f>SUM(F200:O200)</f>
        <v>-1100</v>
      </c>
      <c r="Q200" s="592" t="s">
        <v>126</v>
      </c>
    </row>
    <row r="201" spans="1:17" ht="12.75" customHeight="1">
      <c r="A201" s="40"/>
      <c r="B201" s="40"/>
      <c r="C201" s="33" t="s">
        <v>900</v>
      </c>
      <c r="D201" s="740"/>
      <c r="E201" s="721">
        <v>1</v>
      </c>
      <c r="F201" s="43"/>
      <c r="G201" s="43"/>
      <c r="H201" s="43"/>
      <c r="I201" s="43"/>
      <c r="J201" s="43">
        <v>45000</v>
      </c>
      <c r="K201" s="43"/>
      <c r="L201" s="43"/>
      <c r="M201" s="43"/>
      <c r="N201" s="43"/>
      <c r="O201" s="43"/>
      <c r="P201" s="29">
        <f>SUM(F201:O201)</f>
        <v>45000</v>
      </c>
      <c r="Q201" s="592" t="s">
        <v>126</v>
      </c>
    </row>
    <row r="202" spans="1:17" ht="12.75" customHeight="1">
      <c r="A202" s="40"/>
      <c r="B202" s="40"/>
      <c r="C202" s="194" t="s">
        <v>349</v>
      </c>
      <c r="D202" s="719"/>
      <c r="E202" s="40"/>
      <c r="F202" s="43"/>
      <c r="G202" s="43"/>
      <c r="H202" s="43"/>
      <c r="I202" s="43"/>
      <c r="J202" s="43"/>
      <c r="K202" s="43">
        <f>7!J256</f>
        <v>0</v>
      </c>
      <c r="L202" s="43">
        <f>8!J188</f>
        <v>0</v>
      </c>
      <c r="M202" s="43"/>
      <c r="N202" s="43"/>
      <c r="O202" s="43"/>
      <c r="P202" s="29">
        <f>SUM(K202:O202)</f>
        <v>0</v>
      </c>
      <c r="Q202" s="592" t="s">
        <v>126</v>
      </c>
    </row>
    <row r="203" spans="1:17" ht="13.5" customHeight="1">
      <c r="A203" s="34"/>
      <c r="B203" s="34"/>
      <c r="C203" s="35" t="s">
        <v>82</v>
      </c>
      <c r="D203" s="741"/>
      <c r="E203" s="34"/>
      <c r="F203" s="36">
        <f aca="true" t="shared" si="22" ref="F203:P203">SUM(F184:F202)</f>
        <v>0</v>
      </c>
      <c r="G203" s="36">
        <f t="shared" si="22"/>
        <v>0</v>
      </c>
      <c r="H203" s="36">
        <f t="shared" si="22"/>
        <v>0</v>
      </c>
      <c r="I203" s="36">
        <f t="shared" si="22"/>
        <v>0</v>
      </c>
      <c r="J203" s="36">
        <f t="shared" si="22"/>
        <v>-51128</v>
      </c>
      <c r="K203" s="36">
        <f t="shared" si="22"/>
        <v>0</v>
      </c>
      <c r="L203" s="36">
        <f t="shared" si="22"/>
        <v>0</v>
      </c>
      <c r="M203" s="36">
        <f t="shared" si="22"/>
        <v>0</v>
      </c>
      <c r="N203" s="36">
        <f t="shared" si="22"/>
        <v>0</v>
      </c>
      <c r="O203" s="36">
        <f t="shared" si="22"/>
        <v>0</v>
      </c>
      <c r="P203" s="36">
        <f t="shared" si="22"/>
        <v>-51128</v>
      </c>
      <c r="Q203" s="593"/>
    </row>
    <row r="204" spans="1:17" ht="25.5" customHeight="1">
      <c r="A204" s="34"/>
      <c r="B204" s="34"/>
      <c r="C204" s="829" t="s">
        <v>117</v>
      </c>
      <c r="D204" s="830"/>
      <c r="E204" s="752"/>
      <c r="F204" s="36">
        <f aca="true" t="shared" si="23" ref="F204:P204">SUM(F23+F70+F111+F117+F132+F139+F160+F162+F183+F203)</f>
        <v>5372</v>
      </c>
      <c r="G204" s="36">
        <f t="shared" si="23"/>
        <v>2274</v>
      </c>
      <c r="H204" s="36">
        <f t="shared" si="23"/>
        <v>111687</v>
      </c>
      <c r="I204" s="36">
        <f t="shared" si="23"/>
        <v>106389</v>
      </c>
      <c r="J204" s="36">
        <f t="shared" si="23"/>
        <v>167933</v>
      </c>
      <c r="K204" s="36">
        <f t="shared" si="23"/>
        <v>381452</v>
      </c>
      <c r="L204" s="36">
        <f t="shared" si="23"/>
        <v>7248</v>
      </c>
      <c r="M204" s="36">
        <f t="shared" si="23"/>
        <v>298912</v>
      </c>
      <c r="N204" s="36">
        <f t="shared" si="23"/>
        <v>938096</v>
      </c>
      <c r="O204" s="36">
        <f t="shared" si="23"/>
        <v>225172</v>
      </c>
      <c r="P204" s="36">
        <f t="shared" si="23"/>
        <v>2244535</v>
      </c>
      <c r="Q204" s="36"/>
    </row>
    <row r="205" spans="1:17" ht="12.75" customHeight="1">
      <c r="A205" s="30">
        <v>2</v>
      </c>
      <c r="B205" s="30"/>
      <c r="C205" s="81" t="s">
        <v>114</v>
      </c>
      <c r="D205" s="197"/>
      <c r="E205" s="30"/>
      <c r="F205" s="32">
        <f>'táj.2.'!C20</f>
        <v>66585</v>
      </c>
      <c r="G205" s="32">
        <f>'táj.2.'!D20</f>
        <v>12329</v>
      </c>
      <c r="H205" s="32">
        <f>'táj.2.'!E20</f>
        <v>142599</v>
      </c>
      <c r="I205" s="32">
        <f>'táj.2.'!F20</f>
        <v>0</v>
      </c>
      <c r="J205" s="32">
        <f>'táj.2.'!G20</f>
        <v>7966</v>
      </c>
      <c r="K205" s="32">
        <f>'táj.2.'!H20</f>
        <v>73182</v>
      </c>
      <c r="L205" s="32">
        <f>'táj.2.'!I20</f>
        <v>29876</v>
      </c>
      <c r="M205" s="32">
        <f>'táj.2.'!J20</f>
        <v>0</v>
      </c>
      <c r="N205" s="32"/>
      <c r="O205" s="32"/>
      <c r="P205" s="29">
        <f>SUM(F205:O205)</f>
        <v>332537</v>
      </c>
      <c r="Q205" s="37"/>
    </row>
    <row r="206" spans="1:17" ht="12.75" customHeight="1">
      <c r="A206" s="34"/>
      <c r="B206" s="34"/>
      <c r="C206" s="63" t="s">
        <v>83</v>
      </c>
      <c r="D206" s="741"/>
      <c r="E206" s="34"/>
      <c r="F206" s="36">
        <f>SUM(F204:F205)</f>
        <v>71957</v>
      </c>
      <c r="G206" s="36">
        <f aca="true" t="shared" si="24" ref="G206:P206">SUM(G204:G205)</f>
        <v>14603</v>
      </c>
      <c r="H206" s="36">
        <f t="shared" si="24"/>
        <v>254286</v>
      </c>
      <c r="I206" s="36">
        <f t="shared" si="24"/>
        <v>106389</v>
      </c>
      <c r="J206" s="36">
        <f t="shared" si="24"/>
        <v>175899</v>
      </c>
      <c r="K206" s="36">
        <f t="shared" si="24"/>
        <v>454634</v>
      </c>
      <c r="L206" s="36">
        <f t="shared" si="24"/>
        <v>37124</v>
      </c>
      <c r="M206" s="36">
        <f t="shared" si="24"/>
        <v>298912</v>
      </c>
      <c r="N206" s="36">
        <f t="shared" si="24"/>
        <v>938096</v>
      </c>
      <c r="O206" s="36">
        <f t="shared" si="24"/>
        <v>225172</v>
      </c>
      <c r="P206" s="36">
        <f t="shared" si="24"/>
        <v>2577072</v>
      </c>
      <c r="Q206" s="36"/>
    </row>
    <row r="207" spans="3:5" ht="12.75">
      <c r="C207" s="831"/>
      <c r="D207" s="832"/>
      <c r="E207" s="235"/>
    </row>
  </sheetData>
  <sheetProtection/>
  <mergeCells count="95">
    <mergeCell ref="C103:D103"/>
    <mergeCell ref="C104:D104"/>
    <mergeCell ref="C125:D125"/>
    <mergeCell ref="C126:D126"/>
    <mergeCell ref="C120:D120"/>
    <mergeCell ref="C134:D134"/>
    <mergeCell ref="C127:D127"/>
    <mergeCell ref="P1:P2"/>
    <mergeCell ref="A1:A2"/>
    <mergeCell ref="B1:B2"/>
    <mergeCell ref="C1:D2"/>
    <mergeCell ref="E1:E2"/>
    <mergeCell ref="F1:M1"/>
    <mergeCell ref="N1:O1"/>
    <mergeCell ref="C6:D6"/>
    <mergeCell ref="C54:D54"/>
    <mergeCell ref="C58:D58"/>
    <mergeCell ref="C60:D60"/>
    <mergeCell ref="C93:D93"/>
    <mergeCell ref="C79:D79"/>
    <mergeCell ref="C81:D81"/>
    <mergeCell ref="C190:D190"/>
    <mergeCell ref="C168:D168"/>
    <mergeCell ref="C191:D191"/>
    <mergeCell ref="C192:D192"/>
    <mergeCell ref="C176:D176"/>
    <mergeCell ref="C187:D187"/>
    <mergeCell ref="C171:D171"/>
    <mergeCell ref="C173:D173"/>
    <mergeCell ref="C200:D200"/>
    <mergeCell ref="C194:D194"/>
    <mergeCell ref="C195:D195"/>
    <mergeCell ref="C197:D197"/>
    <mergeCell ref="C198:D198"/>
    <mergeCell ref="C199:D199"/>
    <mergeCell ref="C164:D164"/>
    <mergeCell ref="C148:D148"/>
    <mergeCell ref="C149:D149"/>
    <mergeCell ref="C154:D154"/>
    <mergeCell ref="C156:D156"/>
    <mergeCell ref="C153:D153"/>
    <mergeCell ref="C161:D161"/>
    <mergeCell ref="C155:D155"/>
    <mergeCell ref="C119:D119"/>
    <mergeCell ref="C142:D142"/>
    <mergeCell ref="C143:D143"/>
    <mergeCell ref="C146:D146"/>
    <mergeCell ref="C147:D147"/>
    <mergeCell ref="C136:D136"/>
    <mergeCell ref="C135:D135"/>
    <mergeCell ref="C65:D65"/>
    <mergeCell ref="C66:D66"/>
    <mergeCell ref="C113:D113"/>
    <mergeCell ref="C107:D107"/>
    <mergeCell ref="C97:D97"/>
    <mergeCell ref="C78:D78"/>
    <mergeCell ref="C105:D105"/>
    <mergeCell ref="C101:D101"/>
    <mergeCell ref="C102:D102"/>
    <mergeCell ref="C18:D18"/>
    <mergeCell ref="C27:D27"/>
    <mergeCell ref="C30:D30"/>
    <mergeCell ref="C26:D26"/>
    <mergeCell ref="C16:D16"/>
    <mergeCell ref="C87:D87"/>
    <mergeCell ref="C82:D82"/>
    <mergeCell ref="C84:D84"/>
    <mergeCell ref="C85:D85"/>
    <mergeCell ref="C62:D62"/>
    <mergeCell ref="Q1:Q2"/>
    <mergeCell ref="C204:D204"/>
    <mergeCell ref="C207:D207"/>
    <mergeCell ref="C163:D163"/>
    <mergeCell ref="C188:D188"/>
    <mergeCell ref="C141:D141"/>
    <mergeCell ref="C152:D152"/>
    <mergeCell ref="C36:D36"/>
    <mergeCell ref="C12:D12"/>
    <mergeCell ref="C13:D13"/>
    <mergeCell ref="C35:D35"/>
    <mergeCell ref="C28:D28"/>
    <mergeCell ref="C40:D40"/>
    <mergeCell ref="C52:D52"/>
    <mergeCell ref="C51:D51"/>
    <mergeCell ref="C57:D57"/>
    <mergeCell ref="C44:D44"/>
    <mergeCell ref="C47:D47"/>
    <mergeCell ref="C37:D37"/>
    <mergeCell ref="C45:D45"/>
    <mergeCell ref="C64:D64"/>
    <mergeCell ref="C5:D5"/>
    <mergeCell ref="C8:D8"/>
    <mergeCell ref="C43:D43"/>
    <mergeCell ref="C10:D10"/>
    <mergeCell ref="C29:D29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AZ I. NEGYEDÉVBEN
&amp;R&amp;"Times New Roman CE,Félkövér dőlt"12. 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29" sqref="E29"/>
    </sheetView>
  </sheetViews>
  <sheetFormatPr defaultColWidth="10.625" defaultRowHeight="12.75"/>
  <cols>
    <col min="1" max="1" width="10.625" style="599" customWidth="1"/>
    <col min="2" max="2" width="42.50390625" style="599" customWidth="1"/>
    <col min="3" max="3" width="12.125" style="599" customWidth="1"/>
    <col min="4" max="4" width="9.00390625" style="599" customWidth="1"/>
    <col min="5" max="5" width="6.625" style="599" customWidth="1"/>
    <col min="6" max="6" width="8.50390625" style="599" customWidth="1"/>
    <col min="7" max="7" width="8.375" style="599" customWidth="1"/>
    <col min="8" max="8" width="8.125" style="599" customWidth="1"/>
    <col min="9" max="9" width="7.50390625" style="599" customWidth="1"/>
    <col min="10" max="10" width="8.625" style="599" customWidth="1"/>
    <col min="11" max="11" width="11.00390625" style="599" customWidth="1"/>
    <col min="12" max="12" width="12.00390625" style="599" customWidth="1"/>
    <col min="13" max="16384" width="10.625" style="599" customWidth="1"/>
  </cols>
  <sheetData>
    <row r="1" spans="1:12" ht="54">
      <c r="A1" s="159" t="s">
        <v>73</v>
      </c>
      <c r="B1" s="155" t="s">
        <v>327</v>
      </c>
      <c r="C1" s="225" t="s">
        <v>625</v>
      </c>
      <c r="D1" s="155" t="s">
        <v>987</v>
      </c>
      <c r="E1" s="155" t="s">
        <v>158</v>
      </c>
      <c r="F1" s="155" t="s">
        <v>988</v>
      </c>
      <c r="G1" s="225" t="s">
        <v>948</v>
      </c>
      <c r="H1" s="160" t="s">
        <v>989</v>
      </c>
      <c r="I1" s="160" t="s">
        <v>949</v>
      </c>
      <c r="J1" s="160" t="s">
        <v>159</v>
      </c>
      <c r="K1" s="225" t="s">
        <v>626</v>
      </c>
      <c r="L1" s="160" t="s">
        <v>950</v>
      </c>
    </row>
    <row r="2" spans="1:12" ht="12.75">
      <c r="A2" s="600" t="s">
        <v>195</v>
      </c>
      <c r="B2" s="120" t="s">
        <v>113</v>
      </c>
      <c r="C2" s="665">
        <v>1</v>
      </c>
      <c r="D2" s="601"/>
      <c r="E2" s="601"/>
      <c r="F2" s="601"/>
      <c r="G2" s="601"/>
      <c r="H2" s="601"/>
      <c r="I2" s="601"/>
      <c r="J2" s="602">
        <v>1</v>
      </c>
      <c r="K2" s="603">
        <v>1</v>
      </c>
      <c r="L2" s="603">
        <f aca="true" t="shared" si="0" ref="L2:L19">K2-C2</f>
        <v>0</v>
      </c>
    </row>
    <row r="3" spans="1:12" ht="12.75">
      <c r="A3" s="600" t="s">
        <v>263</v>
      </c>
      <c r="B3" s="226" t="s">
        <v>331</v>
      </c>
      <c r="C3" s="227">
        <v>171</v>
      </c>
      <c r="D3" s="227">
        <v>144</v>
      </c>
      <c r="E3" s="14"/>
      <c r="F3" s="14"/>
      <c r="G3" s="228"/>
      <c r="H3" s="15"/>
      <c r="I3" s="15">
        <v>18</v>
      </c>
      <c r="J3" s="15">
        <v>9</v>
      </c>
      <c r="K3" s="227">
        <v>171</v>
      </c>
      <c r="L3" s="163">
        <f t="shared" si="0"/>
        <v>0</v>
      </c>
    </row>
    <row r="4" spans="1:13" ht="12.75">
      <c r="A4" s="600" t="s">
        <v>265</v>
      </c>
      <c r="B4" s="226" t="s">
        <v>1021</v>
      </c>
      <c r="C4" s="227">
        <v>168</v>
      </c>
      <c r="D4" s="227"/>
      <c r="E4" s="14"/>
      <c r="F4" s="14"/>
      <c r="G4" s="227"/>
      <c r="H4" s="163"/>
      <c r="I4" s="227">
        <v>43.5</v>
      </c>
      <c r="J4" s="227">
        <v>124.5</v>
      </c>
      <c r="K4" s="227">
        <f>SUM(D4:J4)</f>
        <v>168</v>
      </c>
      <c r="L4" s="163">
        <f t="shared" si="0"/>
        <v>0</v>
      </c>
      <c r="M4" s="604"/>
    </row>
    <row r="5" spans="1:12" ht="12.75">
      <c r="A5" s="600" t="s">
        <v>267</v>
      </c>
      <c r="B5" s="120" t="s">
        <v>420</v>
      </c>
      <c r="C5" s="227">
        <v>122.5</v>
      </c>
      <c r="D5" s="227"/>
      <c r="E5" s="14">
        <v>0.5</v>
      </c>
      <c r="F5" s="163"/>
      <c r="G5" s="227"/>
      <c r="H5" s="163">
        <v>77</v>
      </c>
      <c r="I5" s="227">
        <v>4</v>
      </c>
      <c r="J5" s="227">
        <v>41</v>
      </c>
      <c r="K5" s="227">
        <f>SUM(D5:J5)</f>
        <v>122.5</v>
      </c>
      <c r="L5" s="163">
        <f t="shared" si="0"/>
        <v>0</v>
      </c>
    </row>
    <row r="6" spans="1:12" ht="12.75">
      <c r="A6" s="600" t="s">
        <v>268</v>
      </c>
      <c r="B6" s="120" t="s">
        <v>951</v>
      </c>
      <c r="C6" s="227">
        <v>56.5</v>
      </c>
      <c r="D6" s="227"/>
      <c r="E6" s="14">
        <v>4</v>
      </c>
      <c r="F6" s="14"/>
      <c r="G6" s="227"/>
      <c r="H6" s="163">
        <v>45.5</v>
      </c>
      <c r="I6" s="227"/>
      <c r="J6" s="227">
        <v>7</v>
      </c>
      <c r="K6" s="227">
        <v>56.5</v>
      </c>
      <c r="L6" s="163">
        <f t="shared" si="0"/>
        <v>0</v>
      </c>
    </row>
    <row r="7" spans="1:12" ht="12.75">
      <c r="A7" s="600" t="s">
        <v>269</v>
      </c>
      <c r="B7" s="120" t="s">
        <v>952</v>
      </c>
      <c r="C7" s="227">
        <v>72.5</v>
      </c>
      <c r="D7" s="227"/>
      <c r="E7" s="14"/>
      <c r="F7" s="14">
        <v>40.5</v>
      </c>
      <c r="G7" s="227"/>
      <c r="H7" s="163">
        <v>24</v>
      </c>
      <c r="I7" s="227"/>
      <c r="J7" s="227">
        <v>8</v>
      </c>
      <c r="K7" s="227">
        <v>72.5</v>
      </c>
      <c r="L7" s="163">
        <f t="shared" si="0"/>
        <v>0</v>
      </c>
    </row>
    <row r="8" spans="1:12" ht="12.75">
      <c r="A8" s="600" t="s">
        <v>318</v>
      </c>
      <c r="B8" s="120" t="s">
        <v>953</v>
      </c>
      <c r="C8" s="227">
        <v>67</v>
      </c>
      <c r="D8" s="227"/>
      <c r="E8" s="14"/>
      <c r="F8" s="14">
        <v>37</v>
      </c>
      <c r="G8" s="227"/>
      <c r="H8" s="163">
        <v>22</v>
      </c>
      <c r="I8" s="227"/>
      <c r="J8" s="227">
        <v>8</v>
      </c>
      <c r="K8" s="227">
        <v>67</v>
      </c>
      <c r="L8" s="163">
        <f t="shared" si="0"/>
        <v>0</v>
      </c>
    </row>
    <row r="9" spans="1:12" ht="12.75">
      <c r="A9" s="600" t="s">
        <v>319</v>
      </c>
      <c r="B9" s="120" t="s">
        <v>424</v>
      </c>
      <c r="C9" s="227">
        <v>69</v>
      </c>
      <c r="D9" s="227"/>
      <c r="E9" s="14"/>
      <c r="F9" s="14">
        <v>39</v>
      </c>
      <c r="G9" s="227"/>
      <c r="H9" s="163">
        <v>23</v>
      </c>
      <c r="I9" s="227"/>
      <c r="J9" s="227">
        <v>7</v>
      </c>
      <c r="K9" s="227">
        <v>69</v>
      </c>
      <c r="L9" s="163">
        <f t="shared" si="0"/>
        <v>0</v>
      </c>
    </row>
    <row r="10" spans="1:12" ht="12.75">
      <c r="A10" s="600" t="s">
        <v>321</v>
      </c>
      <c r="B10" s="120" t="s">
        <v>425</v>
      </c>
      <c r="C10" s="227">
        <v>67.5</v>
      </c>
      <c r="D10" s="227"/>
      <c r="E10" s="14"/>
      <c r="F10" s="14">
        <v>37</v>
      </c>
      <c r="G10" s="227"/>
      <c r="H10" s="163">
        <v>21</v>
      </c>
      <c r="I10" s="227">
        <v>0.5</v>
      </c>
      <c r="J10" s="227">
        <v>9</v>
      </c>
      <c r="K10" s="227">
        <v>67.5</v>
      </c>
      <c r="L10" s="163">
        <f t="shared" si="0"/>
        <v>0</v>
      </c>
    </row>
    <row r="11" spans="1:12" ht="25.5">
      <c r="A11" s="600" t="s">
        <v>954</v>
      </c>
      <c r="B11" s="230" t="s">
        <v>955</v>
      </c>
      <c r="C11" s="227">
        <v>25.5</v>
      </c>
      <c r="D11" s="229"/>
      <c r="E11" s="161"/>
      <c r="F11" s="161"/>
      <c r="G11" s="229">
        <v>11.5</v>
      </c>
      <c r="H11" s="162"/>
      <c r="I11" s="229">
        <v>4</v>
      </c>
      <c r="J11" s="229">
        <v>10</v>
      </c>
      <c r="K11" s="227">
        <f>SUM(D11:J11)</f>
        <v>25.5</v>
      </c>
      <c r="L11" s="163">
        <f t="shared" si="0"/>
        <v>0</v>
      </c>
    </row>
    <row r="12" spans="1:12" ht="12.75">
      <c r="A12" s="600" t="s">
        <v>956</v>
      </c>
      <c r="B12" s="81" t="s">
        <v>131</v>
      </c>
      <c r="C12" s="227">
        <v>48</v>
      </c>
      <c r="D12" s="229"/>
      <c r="E12" s="161"/>
      <c r="F12" s="161"/>
      <c r="G12" s="229">
        <v>9.5</v>
      </c>
      <c r="H12" s="162">
        <v>4</v>
      </c>
      <c r="I12" s="229">
        <v>9.5</v>
      </c>
      <c r="J12" s="229">
        <v>25</v>
      </c>
      <c r="K12" s="227">
        <v>48</v>
      </c>
      <c r="L12" s="163">
        <f t="shared" si="0"/>
        <v>0</v>
      </c>
    </row>
    <row r="13" spans="1:12" ht="25.5">
      <c r="A13" s="600" t="s">
        <v>957</v>
      </c>
      <c r="B13" s="230" t="s">
        <v>428</v>
      </c>
      <c r="C13" s="227">
        <v>3</v>
      </c>
      <c r="D13" s="229"/>
      <c r="E13" s="161"/>
      <c r="F13" s="161"/>
      <c r="G13" s="229"/>
      <c r="H13" s="162">
        <v>3</v>
      </c>
      <c r="I13" s="229"/>
      <c r="J13" s="229"/>
      <c r="K13" s="227">
        <v>3</v>
      </c>
      <c r="L13" s="163">
        <f t="shared" si="0"/>
        <v>0</v>
      </c>
    </row>
    <row r="14" spans="1:12" ht="12.75">
      <c r="A14" s="600" t="s">
        <v>958</v>
      </c>
      <c r="B14" s="65" t="s">
        <v>132</v>
      </c>
      <c r="C14" s="227">
        <v>50</v>
      </c>
      <c r="D14" s="229"/>
      <c r="E14" s="161"/>
      <c r="F14" s="161"/>
      <c r="G14" s="229">
        <v>38</v>
      </c>
      <c r="H14" s="162">
        <v>5.5</v>
      </c>
      <c r="I14" s="229">
        <v>1</v>
      </c>
      <c r="J14" s="229">
        <v>5.5</v>
      </c>
      <c r="K14" s="227">
        <v>50</v>
      </c>
      <c r="L14" s="163">
        <f t="shared" si="0"/>
        <v>0</v>
      </c>
    </row>
    <row r="15" spans="1:13" ht="12.75">
      <c r="A15" s="600" t="s">
        <v>959</v>
      </c>
      <c r="B15" s="65" t="s">
        <v>133</v>
      </c>
      <c r="C15" s="227">
        <v>62</v>
      </c>
      <c r="D15" s="229"/>
      <c r="E15" s="161"/>
      <c r="F15" s="161"/>
      <c r="G15" s="233"/>
      <c r="H15" s="162">
        <v>45</v>
      </c>
      <c r="I15" s="229">
        <v>7</v>
      </c>
      <c r="J15" s="229">
        <v>10</v>
      </c>
      <c r="K15" s="227">
        <f>SUM(D15:J15)</f>
        <v>62</v>
      </c>
      <c r="L15" s="163">
        <f t="shared" si="0"/>
        <v>0</v>
      </c>
      <c r="M15" s="604"/>
    </row>
    <row r="16" spans="1:12" ht="12.75">
      <c r="A16" s="600" t="s">
        <v>960</v>
      </c>
      <c r="B16" s="65" t="s">
        <v>136</v>
      </c>
      <c r="C16" s="227">
        <v>127</v>
      </c>
      <c r="D16" s="229"/>
      <c r="E16" s="161"/>
      <c r="F16" s="161"/>
      <c r="G16" s="233"/>
      <c r="H16" s="162">
        <v>39</v>
      </c>
      <c r="I16" s="229">
        <v>16</v>
      </c>
      <c r="J16" s="229">
        <v>72</v>
      </c>
      <c r="K16" s="227">
        <v>127</v>
      </c>
      <c r="L16" s="163">
        <f t="shared" si="0"/>
        <v>0</v>
      </c>
    </row>
    <row r="17" spans="1:12" ht="12.75">
      <c r="A17" s="600" t="s">
        <v>961</v>
      </c>
      <c r="B17" s="65" t="s">
        <v>135</v>
      </c>
      <c r="C17" s="227">
        <v>17</v>
      </c>
      <c r="D17" s="229"/>
      <c r="E17" s="161"/>
      <c r="F17" s="161"/>
      <c r="G17" s="233"/>
      <c r="H17" s="162">
        <v>10</v>
      </c>
      <c r="I17" s="229">
        <v>1</v>
      </c>
      <c r="J17" s="229">
        <v>6</v>
      </c>
      <c r="K17" s="227">
        <v>17</v>
      </c>
      <c r="L17" s="163">
        <f t="shared" si="0"/>
        <v>0</v>
      </c>
    </row>
    <row r="18" spans="1:12" ht="12.75">
      <c r="A18" s="600" t="s">
        <v>962</v>
      </c>
      <c r="B18" s="65" t="s">
        <v>134</v>
      </c>
      <c r="C18" s="227">
        <v>21</v>
      </c>
      <c r="D18" s="229"/>
      <c r="E18" s="161"/>
      <c r="F18" s="161"/>
      <c r="G18" s="233"/>
      <c r="H18" s="162"/>
      <c r="I18" s="229">
        <v>5</v>
      </c>
      <c r="J18" s="229">
        <v>16</v>
      </c>
      <c r="K18" s="227">
        <f>SUM(D18:J18)</f>
        <v>21</v>
      </c>
      <c r="L18" s="163">
        <f t="shared" si="0"/>
        <v>0</v>
      </c>
    </row>
    <row r="19" spans="1:12" ht="12.75">
      <c r="A19" s="600" t="s">
        <v>963</v>
      </c>
      <c r="B19" s="65" t="s">
        <v>98</v>
      </c>
      <c r="C19" s="227">
        <v>8</v>
      </c>
      <c r="D19" s="229"/>
      <c r="E19" s="161"/>
      <c r="F19" s="161"/>
      <c r="G19" s="233"/>
      <c r="H19" s="162"/>
      <c r="I19" s="229">
        <v>3</v>
      </c>
      <c r="J19" s="229">
        <v>8</v>
      </c>
      <c r="K19" s="227">
        <f>SUM(I19:J19)</f>
        <v>11</v>
      </c>
      <c r="L19" s="163">
        <f t="shared" si="0"/>
        <v>3</v>
      </c>
    </row>
    <row r="20" spans="1:12" ht="15">
      <c r="A20" s="164"/>
      <c r="B20" s="165" t="s">
        <v>964</v>
      </c>
      <c r="C20" s="231">
        <f aca="true" t="shared" si="1" ref="C20:L20">SUM(C3:C19)</f>
        <v>1155.5</v>
      </c>
      <c r="D20" s="231">
        <f t="shared" si="1"/>
        <v>144</v>
      </c>
      <c r="E20" s="231">
        <f t="shared" si="1"/>
        <v>4.5</v>
      </c>
      <c r="F20" s="231">
        <f t="shared" si="1"/>
        <v>153.5</v>
      </c>
      <c r="G20" s="231">
        <f t="shared" si="1"/>
        <v>59</v>
      </c>
      <c r="H20" s="231">
        <f t="shared" si="1"/>
        <v>319</v>
      </c>
      <c r="I20" s="231">
        <f t="shared" si="1"/>
        <v>112.5</v>
      </c>
      <c r="J20" s="231">
        <f t="shared" si="1"/>
        <v>366</v>
      </c>
      <c r="K20" s="231">
        <f t="shared" si="1"/>
        <v>1158.5</v>
      </c>
      <c r="L20" s="232">
        <f t="shared" si="1"/>
        <v>3</v>
      </c>
    </row>
    <row r="21" spans="1:12" s="608" customFormat="1" ht="15">
      <c r="A21" s="605"/>
      <c r="B21" s="606" t="s">
        <v>965</v>
      </c>
      <c r="C21" s="607">
        <f aca="true" t="shared" si="2" ref="C21:L21">SUM(C2+C20)</f>
        <v>1156.5</v>
      </c>
      <c r="D21" s="607">
        <f t="shared" si="2"/>
        <v>144</v>
      </c>
      <c r="E21" s="607">
        <f t="shared" si="2"/>
        <v>4.5</v>
      </c>
      <c r="F21" s="607">
        <f t="shared" si="2"/>
        <v>153.5</v>
      </c>
      <c r="G21" s="607">
        <f t="shared" si="2"/>
        <v>59</v>
      </c>
      <c r="H21" s="607">
        <f t="shared" si="2"/>
        <v>319</v>
      </c>
      <c r="I21" s="607">
        <f t="shared" si="2"/>
        <v>112.5</v>
      </c>
      <c r="J21" s="607">
        <f t="shared" si="2"/>
        <v>367</v>
      </c>
      <c r="K21" s="607">
        <f t="shared" si="2"/>
        <v>1159.5</v>
      </c>
      <c r="L21" s="607">
        <f t="shared" si="2"/>
        <v>3</v>
      </c>
    </row>
    <row r="23" spans="2:11" ht="12.75">
      <c r="B23" s="609"/>
      <c r="K23" s="610"/>
    </row>
    <row r="24" ht="12.75">
      <c r="B24" s="611"/>
    </row>
    <row r="25" ht="12.75">
      <c r="J25" s="612"/>
    </row>
    <row r="30" ht="12.75">
      <c r="B30" s="613"/>
    </row>
    <row r="31" ht="12.75">
      <c r="B31" s="614"/>
    </row>
    <row r="32" ht="12.75">
      <c r="B32" s="615"/>
    </row>
    <row r="33" ht="12.75">
      <c r="B33" s="614"/>
    </row>
    <row r="34" ht="12.75">
      <c r="B34" s="616"/>
    </row>
    <row r="35" ht="12.75">
      <c r="B35" s="616"/>
    </row>
    <row r="36" ht="12.75">
      <c r="B36" s="616"/>
    </row>
    <row r="37" ht="12.75">
      <c r="B37" s="616"/>
    </row>
    <row r="38" ht="12.75">
      <c r="B38" s="616"/>
    </row>
    <row r="39" ht="12.75">
      <c r="B39" s="616"/>
    </row>
  </sheetData>
  <sheetProtection/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&amp;CZALAEGERSZEG MEGYEI JOGÚ VÁROS ÖNKORMÁNYZATA ÉS AZ ÁLTALA IRÁNYÍTOTT KÖLTSÉGVETÉSI SZERVEK 
2014. ÉVI LÉTSZÁM-ELŐIRÁNYZATAI &amp;R&amp;"Times New Roman CE,Félkövér dőlt"13.  melléklet
Adatok: főben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">
      <selection activeCell="C20" sqref="C20:J20"/>
    </sheetView>
  </sheetViews>
  <sheetFormatPr defaultColWidth="9.00390625" defaultRowHeight="12.75"/>
  <cols>
    <col min="1" max="1" width="3.00390625" style="58" customWidth="1"/>
    <col min="2" max="2" width="35.00390625" style="55" customWidth="1"/>
    <col min="3" max="3" width="12.625" style="55" customWidth="1"/>
    <col min="4" max="4" width="14.125" style="55" customWidth="1"/>
    <col min="5" max="5" width="10.50390625" style="55" customWidth="1"/>
    <col min="6" max="6" width="14.125" style="55" customWidth="1"/>
    <col min="7" max="7" width="12.50390625" style="55" customWidth="1"/>
    <col min="8" max="8" width="13.125" style="55" customWidth="1"/>
    <col min="9" max="9" width="14.50390625" style="55" customWidth="1"/>
    <col min="10" max="10" width="12.50390625" style="55" customWidth="1"/>
    <col min="11" max="11" width="14.125" style="55" customWidth="1"/>
    <col min="12" max="12" width="14.625" style="55" customWidth="1"/>
    <col min="13" max="13" width="13.125" style="55" customWidth="1"/>
    <col min="14" max="16384" width="9.375" style="55" customWidth="1"/>
  </cols>
  <sheetData>
    <row r="1" spans="1:13" ht="14.25" customHeight="1">
      <c r="A1" s="791" t="s">
        <v>429</v>
      </c>
      <c r="B1" s="791" t="s">
        <v>118</v>
      </c>
      <c r="C1" s="791" t="s">
        <v>436</v>
      </c>
      <c r="D1" s="793"/>
      <c r="E1" s="793"/>
      <c r="F1" s="793"/>
      <c r="G1" s="793"/>
      <c r="H1" s="793"/>
      <c r="I1" s="793"/>
      <c r="J1" s="794" t="s">
        <v>437</v>
      </c>
      <c r="K1" s="793"/>
      <c r="L1" s="793"/>
      <c r="M1" s="791" t="s">
        <v>438</v>
      </c>
    </row>
    <row r="2" spans="1:13" ht="90" customHeight="1">
      <c r="A2" s="792"/>
      <c r="B2" s="792"/>
      <c r="C2" s="251" t="s">
        <v>439</v>
      </c>
      <c r="D2" s="251" t="s">
        <v>440</v>
      </c>
      <c r="E2" s="251" t="s">
        <v>1024</v>
      </c>
      <c r="F2" s="251" t="s">
        <v>441</v>
      </c>
      <c r="G2" s="251" t="s">
        <v>115</v>
      </c>
      <c r="H2" s="251" t="s">
        <v>442</v>
      </c>
      <c r="I2" s="251" t="s">
        <v>443</v>
      </c>
      <c r="J2" s="251" t="s">
        <v>444</v>
      </c>
      <c r="K2" s="251" t="s">
        <v>445</v>
      </c>
      <c r="L2" s="251" t="s">
        <v>446</v>
      </c>
      <c r="M2" s="791"/>
    </row>
    <row r="3" spans="1:13" ht="15" customHeight="1">
      <c r="A3" s="250">
        <v>2</v>
      </c>
      <c r="B3" s="156" t="s">
        <v>331</v>
      </c>
      <c r="C3" s="252">
        <v>12604</v>
      </c>
      <c r="D3" s="252"/>
      <c r="E3" s="252"/>
      <c r="F3" s="253"/>
      <c r="G3" s="253"/>
      <c r="H3" s="253"/>
      <c r="I3" s="253"/>
      <c r="J3" s="253">
        <v>68948</v>
      </c>
      <c r="K3" s="253">
        <v>-19788</v>
      </c>
      <c r="L3" s="253"/>
      <c r="M3" s="253">
        <f>SUM(C3:L3)</f>
        <v>61764</v>
      </c>
    </row>
    <row r="4" spans="1:13" s="56" customFormat="1" ht="28.5" customHeight="1">
      <c r="A4" s="250">
        <v>3</v>
      </c>
      <c r="B4" s="156" t="s">
        <v>419</v>
      </c>
      <c r="C4" s="690">
        <v>3000</v>
      </c>
      <c r="D4" s="690">
        <v>7000</v>
      </c>
      <c r="E4" s="690"/>
      <c r="F4" s="690"/>
      <c r="G4" s="690"/>
      <c r="H4" s="690"/>
      <c r="I4" s="690"/>
      <c r="J4" s="690">
        <v>11560</v>
      </c>
      <c r="K4" s="690">
        <v>-1847</v>
      </c>
      <c r="L4" s="253"/>
      <c r="M4" s="253">
        <f aca="true" t="shared" si="0" ref="M4:M19">SUM(C4:L4)</f>
        <v>19713</v>
      </c>
    </row>
    <row r="5" spans="1:13" s="56" customFormat="1" ht="19.5" customHeight="1">
      <c r="A5" s="250">
        <v>4</v>
      </c>
      <c r="B5" s="156" t="s">
        <v>420</v>
      </c>
      <c r="C5" s="690">
        <v>1953</v>
      </c>
      <c r="D5" s="690">
        <v>182</v>
      </c>
      <c r="E5" s="690"/>
      <c r="F5" s="690"/>
      <c r="G5" s="690"/>
      <c r="H5" s="690"/>
      <c r="I5" s="690"/>
      <c r="J5" s="690">
        <v>859</v>
      </c>
      <c r="K5" s="690">
        <v>10425</v>
      </c>
      <c r="L5" s="253"/>
      <c r="M5" s="253">
        <f t="shared" si="0"/>
        <v>13419</v>
      </c>
    </row>
    <row r="6" spans="1:13" s="56" customFormat="1" ht="15" customHeight="1">
      <c r="A6" s="250">
        <v>5</v>
      </c>
      <c r="B6" s="120" t="s">
        <v>421</v>
      </c>
      <c r="C6" s="690"/>
      <c r="D6" s="690"/>
      <c r="E6" s="690"/>
      <c r="F6" s="690">
        <v>2000</v>
      </c>
      <c r="G6" s="690"/>
      <c r="H6" s="690"/>
      <c r="I6" s="690"/>
      <c r="J6" s="690">
        <v>54834</v>
      </c>
      <c r="K6" s="690">
        <v>36505</v>
      </c>
      <c r="L6" s="253"/>
      <c r="M6" s="253">
        <f t="shared" si="0"/>
        <v>93339</v>
      </c>
    </row>
    <row r="7" spans="1:13" s="56" customFormat="1" ht="12.75">
      <c r="A7" s="250">
        <v>6</v>
      </c>
      <c r="B7" s="120" t="s">
        <v>422</v>
      </c>
      <c r="C7" s="690"/>
      <c r="D7" s="690"/>
      <c r="E7" s="690"/>
      <c r="F7" s="690"/>
      <c r="G7" s="690"/>
      <c r="H7" s="690"/>
      <c r="I7" s="690"/>
      <c r="J7" s="690">
        <v>870</v>
      </c>
      <c r="K7" s="690">
        <v>129</v>
      </c>
      <c r="L7" s="253"/>
      <c r="M7" s="253">
        <f t="shared" si="0"/>
        <v>999</v>
      </c>
    </row>
    <row r="8" spans="1:13" s="56" customFormat="1" ht="17.25" customHeight="1">
      <c r="A8" s="250">
        <v>7</v>
      </c>
      <c r="B8" s="120" t="s">
        <v>423</v>
      </c>
      <c r="C8" s="690"/>
      <c r="D8" s="690"/>
      <c r="E8" s="690"/>
      <c r="F8" s="690"/>
      <c r="G8" s="690"/>
      <c r="H8" s="690"/>
      <c r="I8" s="690"/>
      <c r="J8" s="690">
        <v>1584</v>
      </c>
      <c r="K8" s="690">
        <v>-239</v>
      </c>
      <c r="L8" s="253"/>
      <c r="M8" s="253">
        <f t="shared" si="0"/>
        <v>1345</v>
      </c>
    </row>
    <row r="9" spans="1:13" s="56" customFormat="1" ht="15" customHeight="1">
      <c r="A9" s="250">
        <v>8</v>
      </c>
      <c r="B9" s="120" t="s">
        <v>424</v>
      </c>
      <c r="C9" s="690">
        <v>200</v>
      </c>
      <c r="D9" s="690"/>
      <c r="E9" s="690"/>
      <c r="F9" s="690"/>
      <c r="G9" s="690"/>
      <c r="H9" s="690"/>
      <c r="I9" s="690"/>
      <c r="J9" s="690">
        <v>757</v>
      </c>
      <c r="K9" s="690">
        <v>217</v>
      </c>
      <c r="L9" s="253"/>
      <c r="M9" s="253">
        <f t="shared" si="0"/>
        <v>1174</v>
      </c>
    </row>
    <row r="10" spans="1:13" s="56" customFormat="1" ht="19.5" customHeight="1">
      <c r="A10" s="250">
        <v>9</v>
      </c>
      <c r="B10" s="120" t="s">
        <v>425</v>
      </c>
      <c r="C10" s="690"/>
      <c r="D10" s="690"/>
      <c r="E10" s="690"/>
      <c r="F10" s="690"/>
      <c r="G10" s="690"/>
      <c r="H10" s="690"/>
      <c r="I10" s="690"/>
      <c r="J10" s="690">
        <v>519</v>
      </c>
      <c r="K10" s="690">
        <v>94</v>
      </c>
      <c r="L10" s="253"/>
      <c r="M10" s="253">
        <f t="shared" si="0"/>
        <v>613</v>
      </c>
    </row>
    <row r="11" spans="1:13" s="56" customFormat="1" ht="27" customHeight="1">
      <c r="A11" s="250">
        <v>10</v>
      </c>
      <c r="B11" s="230" t="s">
        <v>426</v>
      </c>
      <c r="C11" s="690">
        <v>6515</v>
      </c>
      <c r="D11" s="690">
        <v>500</v>
      </c>
      <c r="E11" s="690"/>
      <c r="F11" s="690">
        <v>8000</v>
      </c>
      <c r="G11" s="690"/>
      <c r="H11" s="690"/>
      <c r="I11" s="690"/>
      <c r="J11" s="690">
        <v>278</v>
      </c>
      <c r="K11" s="690">
        <v>7039</v>
      </c>
      <c r="L11" s="253"/>
      <c r="M11" s="253">
        <f t="shared" si="0"/>
        <v>22332</v>
      </c>
    </row>
    <row r="12" spans="1:13" s="56" customFormat="1" ht="20.25" customHeight="1">
      <c r="A12" s="250">
        <v>11</v>
      </c>
      <c r="B12" s="120" t="s">
        <v>427</v>
      </c>
      <c r="C12" s="690">
        <v>2857</v>
      </c>
      <c r="D12" s="690">
        <v>13294</v>
      </c>
      <c r="E12" s="690"/>
      <c r="F12" s="690"/>
      <c r="G12" s="690"/>
      <c r="H12" s="690"/>
      <c r="I12" s="690"/>
      <c r="J12" s="690">
        <v>1047</v>
      </c>
      <c r="K12" s="690">
        <v>730</v>
      </c>
      <c r="L12" s="253"/>
      <c r="M12" s="253">
        <f t="shared" si="0"/>
        <v>17928</v>
      </c>
    </row>
    <row r="13" spans="1:13" s="56" customFormat="1" ht="30" customHeight="1">
      <c r="A13" s="250">
        <v>12</v>
      </c>
      <c r="B13" s="230" t="s">
        <v>428</v>
      </c>
      <c r="C13" s="690">
        <v>1550</v>
      </c>
      <c r="D13" s="690"/>
      <c r="E13" s="690"/>
      <c r="F13" s="690"/>
      <c r="G13" s="690"/>
      <c r="H13" s="690"/>
      <c r="I13" s="690"/>
      <c r="J13" s="690">
        <v>315</v>
      </c>
      <c r="K13" s="690">
        <v>30</v>
      </c>
      <c r="L13" s="253"/>
      <c r="M13" s="253">
        <f t="shared" si="0"/>
        <v>1895</v>
      </c>
    </row>
    <row r="14" spans="1:13" s="56" customFormat="1" ht="16.5" customHeight="1">
      <c r="A14" s="250">
        <v>13</v>
      </c>
      <c r="B14" s="120" t="s">
        <v>132</v>
      </c>
      <c r="C14" s="690">
        <v>807</v>
      </c>
      <c r="D14" s="690"/>
      <c r="E14" s="690"/>
      <c r="F14" s="690"/>
      <c r="G14" s="690"/>
      <c r="H14" s="690"/>
      <c r="I14" s="690"/>
      <c r="J14" s="690">
        <v>228</v>
      </c>
      <c r="K14" s="690">
        <v>1899</v>
      </c>
      <c r="L14" s="253"/>
      <c r="M14" s="253">
        <f t="shared" si="0"/>
        <v>2934</v>
      </c>
    </row>
    <row r="15" spans="1:13" s="56" customFormat="1" ht="16.5" customHeight="1">
      <c r="A15" s="250">
        <v>14</v>
      </c>
      <c r="B15" s="120" t="s">
        <v>133</v>
      </c>
      <c r="C15" s="690">
        <v>10798</v>
      </c>
      <c r="D15" s="690">
        <v>6400</v>
      </c>
      <c r="E15" s="690"/>
      <c r="F15" s="690"/>
      <c r="G15" s="690"/>
      <c r="H15" s="690">
        <v>394</v>
      </c>
      <c r="I15" s="690"/>
      <c r="J15" s="690">
        <v>37220</v>
      </c>
      <c r="K15" s="690">
        <v>870</v>
      </c>
      <c r="L15" s="253"/>
      <c r="M15" s="253">
        <f t="shared" si="0"/>
        <v>55682</v>
      </c>
    </row>
    <row r="16" spans="1:13" s="56" customFormat="1" ht="18" customHeight="1">
      <c r="A16" s="250">
        <v>15</v>
      </c>
      <c r="B16" s="120" t="s">
        <v>160</v>
      </c>
      <c r="C16" s="690">
        <v>80</v>
      </c>
      <c r="D16" s="690">
        <v>10500</v>
      </c>
      <c r="E16" s="690"/>
      <c r="F16" s="690"/>
      <c r="G16" s="690"/>
      <c r="H16" s="690"/>
      <c r="I16" s="690"/>
      <c r="J16" s="690">
        <v>1843</v>
      </c>
      <c r="K16" s="690">
        <v>5477</v>
      </c>
      <c r="L16" s="253"/>
      <c r="M16" s="253">
        <f t="shared" si="0"/>
        <v>17900</v>
      </c>
    </row>
    <row r="17" spans="1:13" s="56" customFormat="1" ht="18.75" customHeight="1">
      <c r="A17" s="250">
        <v>16</v>
      </c>
      <c r="B17" s="120" t="s">
        <v>135</v>
      </c>
      <c r="C17" s="690"/>
      <c r="D17" s="690"/>
      <c r="E17" s="690"/>
      <c r="F17" s="690"/>
      <c r="G17" s="690"/>
      <c r="H17" s="690"/>
      <c r="I17" s="690"/>
      <c r="J17" s="690">
        <v>1164</v>
      </c>
      <c r="K17" s="690">
        <v>825</v>
      </c>
      <c r="L17" s="253"/>
      <c r="M17" s="253">
        <f t="shared" si="0"/>
        <v>1989</v>
      </c>
    </row>
    <row r="18" spans="1:13" s="56" customFormat="1" ht="18" customHeight="1">
      <c r="A18" s="250">
        <v>17</v>
      </c>
      <c r="B18" s="120" t="s">
        <v>134</v>
      </c>
      <c r="C18" s="690"/>
      <c r="D18" s="690"/>
      <c r="E18" s="690"/>
      <c r="F18" s="690"/>
      <c r="G18" s="690"/>
      <c r="H18" s="690"/>
      <c r="I18" s="690"/>
      <c r="J18" s="690">
        <v>6285</v>
      </c>
      <c r="K18" s="690">
        <v>-87</v>
      </c>
      <c r="L18" s="253"/>
      <c r="M18" s="253">
        <f t="shared" si="0"/>
        <v>6198</v>
      </c>
    </row>
    <row r="19" spans="1:13" s="56" customFormat="1" ht="18.75" customHeight="1">
      <c r="A19" s="250">
        <v>18</v>
      </c>
      <c r="B19" s="81" t="s">
        <v>98</v>
      </c>
      <c r="C19" s="690">
        <v>250</v>
      </c>
      <c r="D19" s="690"/>
      <c r="E19" s="690"/>
      <c r="F19" s="690">
        <v>900</v>
      </c>
      <c r="G19" s="690"/>
      <c r="H19" s="690"/>
      <c r="I19" s="690"/>
      <c r="J19" s="690">
        <v>12028</v>
      </c>
      <c r="K19" s="690">
        <v>135</v>
      </c>
      <c r="L19" s="253"/>
      <c r="M19" s="253">
        <f t="shared" si="0"/>
        <v>13313</v>
      </c>
    </row>
    <row r="20" spans="1:13" s="56" customFormat="1" ht="24" customHeight="1">
      <c r="A20" s="66"/>
      <c r="B20" s="67" t="s">
        <v>119</v>
      </c>
      <c r="C20" s="68">
        <f aca="true" t="shared" si="1" ref="C20:M20">SUM(C3:C19)</f>
        <v>40614</v>
      </c>
      <c r="D20" s="68">
        <f t="shared" si="1"/>
        <v>37876</v>
      </c>
      <c r="E20" s="68">
        <f t="shared" si="1"/>
        <v>0</v>
      </c>
      <c r="F20" s="68">
        <f t="shared" si="1"/>
        <v>10900</v>
      </c>
      <c r="G20" s="68">
        <f t="shared" si="1"/>
        <v>0</v>
      </c>
      <c r="H20" s="68">
        <f t="shared" si="1"/>
        <v>394</v>
      </c>
      <c r="I20" s="68">
        <f t="shared" si="1"/>
        <v>0</v>
      </c>
      <c r="J20" s="68">
        <f t="shared" si="1"/>
        <v>200339</v>
      </c>
      <c r="K20" s="68">
        <f t="shared" si="1"/>
        <v>42414</v>
      </c>
      <c r="L20" s="68">
        <f t="shared" si="1"/>
        <v>0</v>
      </c>
      <c r="M20" s="68">
        <f t="shared" si="1"/>
        <v>332537</v>
      </c>
    </row>
    <row r="21" s="56" customFormat="1" ht="12.75">
      <c r="A21" s="57"/>
    </row>
    <row r="22" s="56" customFormat="1" ht="12.75">
      <c r="A22" s="57"/>
    </row>
    <row r="23" s="56" customFormat="1" ht="12.75">
      <c r="A23" s="57"/>
    </row>
    <row r="24" s="56" customFormat="1" ht="12.75">
      <c r="A24" s="57"/>
    </row>
    <row r="25" s="56" customFormat="1" ht="12.75">
      <c r="A25" s="57"/>
    </row>
    <row r="26" s="56" customFormat="1" ht="12.75">
      <c r="A26" s="57"/>
    </row>
    <row r="27" s="56" customFormat="1" ht="12.75">
      <c r="A27" s="57"/>
    </row>
    <row r="28" s="56" customFormat="1" ht="12.75">
      <c r="A28" s="57"/>
    </row>
    <row r="29" s="56" customFormat="1" ht="12.75">
      <c r="A29" s="57"/>
    </row>
    <row r="30" s="56" customFormat="1" ht="12.75">
      <c r="A30" s="57"/>
    </row>
    <row r="31" s="56" customFormat="1" ht="12.75">
      <c r="A31" s="57"/>
    </row>
    <row r="32" s="56" customFormat="1" ht="12.75">
      <c r="A32" s="57"/>
    </row>
    <row r="33" s="56" customFormat="1" ht="12.75">
      <c r="A33" s="57"/>
    </row>
    <row r="34" s="56" customFormat="1" ht="12.75">
      <c r="A34" s="57"/>
    </row>
    <row r="35" s="56" customFormat="1" ht="12.75">
      <c r="A35" s="57"/>
    </row>
    <row r="36" s="56" customFormat="1" ht="12.75">
      <c r="A36" s="57"/>
    </row>
    <row r="37" s="56" customFormat="1" ht="12.75">
      <c r="A37" s="57"/>
    </row>
    <row r="38" s="56" customFormat="1" ht="12.75">
      <c r="A38" s="57"/>
    </row>
    <row r="39" s="56" customFormat="1" ht="12.75">
      <c r="A39" s="57"/>
    </row>
    <row r="40" s="56" customFormat="1" ht="12.75">
      <c r="A40" s="57"/>
    </row>
    <row r="41" s="56" customFormat="1" ht="12.75">
      <c r="A41" s="57"/>
    </row>
    <row r="42" s="56" customFormat="1" ht="12.75">
      <c r="A42" s="57"/>
    </row>
    <row r="43" s="56" customFormat="1" ht="12.75">
      <c r="A43" s="57"/>
    </row>
    <row r="44" s="56" customFormat="1" ht="12.75">
      <c r="A44" s="57"/>
    </row>
    <row r="45" s="56" customFormat="1" ht="12.75">
      <c r="A45" s="57"/>
    </row>
    <row r="46" s="56" customFormat="1" ht="12.75">
      <c r="A46" s="57"/>
    </row>
    <row r="47" s="56" customFormat="1" ht="12.75">
      <c r="A47" s="57"/>
    </row>
    <row r="48" s="56" customFormat="1" ht="12.75">
      <c r="A48" s="57"/>
    </row>
    <row r="49" s="56" customFormat="1" ht="12.75">
      <c r="A49" s="57"/>
    </row>
    <row r="50" s="56" customFormat="1" ht="12.75">
      <c r="A50" s="57"/>
    </row>
    <row r="51" s="56" customFormat="1" ht="12.75">
      <c r="A51" s="57"/>
    </row>
    <row r="52" s="56" customFormat="1" ht="12.75">
      <c r="A52" s="57"/>
    </row>
    <row r="53" s="56" customFormat="1" ht="12.75">
      <c r="A53" s="57"/>
    </row>
    <row r="54" s="56" customFormat="1" ht="12.75">
      <c r="A54" s="57"/>
    </row>
    <row r="55" s="56" customFormat="1" ht="12.75">
      <c r="A55" s="57"/>
    </row>
    <row r="56" s="56" customFormat="1" ht="12.75">
      <c r="A56" s="57"/>
    </row>
    <row r="57" s="56" customFormat="1" ht="12.75">
      <c r="A57" s="57"/>
    </row>
    <row r="58" s="56" customFormat="1" ht="12.75">
      <c r="A58" s="57"/>
    </row>
    <row r="59" s="56" customFormat="1" ht="12.75">
      <c r="A59" s="57"/>
    </row>
    <row r="60" s="56" customFormat="1" ht="12.75">
      <c r="A60" s="57"/>
    </row>
    <row r="61" s="56" customFormat="1" ht="12.75">
      <c r="A61" s="57"/>
    </row>
    <row r="62" s="56" customFormat="1" ht="12.75">
      <c r="A62" s="57"/>
    </row>
    <row r="63" s="56" customFormat="1" ht="12.75">
      <c r="A63" s="57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ELŐIRÁNYZATAINAK MÓDOSÍTÁSA AZ I. NEGYEDÉVBEN&amp;R&amp;"Times New Roman,Dőlt"&amp;9
 1. tájékoztató tábla
Adatok eFt-ban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875" style="58" customWidth="1"/>
    <col min="2" max="2" width="40.625" style="55" customWidth="1"/>
    <col min="3" max="3" width="12.625" style="55" customWidth="1"/>
    <col min="4" max="4" width="14.125" style="55" customWidth="1"/>
    <col min="5" max="5" width="14.00390625" style="55" customWidth="1"/>
    <col min="6" max="6" width="14.125" style="55" customWidth="1"/>
    <col min="7" max="7" width="12.50390625" style="55" customWidth="1"/>
    <col min="8" max="8" width="13.125" style="55" customWidth="1"/>
    <col min="9" max="9" width="14.50390625" style="55" customWidth="1"/>
    <col min="10" max="10" width="12.50390625" style="55" customWidth="1"/>
    <col min="11" max="11" width="14.125" style="55" customWidth="1"/>
    <col min="12" max="12" width="14.625" style="55" customWidth="1"/>
    <col min="13" max="16384" width="9.375" style="55" customWidth="1"/>
  </cols>
  <sheetData>
    <row r="1" spans="1:12" ht="14.25" customHeight="1">
      <c r="A1" s="791" t="s">
        <v>429</v>
      </c>
      <c r="B1" s="791" t="s">
        <v>118</v>
      </c>
      <c r="C1" s="791" t="s">
        <v>430</v>
      </c>
      <c r="D1" s="797"/>
      <c r="E1" s="797"/>
      <c r="F1" s="797"/>
      <c r="G1" s="797"/>
      <c r="H1" s="797"/>
      <c r="I1" s="797"/>
      <c r="J1" s="797"/>
      <c r="K1" s="798" t="s">
        <v>434</v>
      </c>
      <c r="L1" s="798" t="s">
        <v>246</v>
      </c>
    </row>
    <row r="2" spans="1:12" ht="82.5" customHeight="1">
      <c r="A2" s="792"/>
      <c r="B2" s="792"/>
      <c r="C2" s="251" t="s">
        <v>1011</v>
      </c>
      <c r="D2" s="251" t="s">
        <v>431</v>
      </c>
      <c r="E2" s="251" t="s">
        <v>97</v>
      </c>
      <c r="F2" s="251" t="s">
        <v>432</v>
      </c>
      <c r="G2" s="251" t="s">
        <v>1014</v>
      </c>
      <c r="H2" s="251" t="s">
        <v>1016</v>
      </c>
      <c r="I2" s="251" t="s">
        <v>1017</v>
      </c>
      <c r="J2" s="251" t="s">
        <v>433</v>
      </c>
      <c r="K2" s="799"/>
      <c r="L2" s="799"/>
    </row>
    <row r="3" spans="1:12" ht="15" customHeight="1">
      <c r="A3" s="250">
        <v>2</v>
      </c>
      <c r="B3" s="156" t="s">
        <v>331</v>
      </c>
      <c r="C3" s="252">
        <v>24198</v>
      </c>
      <c r="D3" s="252">
        <v>11225</v>
      </c>
      <c r="E3" s="252">
        <v>8275</v>
      </c>
      <c r="F3" s="253"/>
      <c r="G3" s="253"/>
      <c r="H3" s="253">
        <v>8066</v>
      </c>
      <c r="I3" s="253">
        <v>10000</v>
      </c>
      <c r="J3" s="253"/>
      <c r="K3" s="253"/>
      <c r="L3" s="253">
        <f>SUM(C3:K3)</f>
        <v>61764</v>
      </c>
    </row>
    <row r="4" spans="1:12" s="56" customFormat="1" ht="14.25" customHeight="1">
      <c r="A4" s="250">
        <v>3</v>
      </c>
      <c r="B4" s="156" t="s">
        <v>419</v>
      </c>
      <c r="C4" s="690">
        <v>5110</v>
      </c>
      <c r="D4" s="690">
        <v>-5453</v>
      </c>
      <c r="E4" s="690">
        <v>2090</v>
      </c>
      <c r="F4" s="690"/>
      <c r="G4" s="690">
        <v>4966</v>
      </c>
      <c r="H4" s="690">
        <v>3000</v>
      </c>
      <c r="I4" s="690">
        <v>10000</v>
      </c>
      <c r="J4" s="690"/>
      <c r="K4" s="690"/>
      <c r="L4" s="253">
        <f aca="true" t="shared" si="0" ref="L4:L19">SUM(C4:K4)</f>
        <v>19713</v>
      </c>
    </row>
    <row r="5" spans="1:12" s="56" customFormat="1" ht="19.5" customHeight="1">
      <c r="A5" s="250">
        <v>4</v>
      </c>
      <c r="B5" s="156" t="s">
        <v>420</v>
      </c>
      <c r="C5" s="690">
        <v>10800</v>
      </c>
      <c r="D5" s="690">
        <v>269</v>
      </c>
      <c r="E5" s="690">
        <v>836</v>
      </c>
      <c r="F5" s="690"/>
      <c r="G5" s="690">
        <v>332</v>
      </c>
      <c r="H5" s="690">
        <v>682</v>
      </c>
      <c r="I5" s="690">
        <v>500</v>
      </c>
      <c r="J5" s="690"/>
      <c r="K5" s="690"/>
      <c r="L5" s="253">
        <f t="shared" si="0"/>
        <v>13419</v>
      </c>
    </row>
    <row r="6" spans="1:12" s="56" customFormat="1" ht="15" customHeight="1">
      <c r="A6" s="250">
        <v>5</v>
      </c>
      <c r="B6" s="120" t="s">
        <v>421</v>
      </c>
      <c r="C6" s="690">
        <v>4676</v>
      </c>
      <c r="D6" s="690">
        <v>768</v>
      </c>
      <c r="E6" s="690">
        <v>80261</v>
      </c>
      <c r="F6" s="690"/>
      <c r="G6" s="690"/>
      <c r="H6" s="690">
        <v>5134</v>
      </c>
      <c r="I6" s="690">
        <v>2500</v>
      </c>
      <c r="J6" s="690"/>
      <c r="K6" s="690"/>
      <c r="L6" s="253">
        <f t="shared" si="0"/>
        <v>93339</v>
      </c>
    </row>
    <row r="7" spans="1:12" s="56" customFormat="1" ht="12.75">
      <c r="A7" s="250">
        <v>6</v>
      </c>
      <c r="B7" s="120" t="s">
        <v>422</v>
      </c>
      <c r="C7" s="690">
        <v>922</v>
      </c>
      <c r="D7" s="690">
        <v>-283</v>
      </c>
      <c r="E7" s="690">
        <v>260</v>
      </c>
      <c r="F7" s="690"/>
      <c r="G7" s="690"/>
      <c r="H7" s="690">
        <v>100</v>
      </c>
      <c r="I7" s="690"/>
      <c r="J7" s="690"/>
      <c r="K7" s="690"/>
      <c r="L7" s="253">
        <f t="shared" si="0"/>
        <v>999</v>
      </c>
    </row>
    <row r="8" spans="1:12" s="56" customFormat="1" ht="17.25" customHeight="1">
      <c r="A8" s="250">
        <v>7</v>
      </c>
      <c r="B8" s="120" t="s">
        <v>423</v>
      </c>
      <c r="C8" s="690">
        <v>773</v>
      </c>
      <c r="D8" s="690">
        <v>-654</v>
      </c>
      <c r="E8" s="690">
        <v>1126</v>
      </c>
      <c r="F8" s="690"/>
      <c r="G8" s="690"/>
      <c r="H8" s="690">
        <v>100</v>
      </c>
      <c r="I8" s="690"/>
      <c r="J8" s="690"/>
      <c r="K8" s="690"/>
      <c r="L8" s="253">
        <f t="shared" si="0"/>
        <v>1345</v>
      </c>
    </row>
    <row r="9" spans="1:12" s="56" customFormat="1" ht="15" customHeight="1">
      <c r="A9" s="250">
        <v>8</v>
      </c>
      <c r="B9" s="120" t="s">
        <v>424</v>
      </c>
      <c r="C9" s="690">
        <v>772</v>
      </c>
      <c r="D9" s="690">
        <v>-411</v>
      </c>
      <c r="E9" s="690">
        <v>713</v>
      </c>
      <c r="F9" s="690"/>
      <c r="G9" s="690"/>
      <c r="H9" s="690">
        <v>100</v>
      </c>
      <c r="I9" s="690"/>
      <c r="J9" s="690"/>
      <c r="K9" s="690"/>
      <c r="L9" s="253">
        <f t="shared" si="0"/>
        <v>1174</v>
      </c>
    </row>
    <row r="10" spans="1:12" s="56" customFormat="1" ht="19.5" customHeight="1">
      <c r="A10" s="250">
        <v>9</v>
      </c>
      <c r="B10" s="120" t="s">
        <v>425</v>
      </c>
      <c r="C10" s="690">
        <v>423</v>
      </c>
      <c r="D10" s="690">
        <v>-253</v>
      </c>
      <c r="E10" s="690">
        <v>343</v>
      </c>
      <c r="F10" s="690"/>
      <c r="G10" s="690"/>
      <c r="H10" s="690">
        <v>100</v>
      </c>
      <c r="I10" s="690"/>
      <c r="J10" s="690"/>
      <c r="K10" s="690"/>
      <c r="L10" s="253">
        <f t="shared" si="0"/>
        <v>613</v>
      </c>
    </row>
    <row r="11" spans="1:12" s="56" customFormat="1" ht="27" customHeight="1">
      <c r="A11" s="250">
        <v>10</v>
      </c>
      <c r="B11" s="230" t="s">
        <v>426</v>
      </c>
      <c r="C11" s="690">
        <v>652</v>
      </c>
      <c r="D11" s="690">
        <v>-113</v>
      </c>
      <c r="E11" s="690">
        <v>21293</v>
      </c>
      <c r="F11" s="690"/>
      <c r="G11" s="690"/>
      <c r="H11" s="690">
        <v>500</v>
      </c>
      <c r="I11" s="690"/>
      <c r="J11" s="690"/>
      <c r="K11" s="690"/>
      <c r="L11" s="253">
        <f t="shared" si="0"/>
        <v>22332</v>
      </c>
    </row>
    <row r="12" spans="1:12" s="56" customFormat="1" ht="20.25" customHeight="1">
      <c r="A12" s="250">
        <v>11</v>
      </c>
      <c r="B12" s="120" t="s">
        <v>427</v>
      </c>
      <c r="C12" s="690">
        <v>2332</v>
      </c>
      <c r="D12" s="690">
        <v>-555</v>
      </c>
      <c r="E12" s="690">
        <v>-613</v>
      </c>
      <c r="F12" s="690"/>
      <c r="G12" s="690"/>
      <c r="H12" s="690">
        <v>16764</v>
      </c>
      <c r="I12" s="690"/>
      <c r="J12" s="690"/>
      <c r="K12" s="690"/>
      <c r="L12" s="253">
        <f t="shared" si="0"/>
        <v>17928</v>
      </c>
    </row>
    <row r="13" spans="1:12" s="56" customFormat="1" ht="30" customHeight="1">
      <c r="A13" s="250">
        <v>12</v>
      </c>
      <c r="B13" s="230" t="s">
        <v>428</v>
      </c>
      <c r="C13" s="690">
        <v>619</v>
      </c>
      <c r="D13" s="690">
        <v>26</v>
      </c>
      <c r="E13" s="690">
        <v>1250</v>
      </c>
      <c r="F13" s="690"/>
      <c r="G13" s="690"/>
      <c r="H13" s="690"/>
      <c r="I13" s="690"/>
      <c r="J13" s="690"/>
      <c r="K13" s="690"/>
      <c r="L13" s="253">
        <f t="shared" si="0"/>
        <v>1895</v>
      </c>
    </row>
    <row r="14" spans="1:12" s="56" customFormat="1" ht="16.5" customHeight="1">
      <c r="A14" s="250">
        <v>13</v>
      </c>
      <c r="B14" s="120" t="s">
        <v>132</v>
      </c>
      <c r="C14" s="690">
        <v>1612</v>
      </c>
      <c r="D14" s="690">
        <v>-86</v>
      </c>
      <c r="E14" s="690">
        <v>1408</v>
      </c>
      <c r="F14" s="690"/>
      <c r="G14" s="690"/>
      <c r="H14" s="690"/>
      <c r="I14" s="690"/>
      <c r="J14" s="690"/>
      <c r="K14" s="690"/>
      <c r="L14" s="253">
        <f t="shared" si="0"/>
        <v>2934</v>
      </c>
    </row>
    <row r="15" spans="1:12" s="56" customFormat="1" ht="16.5" customHeight="1">
      <c r="A15" s="250">
        <v>14</v>
      </c>
      <c r="B15" s="120" t="s">
        <v>133</v>
      </c>
      <c r="C15" s="690">
        <v>3891</v>
      </c>
      <c r="D15" s="690">
        <v>4104</v>
      </c>
      <c r="E15" s="690">
        <v>18239</v>
      </c>
      <c r="F15" s="690"/>
      <c r="G15" s="690">
        <v>2</v>
      </c>
      <c r="H15" s="690">
        <v>29445</v>
      </c>
      <c r="I15" s="690">
        <v>1</v>
      </c>
      <c r="J15" s="690"/>
      <c r="K15" s="690"/>
      <c r="L15" s="253">
        <f t="shared" si="0"/>
        <v>55682</v>
      </c>
    </row>
    <row r="16" spans="1:12" s="56" customFormat="1" ht="18" customHeight="1">
      <c r="A16" s="250">
        <v>15</v>
      </c>
      <c r="B16" s="120" t="s">
        <v>160</v>
      </c>
      <c r="C16" s="690">
        <v>2775</v>
      </c>
      <c r="D16" s="690">
        <v>2328</v>
      </c>
      <c r="E16" s="690">
        <v>-62</v>
      </c>
      <c r="F16" s="690"/>
      <c r="G16" s="690">
        <v>2359</v>
      </c>
      <c r="H16" s="690">
        <v>3625</v>
      </c>
      <c r="I16" s="690">
        <v>6875</v>
      </c>
      <c r="J16" s="690"/>
      <c r="K16" s="690"/>
      <c r="L16" s="253">
        <f t="shared" si="0"/>
        <v>17900</v>
      </c>
    </row>
    <row r="17" spans="1:12" s="56" customFormat="1" ht="18.75" customHeight="1">
      <c r="A17" s="250">
        <v>16</v>
      </c>
      <c r="B17" s="120" t="s">
        <v>135</v>
      </c>
      <c r="C17" s="690">
        <v>652</v>
      </c>
      <c r="D17" s="690">
        <v>173</v>
      </c>
      <c r="E17" s="690">
        <v>1164</v>
      </c>
      <c r="F17" s="690"/>
      <c r="G17" s="690"/>
      <c r="H17" s="690"/>
      <c r="I17" s="690"/>
      <c r="J17" s="690"/>
      <c r="K17" s="690"/>
      <c r="L17" s="253">
        <f t="shared" si="0"/>
        <v>1989</v>
      </c>
    </row>
    <row r="18" spans="1:12" s="56" customFormat="1" ht="18" customHeight="1">
      <c r="A18" s="250">
        <v>17</v>
      </c>
      <c r="B18" s="120" t="s">
        <v>134</v>
      </c>
      <c r="C18" s="690">
        <v>398</v>
      </c>
      <c r="D18" s="690">
        <v>-385</v>
      </c>
      <c r="E18" s="690">
        <v>1219</v>
      </c>
      <c r="F18" s="690"/>
      <c r="G18" s="690"/>
      <c r="H18" s="690">
        <v>4966</v>
      </c>
      <c r="I18" s="690"/>
      <c r="J18" s="690"/>
      <c r="K18" s="690"/>
      <c r="L18" s="253">
        <f t="shared" si="0"/>
        <v>6198</v>
      </c>
    </row>
    <row r="19" spans="1:12" s="56" customFormat="1" ht="18.75" customHeight="1">
      <c r="A19" s="250">
        <v>18</v>
      </c>
      <c r="B19" s="81" t="s">
        <v>98</v>
      </c>
      <c r="C19" s="690">
        <v>5980</v>
      </c>
      <c r="D19" s="690">
        <v>1629</v>
      </c>
      <c r="E19" s="690">
        <v>4797</v>
      </c>
      <c r="F19" s="690"/>
      <c r="G19" s="690">
        <v>307</v>
      </c>
      <c r="H19" s="690">
        <v>600</v>
      </c>
      <c r="I19" s="690"/>
      <c r="J19" s="690"/>
      <c r="K19" s="690"/>
      <c r="L19" s="253">
        <f t="shared" si="0"/>
        <v>13313</v>
      </c>
    </row>
    <row r="20" spans="1:12" s="56" customFormat="1" ht="18" customHeight="1">
      <c r="A20" s="66"/>
      <c r="B20" s="67" t="s">
        <v>119</v>
      </c>
      <c r="C20" s="68">
        <f>SUM(C3:C19)</f>
        <v>66585</v>
      </c>
      <c r="D20" s="68">
        <f aca="true" t="shared" si="1" ref="D20:L20">SUM(D3:D19)</f>
        <v>12329</v>
      </c>
      <c r="E20" s="68">
        <f t="shared" si="1"/>
        <v>142599</v>
      </c>
      <c r="F20" s="68">
        <f t="shared" si="1"/>
        <v>0</v>
      </c>
      <c r="G20" s="68">
        <f t="shared" si="1"/>
        <v>7966</v>
      </c>
      <c r="H20" s="68">
        <f t="shared" si="1"/>
        <v>73182</v>
      </c>
      <c r="I20" s="68">
        <f t="shared" si="1"/>
        <v>29876</v>
      </c>
      <c r="J20" s="68">
        <f t="shared" si="1"/>
        <v>0</v>
      </c>
      <c r="K20" s="68">
        <f t="shared" si="1"/>
        <v>0</v>
      </c>
      <c r="L20" s="68">
        <f t="shared" si="1"/>
        <v>332537</v>
      </c>
    </row>
    <row r="21" s="56" customFormat="1" ht="12.75">
      <c r="A21" s="57"/>
    </row>
    <row r="22" s="56" customFormat="1" ht="12.75">
      <c r="A22" s="57"/>
    </row>
    <row r="23" s="56" customFormat="1" ht="12.75">
      <c r="A23" s="57"/>
    </row>
    <row r="24" s="56" customFormat="1" ht="12.75">
      <c r="A24" s="57"/>
    </row>
    <row r="25" s="56" customFormat="1" ht="12.75">
      <c r="A25" s="57"/>
    </row>
    <row r="26" s="56" customFormat="1" ht="12.75">
      <c r="A26" s="57"/>
    </row>
    <row r="27" s="56" customFormat="1" ht="12.75">
      <c r="A27" s="57"/>
    </row>
    <row r="28" s="56" customFormat="1" ht="12.75">
      <c r="A28" s="57"/>
    </row>
    <row r="29" s="56" customFormat="1" ht="12.75">
      <c r="A29" s="57"/>
    </row>
    <row r="30" s="56" customFormat="1" ht="12.75">
      <c r="A30" s="57"/>
    </row>
    <row r="31" s="56" customFormat="1" ht="12.75">
      <c r="A31" s="57"/>
    </row>
    <row r="32" s="56" customFormat="1" ht="12.75">
      <c r="A32" s="57"/>
    </row>
    <row r="33" s="56" customFormat="1" ht="12.75">
      <c r="A33" s="57"/>
    </row>
    <row r="34" s="56" customFormat="1" ht="12.75">
      <c r="A34" s="57"/>
    </row>
    <row r="35" s="56" customFormat="1" ht="12.75">
      <c r="A35" s="57"/>
    </row>
    <row r="36" s="56" customFormat="1" ht="12.75">
      <c r="A36" s="57"/>
    </row>
    <row r="37" s="56" customFormat="1" ht="12.75">
      <c r="A37" s="57"/>
    </row>
    <row r="38" s="56" customFormat="1" ht="12.75">
      <c r="A38" s="57"/>
    </row>
    <row r="39" s="56" customFormat="1" ht="12.75">
      <c r="A39" s="57"/>
    </row>
    <row r="40" s="56" customFormat="1" ht="12.75">
      <c r="A40" s="57"/>
    </row>
    <row r="41" s="56" customFormat="1" ht="12.75">
      <c r="A41" s="57"/>
    </row>
    <row r="42" s="56" customFormat="1" ht="12.75">
      <c r="A42" s="57"/>
    </row>
    <row r="43" s="56" customFormat="1" ht="12.75">
      <c r="A43" s="57"/>
    </row>
    <row r="44" s="56" customFormat="1" ht="12.75">
      <c r="A44" s="57"/>
    </row>
    <row r="45" s="56" customFormat="1" ht="12.75">
      <c r="A45" s="57"/>
    </row>
    <row r="46" s="56" customFormat="1" ht="12.75">
      <c r="A46" s="57"/>
    </row>
    <row r="47" s="56" customFormat="1" ht="12.75">
      <c r="A47" s="57"/>
    </row>
    <row r="48" s="56" customFormat="1" ht="12.75">
      <c r="A48" s="57"/>
    </row>
    <row r="49" s="56" customFormat="1" ht="12.75">
      <c r="A49" s="57"/>
    </row>
    <row r="50" s="56" customFormat="1" ht="12.75">
      <c r="A50" s="57"/>
    </row>
    <row r="51" s="56" customFormat="1" ht="12.75">
      <c r="A51" s="57"/>
    </row>
    <row r="52" s="56" customFormat="1" ht="12.75">
      <c r="A52" s="57"/>
    </row>
    <row r="53" s="56" customFormat="1" ht="12.75">
      <c r="A53" s="57"/>
    </row>
    <row r="54" s="56" customFormat="1" ht="12.75">
      <c r="A54" s="57"/>
    </row>
    <row r="55" s="56" customFormat="1" ht="12.75">
      <c r="A55" s="57"/>
    </row>
    <row r="56" s="56" customFormat="1" ht="12.75">
      <c r="A56" s="57"/>
    </row>
    <row r="57" s="56" customFormat="1" ht="12.75">
      <c r="A57" s="57"/>
    </row>
    <row r="58" s="56" customFormat="1" ht="12.75">
      <c r="A58" s="57"/>
    </row>
    <row r="59" s="56" customFormat="1" ht="12.75">
      <c r="A59" s="57"/>
    </row>
    <row r="60" s="56" customFormat="1" ht="12.75">
      <c r="A60" s="57"/>
    </row>
    <row r="61" s="56" customFormat="1" ht="12.75">
      <c r="A61" s="57"/>
    </row>
    <row r="62" s="56" customFormat="1" ht="12.75">
      <c r="A62" s="57"/>
    </row>
    <row r="63" s="56" customFormat="1" ht="12.75">
      <c r="A63" s="57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ELŐIRÁNYZATAINAK MÓDOSÍTÁSA AZ I. NEGYEDÉVBEN&amp;R&amp;"Times New Roman,Dőlt"&amp;9
 2.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8.375" style="112" customWidth="1"/>
    <col min="2" max="2" width="63.875" style="100" customWidth="1"/>
    <col min="3" max="3" width="11.875" style="100" customWidth="1"/>
    <col min="4" max="5" width="11.875" style="49" customWidth="1"/>
    <col min="6" max="16384" width="9.375" style="49" customWidth="1"/>
  </cols>
  <sheetData>
    <row r="1" spans="1:5" s="88" customFormat="1" ht="69.75" customHeight="1" thickBot="1">
      <c r="A1" s="101" t="s">
        <v>551</v>
      </c>
      <c r="B1" s="102" t="s">
        <v>327</v>
      </c>
      <c r="C1" s="108" t="s">
        <v>709</v>
      </c>
      <c r="D1" s="581" t="s">
        <v>1010</v>
      </c>
      <c r="E1" s="581" t="s">
        <v>710</v>
      </c>
    </row>
    <row r="2" spans="1:5" s="105" customFormat="1" ht="14.25" customHeight="1">
      <c r="A2" s="103" t="s">
        <v>552</v>
      </c>
      <c r="B2" s="104" t="s">
        <v>163</v>
      </c>
      <c r="C2" s="104"/>
      <c r="D2" s="623"/>
      <c r="E2" s="623"/>
    </row>
    <row r="3" spans="1:5" s="88" customFormat="1" ht="14.25" customHeight="1">
      <c r="A3" s="103" t="s">
        <v>553</v>
      </c>
      <c r="B3" s="104" t="s">
        <v>554</v>
      </c>
      <c r="C3" s="106"/>
      <c r="D3" s="624"/>
      <c r="E3" s="624"/>
    </row>
    <row r="4" spans="1:5" s="88" customFormat="1" ht="14.25" customHeight="1">
      <c r="A4" s="625" t="s">
        <v>555</v>
      </c>
      <c r="B4" s="106" t="s">
        <v>556</v>
      </c>
      <c r="C4" s="106"/>
      <c r="D4" s="624"/>
      <c r="E4" s="624"/>
    </row>
    <row r="5" spans="1:5" s="88" customFormat="1" ht="14.25" customHeight="1">
      <c r="A5" s="157" t="s">
        <v>557</v>
      </c>
      <c r="B5" s="106" t="s">
        <v>558</v>
      </c>
      <c r="C5" s="106">
        <v>267882</v>
      </c>
      <c r="D5" s="626">
        <v>-1</v>
      </c>
      <c r="E5" s="626">
        <f aca="true" t="shared" si="0" ref="E5:E11">SUM(C5:D5)</f>
        <v>267881</v>
      </c>
    </row>
    <row r="6" spans="1:5" s="88" customFormat="1" ht="14.25" customHeight="1">
      <c r="A6" s="157" t="s">
        <v>559</v>
      </c>
      <c r="B6" s="106" t="s">
        <v>560</v>
      </c>
      <c r="C6" s="106">
        <v>832456</v>
      </c>
      <c r="D6" s="626"/>
      <c r="E6" s="626">
        <f t="shared" si="0"/>
        <v>832456</v>
      </c>
    </row>
    <row r="7" spans="1:5" s="88" customFormat="1" ht="24.75" customHeight="1">
      <c r="A7" s="157" t="s">
        <v>561</v>
      </c>
      <c r="B7" s="106" t="s">
        <v>562</v>
      </c>
      <c r="C7" s="106">
        <v>628845</v>
      </c>
      <c r="D7" s="626">
        <v>124374</v>
      </c>
      <c r="E7" s="626">
        <f t="shared" si="0"/>
        <v>753219</v>
      </c>
    </row>
    <row r="8" spans="1:5" s="88" customFormat="1" ht="15" customHeight="1">
      <c r="A8" s="157" t="s">
        <v>563</v>
      </c>
      <c r="B8" s="106" t="s">
        <v>564</v>
      </c>
      <c r="C8" s="106">
        <v>651383</v>
      </c>
      <c r="D8" s="626">
        <v>12</v>
      </c>
      <c r="E8" s="626">
        <f t="shared" si="0"/>
        <v>651395</v>
      </c>
    </row>
    <row r="9" spans="1:5" s="88" customFormat="1" ht="15" customHeight="1">
      <c r="A9" s="157" t="s">
        <v>565</v>
      </c>
      <c r="B9" s="106" t="s">
        <v>566</v>
      </c>
      <c r="C9" s="106">
        <v>19133</v>
      </c>
      <c r="D9" s="626">
        <v>18425</v>
      </c>
      <c r="E9" s="626">
        <f t="shared" si="0"/>
        <v>37558</v>
      </c>
    </row>
    <row r="10" spans="1:5" s="88" customFormat="1" ht="15" customHeight="1">
      <c r="A10" s="157" t="s">
        <v>62</v>
      </c>
      <c r="B10" s="106" t="s">
        <v>939</v>
      </c>
      <c r="C10" s="106"/>
      <c r="D10" s="626">
        <v>26722</v>
      </c>
      <c r="E10" s="626">
        <f t="shared" si="0"/>
        <v>26722</v>
      </c>
    </row>
    <row r="11" spans="1:5" s="88" customFormat="1" ht="15" customHeight="1">
      <c r="A11" s="625" t="s">
        <v>567</v>
      </c>
      <c r="B11" s="106" t="s">
        <v>568</v>
      </c>
      <c r="C11" s="106">
        <v>421218</v>
      </c>
      <c r="D11" s="626">
        <v>76089</v>
      </c>
      <c r="E11" s="626">
        <f t="shared" si="0"/>
        <v>497307</v>
      </c>
    </row>
    <row r="12" spans="1:5" s="91" customFormat="1" ht="14.25" customHeight="1">
      <c r="A12" s="108"/>
      <c r="B12" s="109" t="s">
        <v>569</v>
      </c>
      <c r="C12" s="109">
        <f>SUM(C4:C11)</f>
        <v>2820917</v>
      </c>
      <c r="D12" s="109">
        <f>SUM(D4:D11)</f>
        <v>245621</v>
      </c>
      <c r="E12" s="109">
        <f>SUM(E4:E11)</f>
        <v>3066538</v>
      </c>
    </row>
    <row r="13" spans="1:5" s="88" customFormat="1" ht="14.25" customHeight="1">
      <c r="A13" s="103" t="s">
        <v>570</v>
      </c>
      <c r="B13" s="104" t="s">
        <v>571</v>
      </c>
      <c r="C13" s="106"/>
      <c r="D13" s="626"/>
      <c r="E13" s="626">
        <f>SUM(C13:D13)</f>
        <v>0</v>
      </c>
    </row>
    <row r="14" spans="1:5" s="88" customFormat="1" ht="14.25" customHeight="1">
      <c r="A14" s="625" t="s">
        <v>572</v>
      </c>
      <c r="B14" s="106" t="s">
        <v>573</v>
      </c>
      <c r="C14" s="106"/>
      <c r="D14" s="626">
        <v>1282233</v>
      </c>
      <c r="E14" s="626">
        <f>SUM(C14:D14)</f>
        <v>1282233</v>
      </c>
    </row>
    <row r="15" spans="1:5" s="88" customFormat="1" ht="23.25" customHeight="1">
      <c r="A15" s="625" t="s">
        <v>574</v>
      </c>
      <c r="B15" s="106" t="s">
        <v>575</v>
      </c>
      <c r="C15" s="106">
        <v>4607238</v>
      </c>
      <c r="D15" s="626">
        <v>285265</v>
      </c>
      <c r="E15" s="626">
        <f>SUM(C15:D15)</f>
        <v>4892503</v>
      </c>
    </row>
    <row r="16" spans="1:5" s="91" customFormat="1" ht="14.25" customHeight="1">
      <c r="A16" s="108"/>
      <c r="B16" s="109" t="s">
        <v>576</v>
      </c>
      <c r="C16" s="109">
        <f>SUM(C14:C15)</f>
        <v>4607238</v>
      </c>
      <c r="D16" s="109">
        <f>SUM(D14:D15)</f>
        <v>1567498</v>
      </c>
      <c r="E16" s="109">
        <f>SUM(E14:E15)</f>
        <v>6174736</v>
      </c>
    </row>
    <row r="17" spans="1:5" s="88" customFormat="1" ht="14.25" customHeight="1">
      <c r="A17" s="103" t="s">
        <v>577</v>
      </c>
      <c r="B17" s="104" t="s">
        <v>1024</v>
      </c>
      <c r="C17" s="106"/>
      <c r="D17" s="626"/>
      <c r="E17" s="626">
        <f aca="true" t="shared" si="1" ref="E17:E22">SUM(C17:D17)</f>
        <v>0</v>
      </c>
    </row>
    <row r="18" spans="1:5" s="88" customFormat="1" ht="14.25" customHeight="1">
      <c r="A18" s="625" t="s">
        <v>578</v>
      </c>
      <c r="B18" s="106" t="s">
        <v>579</v>
      </c>
      <c r="C18" s="106"/>
      <c r="D18" s="626"/>
      <c r="E18" s="626">
        <f t="shared" si="1"/>
        <v>0</v>
      </c>
    </row>
    <row r="19" spans="1:5" s="88" customFormat="1" ht="14.25" customHeight="1">
      <c r="A19" s="157" t="s">
        <v>580</v>
      </c>
      <c r="B19" s="106" t="s">
        <v>581</v>
      </c>
      <c r="C19" s="106">
        <v>4000000</v>
      </c>
      <c r="D19" s="626"/>
      <c r="E19" s="626">
        <f t="shared" si="1"/>
        <v>4000000</v>
      </c>
    </row>
    <row r="20" spans="1:5" s="88" customFormat="1" ht="14.25" customHeight="1">
      <c r="A20" s="157" t="s">
        <v>582</v>
      </c>
      <c r="B20" s="106" t="s">
        <v>583</v>
      </c>
      <c r="C20" s="106">
        <v>240000</v>
      </c>
      <c r="D20" s="626"/>
      <c r="E20" s="626">
        <f t="shared" si="1"/>
        <v>240000</v>
      </c>
    </row>
    <row r="21" spans="1:5" s="88" customFormat="1" ht="14.25" customHeight="1">
      <c r="A21" s="157" t="s">
        <v>584</v>
      </c>
      <c r="B21" s="106" t="s">
        <v>585</v>
      </c>
      <c r="C21" s="106">
        <v>13500</v>
      </c>
      <c r="D21" s="626"/>
      <c r="E21" s="626">
        <f t="shared" si="1"/>
        <v>13500</v>
      </c>
    </row>
    <row r="22" spans="1:5" s="88" customFormat="1" ht="14.25" customHeight="1">
      <c r="A22" s="625" t="s">
        <v>586</v>
      </c>
      <c r="B22" s="106" t="s">
        <v>587</v>
      </c>
      <c r="C22" s="106">
        <v>5000</v>
      </c>
      <c r="D22" s="626"/>
      <c r="E22" s="626">
        <f t="shared" si="1"/>
        <v>5000</v>
      </c>
    </row>
    <row r="23" spans="1:5" ht="15" customHeight="1">
      <c r="A23" s="108"/>
      <c r="B23" s="109" t="s">
        <v>588</v>
      </c>
      <c r="C23" s="109">
        <f>SUM(C17:C22)</f>
        <v>4258500</v>
      </c>
      <c r="D23" s="109">
        <f>SUM(D17:D22)</f>
        <v>0</v>
      </c>
      <c r="E23" s="109">
        <f>SUM(E17:E22)</f>
        <v>4258500</v>
      </c>
    </row>
    <row r="24" spans="1:5" s="88" customFormat="1" ht="15" customHeight="1">
      <c r="A24" s="103" t="s">
        <v>589</v>
      </c>
      <c r="B24" s="104" t="s">
        <v>441</v>
      </c>
      <c r="C24" s="104">
        <v>2115965</v>
      </c>
      <c r="D24" s="104">
        <v>259319</v>
      </c>
      <c r="E24" s="104">
        <f>SUM(C24:D24)</f>
        <v>2375284</v>
      </c>
    </row>
    <row r="25" spans="1:5" s="88" customFormat="1" ht="15" customHeight="1">
      <c r="A25" s="103" t="s">
        <v>590</v>
      </c>
      <c r="B25" s="104" t="s">
        <v>115</v>
      </c>
      <c r="C25" s="106"/>
      <c r="D25" s="626"/>
      <c r="E25" s="626">
        <f>SUM(C25:D25)</f>
        <v>0</v>
      </c>
    </row>
    <row r="26" spans="1:5" s="88" customFormat="1" ht="15" customHeight="1">
      <c r="A26" s="107" t="s">
        <v>591</v>
      </c>
      <c r="B26" s="106" t="s">
        <v>592</v>
      </c>
      <c r="C26" s="106">
        <v>251100</v>
      </c>
      <c r="D26" s="626"/>
      <c r="E26" s="626">
        <f>SUM(C26:D26)</f>
        <v>251100</v>
      </c>
    </row>
    <row r="27" spans="1:5" s="88" customFormat="1" ht="15" customHeight="1">
      <c r="A27" s="110"/>
      <c r="B27" s="109" t="s">
        <v>593</v>
      </c>
      <c r="C27" s="109">
        <f>SUM(C26:C26)</f>
        <v>251100</v>
      </c>
      <c r="D27" s="109">
        <f>SUM(D26:D26)</f>
        <v>0</v>
      </c>
      <c r="E27" s="109">
        <f>SUM(E26:E26)</f>
        <v>251100</v>
      </c>
    </row>
    <row r="28" spans="1:5" s="88" customFormat="1" ht="15" customHeight="1">
      <c r="A28" s="108" t="s">
        <v>594</v>
      </c>
      <c r="B28" s="109" t="s">
        <v>442</v>
      </c>
      <c r="C28" s="109">
        <v>59600</v>
      </c>
      <c r="D28" s="109">
        <v>394</v>
      </c>
      <c r="E28" s="109">
        <f>SUM(C28:D28)</f>
        <v>59994</v>
      </c>
    </row>
    <row r="29" spans="1:5" s="88" customFormat="1" ht="15" customHeight="1">
      <c r="A29" s="103" t="s">
        <v>595</v>
      </c>
      <c r="B29" s="104" t="s">
        <v>443</v>
      </c>
      <c r="C29" s="104"/>
      <c r="D29" s="626"/>
      <c r="E29" s="626">
        <f>SUM(C29:D29)</f>
        <v>0</v>
      </c>
    </row>
    <row r="30" spans="1:5" s="88" customFormat="1" ht="24.75" customHeight="1">
      <c r="A30" s="107" t="s">
        <v>596</v>
      </c>
      <c r="B30" s="106" t="s">
        <v>597</v>
      </c>
      <c r="C30" s="106">
        <v>20000</v>
      </c>
      <c r="D30" s="626"/>
      <c r="E30" s="626">
        <f>SUM(C30:D30)</f>
        <v>20000</v>
      </c>
    </row>
    <row r="31" spans="1:5" s="88" customFormat="1" ht="15" customHeight="1">
      <c r="A31" s="107" t="s">
        <v>598</v>
      </c>
      <c r="B31" s="106" t="s">
        <v>599</v>
      </c>
      <c r="C31" s="106">
        <v>200000</v>
      </c>
      <c r="D31" s="626">
        <v>746</v>
      </c>
      <c r="E31" s="626">
        <f>SUM(C31:D31)</f>
        <v>200746</v>
      </c>
    </row>
    <row r="32" spans="1:5" s="88" customFormat="1" ht="15" customHeight="1">
      <c r="A32" s="110"/>
      <c r="B32" s="109" t="s">
        <v>600</v>
      </c>
      <c r="C32" s="109">
        <f>SUM(C30:C31)</f>
        <v>220000</v>
      </c>
      <c r="D32" s="109">
        <f>SUM(D30:D31)</f>
        <v>746</v>
      </c>
      <c r="E32" s="109">
        <f>SUM(E30:E31)</f>
        <v>220746</v>
      </c>
    </row>
    <row r="33" spans="1:5" s="88" customFormat="1" ht="15" customHeight="1">
      <c r="A33" s="108" t="s">
        <v>601</v>
      </c>
      <c r="B33" s="109" t="s">
        <v>436</v>
      </c>
      <c r="C33" s="109">
        <f>SUM(C12+C16+C23+C24+C27+C28+C32)</f>
        <v>14333320</v>
      </c>
      <c r="D33" s="109">
        <f>SUM(D12+D16+D23+D24+D27+D28+D32)</f>
        <v>2073578</v>
      </c>
      <c r="E33" s="109">
        <f>SUM(E12+E16+E23+E24+E27+E28+E32)</f>
        <v>16406898</v>
      </c>
    </row>
    <row r="34" spans="1:5" s="88" customFormat="1" ht="15.75" customHeight="1">
      <c r="A34" s="103" t="s">
        <v>602</v>
      </c>
      <c r="B34" s="104" t="s">
        <v>437</v>
      </c>
      <c r="C34" s="104"/>
      <c r="D34" s="626"/>
      <c r="E34" s="626">
        <f>SUM(C34:D34)</f>
        <v>0</v>
      </c>
    </row>
    <row r="35" spans="1:5" s="88" customFormat="1" ht="14.25" customHeight="1">
      <c r="A35" s="625" t="s">
        <v>603</v>
      </c>
      <c r="B35" s="106" t="s">
        <v>604</v>
      </c>
      <c r="C35" s="106"/>
      <c r="D35" s="626"/>
      <c r="E35" s="626">
        <f>SUM(C35:D35)</f>
        <v>0</v>
      </c>
    </row>
    <row r="36" spans="1:5" s="88" customFormat="1" ht="14.25" customHeight="1">
      <c r="A36" s="627" t="s">
        <v>605</v>
      </c>
      <c r="B36" s="111" t="s">
        <v>606</v>
      </c>
      <c r="C36" s="106">
        <v>658892</v>
      </c>
      <c r="D36" s="626"/>
      <c r="E36" s="626">
        <f>SUM(C36:D36)</f>
        <v>658892</v>
      </c>
    </row>
    <row r="37" spans="1:5" s="88" customFormat="1" ht="14.25" customHeight="1">
      <c r="A37" s="627" t="s">
        <v>607</v>
      </c>
      <c r="B37" s="111" t="s">
        <v>444</v>
      </c>
      <c r="C37" s="106">
        <v>2966806</v>
      </c>
      <c r="D37" s="626">
        <v>503494</v>
      </c>
      <c r="E37" s="626">
        <f>SUM(C37:D37)</f>
        <v>3470300</v>
      </c>
    </row>
    <row r="38" spans="1:5" s="88" customFormat="1" ht="14.25" customHeight="1">
      <c r="A38" s="628"/>
      <c r="B38" s="109" t="s">
        <v>608</v>
      </c>
      <c r="C38" s="629">
        <f>SUM(C36:C37)</f>
        <v>3625698</v>
      </c>
      <c r="D38" s="629">
        <f>SUM(D36:D37)</f>
        <v>503494</v>
      </c>
      <c r="E38" s="629">
        <f>SUM(E36:E37)</f>
        <v>4129192</v>
      </c>
    </row>
    <row r="39" spans="1:5" ht="15.75" customHeight="1">
      <c r="A39" s="108"/>
      <c r="B39" s="109" t="s">
        <v>609</v>
      </c>
      <c r="C39" s="109">
        <f>SUM(C33+C38)</f>
        <v>17959018</v>
      </c>
      <c r="D39" s="109">
        <f>SUM(D33+D38)</f>
        <v>2577072</v>
      </c>
      <c r="E39" s="109">
        <f>SUM(E33+E38)</f>
        <v>20536090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90" zoomScaleNormal="90" zoomScalePageLayoutView="0" workbookViewId="0" topLeftCell="A1">
      <pane xSplit="1" ySplit="2" topLeftCell="B37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3" sqref="K3:K69"/>
    </sheetView>
  </sheetViews>
  <sheetFormatPr defaultColWidth="9.00390625" defaultRowHeight="12.75"/>
  <cols>
    <col min="1" max="1" width="81.00390625" style="123" customWidth="1"/>
    <col min="2" max="2" width="8.875" style="123" customWidth="1"/>
    <col min="3" max="3" width="10.00390625" style="123" customWidth="1"/>
    <col min="4" max="4" width="12.50390625" style="123" customWidth="1"/>
    <col min="5" max="5" width="11.50390625" style="123" customWidth="1"/>
    <col min="6" max="6" width="10.50390625" style="123" customWidth="1"/>
    <col min="7" max="7" width="9.875" style="122" customWidth="1"/>
    <col min="8" max="8" width="10.375" style="122" customWidth="1"/>
    <col min="9" max="9" width="12.875" style="122" customWidth="1"/>
    <col min="10" max="10" width="10.625" style="122" customWidth="1"/>
    <col min="11" max="11" width="11.375" style="122" customWidth="1"/>
    <col min="12" max="14" width="9.375" style="122" customWidth="1"/>
    <col min="15" max="16384" width="9.375" style="123" customWidth="1"/>
  </cols>
  <sheetData>
    <row r="1" spans="1:14" ht="23.25" customHeight="1" thickBot="1">
      <c r="A1" s="636"/>
      <c r="B1" s="753" t="s">
        <v>967</v>
      </c>
      <c r="C1" s="754"/>
      <c r="D1" s="754"/>
      <c r="E1" s="754"/>
      <c r="F1" s="754"/>
      <c r="G1" s="755" t="s">
        <v>968</v>
      </c>
      <c r="H1" s="755"/>
      <c r="I1" s="755"/>
      <c r="J1" s="755"/>
      <c r="K1" s="755"/>
      <c r="N1" s="123"/>
    </row>
    <row r="2" spans="1:13" s="125" customFormat="1" ht="45.75" customHeight="1" thickBot="1">
      <c r="A2" s="637" t="s">
        <v>239</v>
      </c>
      <c r="B2" s="638" t="s">
        <v>240</v>
      </c>
      <c r="C2" s="639" t="s">
        <v>241</v>
      </c>
      <c r="D2" s="639" t="s">
        <v>242</v>
      </c>
      <c r="E2" s="639" t="s">
        <v>280</v>
      </c>
      <c r="F2" s="652" t="s">
        <v>243</v>
      </c>
      <c r="G2" s="654" t="s">
        <v>240</v>
      </c>
      <c r="H2" s="654" t="s">
        <v>241</v>
      </c>
      <c r="I2" s="654" t="s">
        <v>242</v>
      </c>
      <c r="J2" s="654" t="s">
        <v>280</v>
      </c>
      <c r="K2" s="654" t="s">
        <v>243</v>
      </c>
      <c r="L2" s="124"/>
      <c r="M2" s="124"/>
    </row>
    <row r="3" spans="1:14" ht="13.5" customHeight="1">
      <c r="A3" s="640" t="s">
        <v>915</v>
      </c>
      <c r="B3" s="645"/>
      <c r="C3" s="645"/>
      <c r="D3" s="645"/>
      <c r="E3" s="645"/>
      <c r="F3" s="655"/>
      <c r="G3" s="645"/>
      <c r="H3" s="645"/>
      <c r="I3" s="645"/>
      <c r="J3" s="645"/>
      <c r="K3" s="731"/>
      <c r="M3" s="123"/>
      <c r="N3" s="123"/>
    </row>
    <row r="4" spans="1:14" ht="13.5" customHeight="1">
      <c r="A4" s="641" t="s">
        <v>281</v>
      </c>
      <c r="B4" s="656"/>
      <c r="C4" s="656">
        <v>134.94</v>
      </c>
      <c r="D4" s="645">
        <v>4580000</v>
      </c>
      <c r="E4" s="645">
        <v>618025</v>
      </c>
      <c r="F4" s="655"/>
      <c r="G4" s="656"/>
      <c r="H4" s="656">
        <v>134.94</v>
      </c>
      <c r="I4" s="645">
        <v>4580000</v>
      </c>
      <c r="J4" s="645">
        <v>618025</v>
      </c>
      <c r="K4" s="645"/>
      <c r="M4" s="123"/>
      <c r="N4" s="123"/>
    </row>
    <row r="5" spans="1:14" ht="13.5" customHeight="1">
      <c r="A5" s="641" t="s">
        <v>282</v>
      </c>
      <c r="B5" s="656"/>
      <c r="C5" s="656"/>
      <c r="D5" s="645"/>
      <c r="E5" s="645"/>
      <c r="F5" s="655">
        <v>106378</v>
      </c>
      <c r="G5" s="656"/>
      <c r="H5" s="656"/>
      <c r="I5" s="645"/>
      <c r="J5" s="645"/>
      <c r="K5" s="645">
        <v>106378</v>
      </c>
      <c r="M5" s="123"/>
      <c r="N5" s="123"/>
    </row>
    <row r="6" spans="1:14" ht="13.5" customHeight="1">
      <c r="A6" s="641" t="s">
        <v>283</v>
      </c>
      <c r="B6" s="645"/>
      <c r="C6" s="645"/>
      <c r="D6" s="645"/>
      <c r="E6" s="645"/>
      <c r="F6" s="655"/>
      <c r="G6" s="645"/>
      <c r="H6" s="645"/>
      <c r="I6" s="645"/>
      <c r="J6" s="645"/>
      <c r="K6" s="645"/>
      <c r="M6" s="123"/>
      <c r="N6" s="123"/>
    </row>
    <row r="7" spans="1:14" ht="13.5" customHeight="1">
      <c r="A7" s="641" t="s">
        <v>284</v>
      </c>
      <c r="B7" s="645"/>
      <c r="C7" s="645"/>
      <c r="D7" s="645"/>
      <c r="E7" s="645"/>
      <c r="F7" s="655">
        <v>0</v>
      </c>
      <c r="G7" s="645"/>
      <c r="H7" s="645"/>
      <c r="I7" s="645"/>
      <c r="J7" s="645"/>
      <c r="K7" s="645">
        <v>0</v>
      </c>
      <c r="M7" s="123"/>
      <c r="N7" s="123"/>
    </row>
    <row r="8" spans="1:14" ht="13.5" customHeight="1">
      <c r="A8" s="641" t="s">
        <v>916</v>
      </c>
      <c r="B8" s="645"/>
      <c r="C8" s="656"/>
      <c r="D8" s="645">
        <v>22300</v>
      </c>
      <c r="E8" s="645">
        <v>50222</v>
      </c>
      <c r="F8" s="655"/>
      <c r="G8" s="645"/>
      <c r="H8" s="656"/>
      <c r="I8" s="645">
        <v>22300</v>
      </c>
      <c r="J8" s="645">
        <v>50222</v>
      </c>
      <c r="K8" s="645"/>
      <c r="M8" s="123"/>
      <c r="N8" s="123"/>
    </row>
    <row r="9" spans="1:14" ht="13.5" customHeight="1">
      <c r="A9" s="641" t="s">
        <v>917</v>
      </c>
      <c r="B9" s="645"/>
      <c r="C9" s="645"/>
      <c r="D9" s="645">
        <v>423700</v>
      </c>
      <c r="E9" s="645">
        <v>158963</v>
      </c>
      <c r="F9" s="655"/>
      <c r="G9" s="645"/>
      <c r="H9" s="645"/>
      <c r="I9" s="645">
        <v>423700</v>
      </c>
      <c r="J9" s="645">
        <v>158963</v>
      </c>
      <c r="K9" s="645"/>
      <c r="M9" s="123"/>
      <c r="N9" s="123"/>
    </row>
    <row r="10" spans="1:14" ht="13.5" customHeight="1">
      <c r="A10" s="641" t="s">
        <v>918</v>
      </c>
      <c r="B10" s="645"/>
      <c r="C10" s="645">
        <v>323446</v>
      </c>
      <c r="D10" s="645">
        <v>70</v>
      </c>
      <c r="E10" s="645">
        <v>22641</v>
      </c>
      <c r="F10" s="655"/>
      <c r="G10" s="645"/>
      <c r="H10" s="645">
        <v>323446</v>
      </c>
      <c r="I10" s="645">
        <v>70</v>
      </c>
      <c r="J10" s="645">
        <v>22641</v>
      </c>
      <c r="K10" s="645"/>
      <c r="M10" s="123"/>
      <c r="N10" s="123"/>
    </row>
    <row r="11" spans="1:14" ht="13.5" customHeight="1">
      <c r="A11" s="641" t="s">
        <v>919</v>
      </c>
      <c r="B11" s="645"/>
      <c r="C11" s="645"/>
      <c r="D11" s="645"/>
      <c r="E11" s="645">
        <v>102643</v>
      </c>
      <c r="F11" s="655"/>
      <c r="G11" s="645"/>
      <c r="H11" s="645"/>
      <c r="I11" s="645"/>
      <c r="J11" s="645">
        <v>102643</v>
      </c>
      <c r="K11" s="645"/>
      <c r="M11" s="123"/>
      <c r="N11" s="123"/>
    </row>
    <row r="12" spans="1:14" ht="13.5" customHeight="1">
      <c r="A12" s="641" t="s">
        <v>285</v>
      </c>
      <c r="B12" s="645">
        <v>59097</v>
      </c>
      <c r="C12" s="645"/>
      <c r="D12" s="645">
        <v>2700</v>
      </c>
      <c r="E12" s="645">
        <v>159562</v>
      </c>
      <c r="F12" s="655"/>
      <c r="G12" s="645">
        <v>59097</v>
      </c>
      <c r="H12" s="645"/>
      <c r="I12" s="645">
        <v>2700</v>
      </c>
      <c r="J12" s="645">
        <v>159562</v>
      </c>
      <c r="K12" s="645"/>
      <c r="M12" s="123"/>
      <c r="N12" s="123"/>
    </row>
    <row r="13" spans="1:14" ht="13.5" customHeight="1">
      <c r="A13" s="641" t="s">
        <v>286</v>
      </c>
      <c r="B13" s="645"/>
      <c r="C13" s="645"/>
      <c r="D13" s="645"/>
      <c r="E13" s="645"/>
      <c r="F13" s="655">
        <v>79781</v>
      </c>
      <c r="G13" s="645"/>
      <c r="H13" s="645"/>
      <c r="I13" s="645"/>
      <c r="J13" s="645"/>
      <c r="K13" s="645">
        <v>79781</v>
      </c>
      <c r="M13" s="123"/>
      <c r="N13" s="123"/>
    </row>
    <row r="14" spans="1:14" ht="13.5" customHeight="1">
      <c r="A14" s="641" t="s">
        <v>287</v>
      </c>
      <c r="B14" s="645">
        <v>59097</v>
      </c>
      <c r="C14" s="645"/>
      <c r="D14" s="645" t="s">
        <v>931</v>
      </c>
      <c r="E14" s="645">
        <v>163145</v>
      </c>
      <c r="F14" s="655"/>
      <c r="G14" s="645">
        <v>59097</v>
      </c>
      <c r="H14" s="645"/>
      <c r="I14" s="645" t="s">
        <v>931</v>
      </c>
      <c r="J14" s="645">
        <v>163145</v>
      </c>
      <c r="K14" s="645"/>
      <c r="M14" s="123"/>
      <c r="N14" s="123"/>
    </row>
    <row r="15" spans="1:14" ht="13.5" customHeight="1">
      <c r="A15" s="641" t="s">
        <v>288</v>
      </c>
      <c r="B15" s="645"/>
      <c r="C15" s="645"/>
      <c r="D15" s="645"/>
      <c r="E15" s="645"/>
      <c r="F15" s="655">
        <v>81573</v>
      </c>
      <c r="G15" s="645"/>
      <c r="H15" s="645"/>
      <c r="I15" s="645"/>
      <c r="J15" s="645"/>
      <c r="K15" s="645">
        <v>81572</v>
      </c>
      <c r="M15" s="123"/>
      <c r="N15" s="123"/>
    </row>
    <row r="16" spans="1:14" ht="13.5" customHeight="1">
      <c r="A16" s="641" t="s">
        <v>289</v>
      </c>
      <c r="B16" s="645"/>
      <c r="C16" s="645"/>
      <c r="D16" s="645"/>
      <c r="E16" s="645">
        <v>-1007470</v>
      </c>
      <c r="F16" s="655"/>
      <c r="G16" s="645"/>
      <c r="H16" s="645"/>
      <c r="I16" s="645"/>
      <c r="J16" s="645">
        <v>-1007470</v>
      </c>
      <c r="K16" s="645"/>
      <c r="M16" s="123"/>
      <c r="N16" s="123"/>
    </row>
    <row r="17" spans="1:14" ht="13.5" customHeight="1">
      <c r="A17" s="641" t="s">
        <v>290</v>
      </c>
      <c r="B17" s="645"/>
      <c r="C17" s="645">
        <v>1500</v>
      </c>
      <c r="D17" s="645">
        <v>100</v>
      </c>
      <c r="E17" s="645"/>
      <c r="F17" s="655">
        <f>SUM(C17*D17)/1000</f>
        <v>150</v>
      </c>
      <c r="G17" s="645"/>
      <c r="H17" s="645">
        <v>1500</v>
      </c>
      <c r="I17" s="645">
        <v>100</v>
      </c>
      <c r="J17" s="645"/>
      <c r="K17" s="645">
        <f>SUM(H17*I17)/1000</f>
        <v>150</v>
      </c>
      <c r="M17" s="123"/>
      <c r="N17" s="123"/>
    </row>
    <row r="18" spans="1:14" ht="13.5" customHeight="1">
      <c r="A18" s="640" t="s">
        <v>920</v>
      </c>
      <c r="B18" s="645"/>
      <c r="C18" s="645"/>
      <c r="D18" s="645"/>
      <c r="E18" s="645"/>
      <c r="F18" s="655"/>
      <c r="G18" s="645"/>
      <c r="H18" s="645"/>
      <c r="I18" s="645"/>
      <c r="J18" s="645"/>
      <c r="K18" s="645"/>
      <c r="M18" s="123"/>
      <c r="N18" s="123"/>
    </row>
    <row r="19" spans="1:14" ht="24.75" customHeight="1">
      <c r="A19" s="642" t="s">
        <v>921</v>
      </c>
      <c r="B19" s="645"/>
      <c r="C19" s="645"/>
      <c r="D19" s="645"/>
      <c r="E19" s="645"/>
      <c r="F19" s="655"/>
      <c r="G19" s="645"/>
      <c r="H19" s="645"/>
      <c r="I19" s="645"/>
      <c r="J19" s="645"/>
      <c r="K19" s="645"/>
      <c r="M19" s="123"/>
      <c r="N19" s="123"/>
    </row>
    <row r="20" spans="1:14" ht="15" customHeight="1">
      <c r="A20" s="642" t="s">
        <v>291</v>
      </c>
      <c r="B20" s="645"/>
      <c r="C20" s="657">
        <v>144.3</v>
      </c>
      <c r="D20" s="656">
        <v>2674666.67</v>
      </c>
      <c r="E20" s="656"/>
      <c r="F20" s="655">
        <f>SUM(C20*D20)/1000</f>
        <v>385954.400481</v>
      </c>
      <c r="G20" s="645"/>
      <c r="H20" s="657">
        <v>144.3</v>
      </c>
      <c r="I20" s="656">
        <v>2674666.67</v>
      </c>
      <c r="J20" s="656"/>
      <c r="K20" s="645">
        <f>SUM(H20*I20)/1000</f>
        <v>385954.400481</v>
      </c>
      <c r="M20" s="123"/>
      <c r="N20" s="123"/>
    </row>
    <row r="21" spans="1:14" ht="15" customHeight="1">
      <c r="A21" s="642" t="s">
        <v>292</v>
      </c>
      <c r="B21" s="645"/>
      <c r="C21" s="657">
        <v>141.2</v>
      </c>
      <c r="D21" s="656">
        <v>1337333.33</v>
      </c>
      <c r="E21" s="656"/>
      <c r="F21" s="655">
        <f>SUM(C21*D21)/1000</f>
        <v>188831.46619600002</v>
      </c>
      <c r="G21" s="645"/>
      <c r="H21" s="657">
        <v>141.2</v>
      </c>
      <c r="I21" s="656">
        <v>1337333.33</v>
      </c>
      <c r="J21" s="656"/>
      <c r="K21" s="645">
        <f>SUM(H21*I21)/1000</f>
        <v>188831.46619600002</v>
      </c>
      <c r="M21" s="123"/>
      <c r="N21" s="123"/>
    </row>
    <row r="22" spans="1:14" ht="15" customHeight="1">
      <c r="A22" s="643" t="s">
        <v>293</v>
      </c>
      <c r="B22" s="645"/>
      <c r="C22" s="657">
        <v>141.2</v>
      </c>
      <c r="D22" s="645">
        <v>34400</v>
      </c>
      <c r="E22" s="645"/>
      <c r="F22" s="655">
        <f>SUM(C22*D22)/1000</f>
        <v>4857.28</v>
      </c>
      <c r="G22" s="645"/>
      <c r="H22" s="657">
        <v>141.2</v>
      </c>
      <c r="I22" s="645">
        <v>34400</v>
      </c>
      <c r="J22" s="645"/>
      <c r="K22" s="645">
        <f>SUM(H22*I22)/1000</f>
        <v>4857.28</v>
      </c>
      <c r="M22" s="123"/>
      <c r="N22" s="123"/>
    </row>
    <row r="23" spans="1:14" ht="24.75" customHeight="1">
      <c r="A23" s="642" t="s">
        <v>294</v>
      </c>
      <c r="B23" s="645"/>
      <c r="C23" s="645">
        <v>90</v>
      </c>
      <c r="D23" s="645">
        <v>1200000</v>
      </c>
      <c r="E23" s="658"/>
      <c r="F23" s="655">
        <f>SUM(C23*D23)/1000</f>
        <v>108000</v>
      </c>
      <c r="G23" s="645"/>
      <c r="H23" s="645">
        <v>90</v>
      </c>
      <c r="I23" s="645">
        <v>1200000</v>
      </c>
      <c r="J23" s="658"/>
      <c r="K23" s="645">
        <f>SUM(H23*I23)/1000</f>
        <v>108000</v>
      </c>
      <c r="M23" s="123"/>
      <c r="N23" s="123"/>
    </row>
    <row r="24" spans="1:14" ht="24.75" customHeight="1">
      <c r="A24" s="642" t="s">
        <v>295</v>
      </c>
      <c r="B24" s="645"/>
      <c r="C24" s="645">
        <v>90</v>
      </c>
      <c r="D24" s="645">
        <v>600000</v>
      </c>
      <c r="E24" s="658"/>
      <c r="F24" s="655">
        <f>SUM(C24*D24)/1000</f>
        <v>54000</v>
      </c>
      <c r="G24" s="645"/>
      <c r="H24" s="645">
        <v>90</v>
      </c>
      <c r="I24" s="645">
        <v>600000</v>
      </c>
      <c r="J24" s="658"/>
      <c r="K24" s="645">
        <f>SUM(H24*I24)/1000</f>
        <v>54000</v>
      </c>
      <c r="M24" s="123"/>
      <c r="N24" s="123"/>
    </row>
    <row r="25" spans="1:14" ht="13.5" customHeight="1">
      <c r="A25" s="641" t="s">
        <v>922</v>
      </c>
      <c r="B25" s="656">
        <v>1621.67</v>
      </c>
      <c r="C25" s="645"/>
      <c r="D25" s="645">
        <v>56000</v>
      </c>
      <c r="E25" s="658"/>
      <c r="F25" s="655">
        <v>90814</v>
      </c>
      <c r="G25" s="656">
        <v>1621.67</v>
      </c>
      <c r="H25" s="645"/>
      <c r="I25" s="645">
        <v>56000</v>
      </c>
      <c r="J25" s="658"/>
      <c r="K25" s="645">
        <v>90814</v>
      </c>
      <c r="M25" s="123"/>
      <c r="N25" s="123"/>
    </row>
    <row r="26" spans="1:14" ht="13.5" customHeight="1">
      <c r="A26" s="640" t="s">
        <v>930</v>
      </c>
      <c r="B26" s="645"/>
      <c r="C26" s="645"/>
      <c r="D26" s="658"/>
      <c r="E26" s="658"/>
      <c r="F26" s="655"/>
      <c r="G26" s="645"/>
      <c r="H26" s="645"/>
      <c r="I26" s="658"/>
      <c r="J26" s="658"/>
      <c r="K26" s="645"/>
      <c r="M26" s="123"/>
      <c r="N26" s="123"/>
    </row>
    <row r="27" spans="1:14" ht="13.5" customHeight="1">
      <c r="A27" s="641" t="s">
        <v>932</v>
      </c>
      <c r="B27" s="645">
        <v>59859</v>
      </c>
      <c r="C27" s="659">
        <v>11.9718</v>
      </c>
      <c r="D27" s="645">
        <v>3950000</v>
      </c>
      <c r="E27" s="645"/>
      <c r="F27" s="655">
        <f>SUM(C27*D27)/1000</f>
        <v>47288.61</v>
      </c>
      <c r="G27" s="645">
        <v>59859</v>
      </c>
      <c r="H27" s="659">
        <v>11.9718</v>
      </c>
      <c r="I27" s="645">
        <v>3950000</v>
      </c>
      <c r="J27" s="645"/>
      <c r="K27" s="645">
        <f>SUM(H27*I27)/1000</f>
        <v>47288.61</v>
      </c>
      <c r="M27" s="123"/>
      <c r="N27" s="123"/>
    </row>
    <row r="28" spans="1:14" ht="13.5" customHeight="1">
      <c r="A28" s="641" t="s">
        <v>933</v>
      </c>
      <c r="B28" s="645">
        <v>59859</v>
      </c>
      <c r="C28" s="645"/>
      <c r="D28" s="645">
        <v>300</v>
      </c>
      <c r="E28" s="645"/>
      <c r="F28" s="655">
        <f>SUM(B28*D28)/1000</f>
        <v>17957.7</v>
      </c>
      <c r="G28" s="645">
        <v>59859</v>
      </c>
      <c r="H28" s="645"/>
      <c r="I28" s="645">
        <v>300</v>
      </c>
      <c r="J28" s="645"/>
      <c r="K28" s="645">
        <f>SUM(G28*I28)/1000</f>
        <v>17957.7</v>
      </c>
      <c r="M28" s="123"/>
      <c r="N28" s="123"/>
    </row>
    <row r="29" spans="1:14" ht="24.75" customHeight="1">
      <c r="A29" s="642" t="s">
        <v>934</v>
      </c>
      <c r="B29" s="645">
        <v>9067</v>
      </c>
      <c r="C29" s="645"/>
      <c r="D29" s="645">
        <v>1200</v>
      </c>
      <c r="E29" s="645"/>
      <c r="F29" s="655">
        <f>SUM(B29*D29)/1000</f>
        <v>10880.4</v>
      </c>
      <c r="G29" s="645">
        <v>9067</v>
      </c>
      <c r="H29" s="645"/>
      <c r="I29" s="645">
        <v>1200</v>
      </c>
      <c r="J29" s="645"/>
      <c r="K29" s="645">
        <f>SUM(G29*I29)/1000</f>
        <v>10880.4</v>
      </c>
      <c r="M29" s="123"/>
      <c r="N29" s="123"/>
    </row>
    <row r="30" spans="1:14" ht="13.5" customHeight="1">
      <c r="A30" s="641" t="s">
        <v>935</v>
      </c>
      <c r="B30" s="645"/>
      <c r="C30" s="645"/>
      <c r="D30" s="645"/>
      <c r="E30" s="645"/>
      <c r="F30" s="655"/>
      <c r="G30" s="645"/>
      <c r="H30" s="645"/>
      <c r="I30" s="645"/>
      <c r="J30" s="645"/>
      <c r="K30" s="645"/>
      <c r="M30" s="123"/>
      <c r="N30" s="123"/>
    </row>
    <row r="31" spans="1:14" ht="13.5" customHeight="1">
      <c r="A31" s="641" t="s">
        <v>936</v>
      </c>
      <c r="B31" s="645"/>
      <c r="C31" s="645">
        <v>1</v>
      </c>
      <c r="D31" s="645">
        <v>2099400</v>
      </c>
      <c r="E31" s="645"/>
      <c r="F31" s="655">
        <f aca="true" t="shared" si="0" ref="F31:F36">SUM(C31*D31)/1000</f>
        <v>2099.4</v>
      </c>
      <c r="G31" s="645"/>
      <c r="H31" s="645">
        <v>1</v>
      </c>
      <c r="I31" s="645">
        <v>2099400</v>
      </c>
      <c r="J31" s="645"/>
      <c r="K31" s="645">
        <f aca="true" t="shared" si="1" ref="K31:K36">SUM(H31*I31)/1000</f>
        <v>2099.4</v>
      </c>
      <c r="M31" s="123"/>
      <c r="N31" s="123"/>
    </row>
    <row r="32" spans="1:14" ht="13.5" customHeight="1">
      <c r="A32" s="641" t="s">
        <v>937</v>
      </c>
      <c r="B32" s="644"/>
      <c r="C32" s="645">
        <v>450</v>
      </c>
      <c r="D32" s="645">
        <v>60896</v>
      </c>
      <c r="E32" s="645"/>
      <c r="F32" s="655">
        <f t="shared" si="0"/>
        <v>27403.2</v>
      </c>
      <c r="G32" s="644"/>
      <c r="H32" s="645">
        <v>450</v>
      </c>
      <c r="I32" s="645">
        <v>60896</v>
      </c>
      <c r="J32" s="645"/>
      <c r="K32" s="645">
        <f t="shared" si="1"/>
        <v>27403.2</v>
      </c>
      <c r="M32" s="123"/>
      <c r="N32" s="123"/>
    </row>
    <row r="33" spans="1:14" ht="13.5" customHeight="1">
      <c r="A33" s="641" t="s">
        <v>938</v>
      </c>
      <c r="B33" s="644"/>
      <c r="C33" s="645">
        <v>65</v>
      </c>
      <c r="D33" s="645">
        <v>188500</v>
      </c>
      <c r="E33" s="645"/>
      <c r="F33" s="655">
        <f t="shared" si="0"/>
        <v>12252.5</v>
      </c>
      <c r="G33" s="644"/>
      <c r="H33" s="645">
        <v>65</v>
      </c>
      <c r="I33" s="645">
        <v>188500</v>
      </c>
      <c r="J33" s="645"/>
      <c r="K33" s="645">
        <f t="shared" si="1"/>
        <v>12252.5</v>
      </c>
      <c r="M33" s="123"/>
      <c r="N33" s="123"/>
    </row>
    <row r="34" spans="1:14" ht="13.5" customHeight="1">
      <c r="A34" s="642" t="s">
        <v>941</v>
      </c>
      <c r="B34" s="660"/>
      <c r="C34" s="645">
        <v>83</v>
      </c>
      <c r="D34" s="645">
        <v>163500</v>
      </c>
      <c r="E34" s="645"/>
      <c r="F34" s="655">
        <f t="shared" si="0"/>
        <v>13570.5</v>
      </c>
      <c r="G34" s="660"/>
      <c r="H34" s="645">
        <v>83</v>
      </c>
      <c r="I34" s="645">
        <v>163500</v>
      </c>
      <c r="J34" s="645"/>
      <c r="K34" s="645">
        <f t="shared" si="1"/>
        <v>13570.5</v>
      </c>
      <c r="M34" s="123"/>
      <c r="N34" s="123"/>
    </row>
    <row r="35" spans="1:14" ht="13.5" customHeight="1">
      <c r="A35" s="642" t="s">
        <v>986</v>
      </c>
      <c r="B35" s="660"/>
      <c r="C35" s="645">
        <v>6</v>
      </c>
      <c r="D35" s="645">
        <v>550000</v>
      </c>
      <c r="E35" s="645"/>
      <c r="F35" s="655">
        <f t="shared" si="0"/>
        <v>3300</v>
      </c>
      <c r="G35" s="660"/>
      <c r="H35" s="645">
        <v>6</v>
      </c>
      <c r="I35" s="645">
        <v>550000</v>
      </c>
      <c r="J35" s="645"/>
      <c r="K35" s="645">
        <f t="shared" si="1"/>
        <v>3300</v>
      </c>
      <c r="M35" s="123"/>
      <c r="N35" s="123"/>
    </row>
    <row r="36" spans="1:14" ht="13.5" customHeight="1">
      <c r="A36" s="642" t="s">
        <v>993</v>
      </c>
      <c r="B36" s="660"/>
      <c r="C36" s="645">
        <v>21</v>
      </c>
      <c r="D36" s="645">
        <v>372000</v>
      </c>
      <c r="E36" s="645"/>
      <c r="F36" s="655">
        <f t="shared" si="0"/>
        <v>7812</v>
      </c>
      <c r="G36" s="660"/>
      <c r="H36" s="645">
        <v>21</v>
      </c>
      <c r="I36" s="645">
        <v>372000</v>
      </c>
      <c r="J36" s="645"/>
      <c r="K36" s="645">
        <f t="shared" si="1"/>
        <v>7812</v>
      </c>
      <c r="M36" s="123"/>
      <c r="N36" s="123"/>
    </row>
    <row r="37" spans="1:14" ht="15" customHeight="1">
      <c r="A37" s="642" t="s">
        <v>994</v>
      </c>
      <c r="B37" s="660"/>
      <c r="C37" s="645"/>
      <c r="D37" s="645"/>
      <c r="E37" s="645"/>
      <c r="F37" s="655"/>
      <c r="G37" s="660"/>
      <c r="H37" s="645"/>
      <c r="I37" s="645"/>
      <c r="J37" s="645"/>
      <c r="K37" s="645"/>
      <c r="M37" s="123"/>
      <c r="N37" s="123"/>
    </row>
    <row r="38" spans="1:14" ht="13.5" customHeight="1">
      <c r="A38" s="641" t="s">
        <v>995</v>
      </c>
      <c r="B38" s="641"/>
      <c r="C38" s="641">
        <v>258</v>
      </c>
      <c r="D38" s="644">
        <v>494100</v>
      </c>
      <c r="E38" s="644"/>
      <c r="F38" s="655">
        <f>SUM(C38*D38)/1000</f>
        <v>127477.8</v>
      </c>
      <c r="G38" s="641"/>
      <c r="H38" s="641">
        <v>258</v>
      </c>
      <c r="I38" s="644">
        <v>494100</v>
      </c>
      <c r="J38" s="644"/>
      <c r="K38" s="645">
        <f>SUM(H38*I38)/1000</f>
        <v>127477.8</v>
      </c>
      <c r="M38" s="123"/>
      <c r="N38" s="123"/>
    </row>
    <row r="39" spans="1:14" ht="13.5" customHeight="1">
      <c r="A39" s="641" t="s">
        <v>996</v>
      </c>
      <c r="B39" s="641"/>
      <c r="C39" s="648">
        <v>4</v>
      </c>
      <c r="D39" s="645">
        <v>741150</v>
      </c>
      <c r="E39" s="645"/>
      <c r="F39" s="655">
        <f>SUM(C39*D39)/1000</f>
        <v>2964.6</v>
      </c>
      <c r="G39" s="641"/>
      <c r="H39" s="648">
        <v>4</v>
      </c>
      <c r="I39" s="645">
        <v>741150</v>
      </c>
      <c r="J39" s="645"/>
      <c r="K39" s="645">
        <f>SUM(H39*I39)/1000</f>
        <v>2964.6</v>
      </c>
      <c r="M39" s="123"/>
      <c r="N39" s="123"/>
    </row>
    <row r="40" spans="1:11" ht="13.5" customHeight="1">
      <c r="A40" s="641" t="s">
        <v>296</v>
      </c>
      <c r="B40" s="661"/>
      <c r="C40" s="645">
        <v>20</v>
      </c>
      <c r="D40" s="645">
        <v>518805</v>
      </c>
      <c r="E40" s="645"/>
      <c r="F40" s="655">
        <f>SUM(C40*D40)/1000</f>
        <v>10376.1</v>
      </c>
      <c r="G40" s="661"/>
      <c r="H40" s="645">
        <v>20</v>
      </c>
      <c r="I40" s="645">
        <v>518805</v>
      </c>
      <c r="J40" s="645"/>
      <c r="K40" s="645">
        <f>SUM(H40*I40)/1000</f>
        <v>10376.1</v>
      </c>
    </row>
    <row r="41" spans="1:11" ht="13.5" customHeight="1">
      <c r="A41" s="641" t="s">
        <v>997</v>
      </c>
      <c r="B41" s="661"/>
      <c r="C41" s="645">
        <v>1</v>
      </c>
      <c r="D41" s="645">
        <v>635650</v>
      </c>
      <c r="E41" s="645"/>
      <c r="F41" s="655">
        <f>SUM(C41*D41)/1000</f>
        <v>635.65</v>
      </c>
      <c r="G41" s="661"/>
      <c r="H41" s="645">
        <v>1</v>
      </c>
      <c r="I41" s="645">
        <v>635650</v>
      </c>
      <c r="J41" s="645"/>
      <c r="K41" s="645">
        <f>SUM(H41*I41)/1000</f>
        <v>635.65</v>
      </c>
    </row>
    <row r="42" spans="1:11" ht="24.75" customHeight="1">
      <c r="A42" s="642" t="s">
        <v>998</v>
      </c>
      <c r="B42" s="644"/>
      <c r="C42" s="645"/>
      <c r="D42" s="645"/>
      <c r="E42" s="645"/>
      <c r="F42" s="655"/>
      <c r="G42" s="644"/>
      <c r="H42" s="645"/>
      <c r="I42" s="645"/>
      <c r="J42" s="645"/>
      <c r="K42" s="645"/>
    </row>
    <row r="43" spans="1:11" ht="15" customHeight="1">
      <c r="A43" s="642" t="s">
        <v>999</v>
      </c>
      <c r="B43" s="644"/>
      <c r="C43" s="645">
        <v>37</v>
      </c>
      <c r="D43" s="645">
        <v>2606040</v>
      </c>
      <c r="E43" s="645"/>
      <c r="F43" s="655">
        <f>SUM(C43*D43)/1000</f>
        <v>96423.48</v>
      </c>
      <c r="G43" s="644"/>
      <c r="H43" s="645">
        <v>37</v>
      </c>
      <c r="I43" s="645">
        <v>2606040</v>
      </c>
      <c r="J43" s="645"/>
      <c r="K43" s="645">
        <f>SUM(H43*I43)/1000</f>
        <v>96423.48</v>
      </c>
    </row>
    <row r="44" spans="1:11" ht="13.5" customHeight="1">
      <c r="A44" s="641" t="s">
        <v>1000</v>
      </c>
      <c r="B44" s="644"/>
      <c r="C44" s="645"/>
      <c r="D44" s="645"/>
      <c r="E44" s="645"/>
      <c r="F44" s="655">
        <v>18351</v>
      </c>
      <c r="G44" s="644"/>
      <c r="H44" s="645"/>
      <c r="I44" s="645"/>
      <c r="J44" s="645"/>
      <c r="K44" s="645">
        <v>18351</v>
      </c>
    </row>
    <row r="45" spans="1:11" ht="13.5" customHeight="1">
      <c r="A45" s="662" t="s">
        <v>297</v>
      </c>
      <c r="B45" s="645"/>
      <c r="C45" s="645"/>
      <c r="D45" s="658"/>
      <c r="E45" s="658"/>
      <c r="F45" s="655"/>
      <c r="G45" s="645"/>
      <c r="H45" s="645"/>
      <c r="I45" s="658"/>
      <c r="J45" s="658"/>
      <c r="K45" s="645"/>
    </row>
    <row r="46" spans="1:11" ht="13.5" customHeight="1">
      <c r="A46" s="646" t="s">
        <v>298</v>
      </c>
      <c r="B46" s="645">
        <v>113.67</v>
      </c>
      <c r="C46" s="645"/>
      <c r="D46" s="645">
        <v>1632000</v>
      </c>
      <c r="E46" s="658"/>
      <c r="F46" s="655">
        <v>185509</v>
      </c>
      <c r="G46" s="645">
        <v>113.67</v>
      </c>
      <c r="H46" s="645"/>
      <c r="I46" s="645">
        <v>1632000</v>
      </c>
      <c r="J46" s="658"/>
      <c r="K46" s="645">
        <v>185509</v>
      </c>
    </row>
    <row r="47" spans="1:11" ht="13.5" customHeight="1">
      <c r="A47" s="646" t="s">
        <v>299</v>
      </c>
      <c r="B47" s="645"/>
      <c r="C47" s="645"/>
      <c r="D47" s="658"/>
      <c r="E47" s="658"/>
      <c r="F47" s="655">
        <v>44543</v>
      </c>
      <c r="G47" s="645"/>
      <c r="H47" s="645"/>
      <c r="I47" s="658"/>
      <c r="J47" s="658"/>
      <c r="K47" s="645">
        <v>44543</v>
      </c>
    </row>
    <row r="48" spans="1:11" ht="13.5" customHeight="1">
      <c r="A48" s="646" t="s">
        <v>60</v>
      </c>
      <c r="B48" s="645"/>
      <c r="C48" s="645"/>
      <c r="D48" s="658"/>
      <c r="E48" s="658"/>
      <c r="F48" s="655"/>
      <c r="G48" s="645"/>
      <c r="H48" s="645"/>
      <c r="I48" s="658"/>
      <c r="J48" s="658"/>
      <c r="K48" s="645">
        <v>106170</v>
      </c>
    </row>
    <row r="49" spans="1:11" ht="13.5" customHeight="1">
      <c r="A49" s="646" t="s">
        <v>61</v>
      </c>
      <c r="B49" s="645"/>
      <c r="C49" s="645"/>
      <c r="D49" s="658"/>
      <c r="E49" s="658"/>
      <c r="F49" s="655"/>
      <c r="G49" s="645"/>
      <c r="H49" s="645"/>
      <c r="I49" s="658"/>
      <c r="J49" s="658"/>
      <c r="K49" s="645">
        <v>18204</v>
      </c>
    </row>
    <row r="50" spans="1:11" ht="13.5" customHeight="1">
      <c r="A50" s="647" t="s">
        <v>1001</v>
      </c>
      <c r="B50" s="644"/>
      <c r="C50" s="645"/>
      <c r="D50" s="663"/>
      <c r="E50" s="663"/>
      <c r="F50" s="655"/>
      <c r="G50" s="644"/>
      <c r="H50" s="645"/>
      <c r="I50" s="663"/>
      <c r="J50" s="663"/>
      <c r="K50" s="645"/>
    </row>
    <row r="51" spans="1:11" ht="13.5" customHeight="1">
      <c r="A51" s="642" t="s">
        <v>1002</v>
      </c>
      <c r="B51" s="644"/>
      <c r="C51" s="645"/>
      <c r="D51" s="663"/>
      <c r="E51" s="663"/>
      <c r="F51" s="655">
        <v>101100</v>
      </c>
      <c r="G51" s="644"/>
      <c r="H51" s="645"/>
      <c r="I51" s="663"/>
      <c r="J51" s="663"/>
      <c r="K51" s="645">
        <v>101100</v>
      </c>
    </row>
    <row r="52" spans="1:11" ht="24.75" customHeight="1">
      <c r="A52" s="642" t="s">
        <v>1003</v>
      </c>
      <c r="B52" s="644"/>
      <c r="C52" s="645"/>
      <c r="D52" s="663"/>
      <c r="E52" s="663"/>
      <c r="F52" s="655">
        <v>112600</v>
      </c>
      <c r="G52" s="644"/>
      <c r="H52" s="645"/>
      <c r="I52" s="663"/>
      <c r="J52" s="663"/>
      <c r="K52" s="645">
        <v>112600</v>
      </c>
    </row>
    <row r="53" spans="1:11" ht="13.5" customHeight="1">
      <c r="A53" s="642" t="s">
        <v>1004</v>
      </c>
      <c r="B53" s="664">
        <v>59097</v>
      </c>
      <c r="C53" s="645"/>
      <c r="D53" s="663">
        <v>400</v>
      </c>
      <c r="E53" s="663"/>
      <c r="F53" s="655">
        <f>SUM(B53*D53)/1000</f>
        <v>23638.8</v>
      </c>
      <c r="G53" s="664">
        <v>59097</v>
      </c>
      <c r="H53" s="645"/>
      <c r="I53" s="663">
        <v>400</v>
      </c>
      <c r="J53" s="663"/>
      <c r="K53" s="645">
        <f>SUM(G53*I53)/1000</f>
        <v>23638.8</v>
      </c>
    </row>
    <row r="54" spans="1:11" ht="24.75" customHeight="1">
      <c r="A54" s="642" t="s">
        <v>1005</v>
      </c>
      <c r="B54" s="644"/>
      <c r="C54" s="645"/>
      <c r="D54" s="645"/>
      <c r="E54" s="645"/>
      <c r="F54" s="655">
        <v>167444</v>
      </c>
      <c r="G54" s="644"/>
      <c r="H54" s="645"/>
      <c r="I54" s="645"/>
      <c r="J54" s="645"/>
      <c r="K54" s="645">
        <v>167456</v>
      </c>
    </row>
    <row r="55" spans="1:11" ht="15" customHeight="1">
      <c r="A55" s="642" t="s">
        <v>1006</v>
      </c>
      <c r="B55" s="644"/>
      <c r="C55" s="645"/>
      <c r="D55" s="645"/>
      <c r="E55" s="645"/>
      <c r="F55" s="655"/>
      <c r="G55" s="644"/>
      <c r="H55" s="645"/>
      <c r="I55" s="645"/>
      <c r="J55" s="645"/>
      <c r="K55" s="645"/>
    </row>
    <row r="56" spans="1:11" ht="15" customHeight="1">
      <c r="A56" s="642" t="s">
        <v>1007</v>
      </c>
      <c r="B56" s="644"/>
      <c r="C56" s="645"/>
      <c r="D56" s="645"/>
      <c r="E56" s="645"/>
      <c r="F56" s="655"/>
      <c r="G56" s="644"/>
      <c r="H56" s="645"/>
      <c r="I56" s="645"/>
      <c r="J56" s="645"/>
      <c r="K56" s="645"/>
    </row>
    <row r="57" spans="1:11" ht="15" customHeight="1">
      <c r="A57" s="648" t="s">
        <v>300</v>
      </c>
      <c r="B57" s="644"/>
      <c r="C57" s="645"/>
      <c r="D57" s="645"/>
      <c r="E57" s="645"/>
      <c r="F57" s="655">
        <v>246600</v>
      </c>
      <c r="G57" s="644"/>
      <c r="H57" s="645"/>
      <c r="I57" s="645"/>
      <c r="J57" s="645"/>
      <c r="K57" s="645">
        <v>246600</v>
      </c>
    </row>
    <row r="58" spans="1:11" ht="15" customHeight="1">
      <c r="A58" s="649" t="s">
        <v>1008</v>
      </c>
      <c r="B58" s="644"/>
      <c r="C58" s="645"/>
      <c r="D58" s="645"/>
      <c r="E58" s="645"/>
      <c r="F58" s="655"/>
      <c r="G58" s="644"/>
      <c r="H58" s="645"/>
      <c r="I58" s="645"/>
      <c r="J58" s="645"/>
      <c r="K58" s="645"/>
    </row>
    <row r="59" spans="1:11" ht="15" customHeight="1">
      <c r="A59" s="642" t="s">
        <v>53</v>
      </c>
      <c r="B59" s="644"/>
      <c r="C59" s="645"/>
      <c r="D59" s="645"/>
      <c r="E59" s="645"/>
      <c r="F59" s="655">
        <v>8699</v>
      </c>
      <c r="G59" s="644"/>
      <c r="H59" s="645"/>
      <c r="I59" s="645"/>
      <c r="J59" s="645"/>
      <c r="K59" s="645">
        <v>8699</v>
      </c>
    </row>
    <row r="60" spans="1:11" ht="15" customHeight="1">
      <c r="A60" s="642" t="s">
        <v>54</v>
      </c>
      <c r="B60" s="644"/>
      <c r="C60" s="644">
        <v>6955723</v>
      </c>
      <c r="D60" s="657">
        <v>1.5</v>
      </c>
      <c r="E60" s="657"/>
      <c r="F60" s="655">
        <f>SUM(C60*D60)/1000</f>
        <v>10433.5845</v>
      </c>
      <c r="G60" s="644"/>
      <c r="H60" s="644">
        <v>6955723</v>
      </c>
      <c r="I60" s="657">
        <v>1.5</v>
      </c>
      <c r="J60" s="657"/>
      <c r="K60" s="645">
        <f>SUM(H60*I60)/1000</f>
        <v>10433.5845</v>
      </c>
    </row>
    <row r="61" spans="1:11" ht="15" customHeight="1">
      <c r="A61" s="642" t="s">
        <v>56</v>
      </c>
      <c r="B61" s="644"/>
      <c r="C61" s="644"/>
      <c r="D61" s="657"/>
      <c r="E61" s="657"/>
      <c r="F61" s="655"/>
      <c r="G61" s="644"/>
      <c r="H61" s="644"/>
      <c r="I61" s="657"/>
      <c r="J61" s="657"/>
      <c r="K61" s="645">
        <v>10341</v>
      </c>
    </row>
    <row r="62" spans="1:11" ht="15" customHeight="1">
      <c r="A62" s="642" t="s">
        <v>58</v>
      </c>
      <c r="B62" s="644"/>
      <c r="C62" s="644"/>
      <c r="D62" s="657"/>
      <c r="E62" s="657"/>
      <c r="F62" s="655"/>
      <c r="G62" s="644"/>
      <c r="H62" s="644"/>
      <c r="I62" s="657"/>
      <c r="J62" s="657"/>
      <c r="K62" s="645">
        <v>8084</v>
      </c>
    </row>
    <row r="63" spans="1:11" ht="15" customHeight="1">
      <c r="A63" s="642" t="s">
        <v>57</v>
      </c>
      <c r="B63" s="644"/>
      <c r="C63" s="644"/>
      <c r="D63" s="657"/>
      <c r="E63" s="657"/>
      <c r="F63" s="655"/>
      <c r="G63" s="644"/>
      <c r="H63" s="644"/>
      <c r="I63" s="657"/>
      <c r="J63" s="657"/>
      <c r="K63" s="645">
        <v>24</v>
      </c>
    </row>
    <row r="64" spans="1:11" ht="15" customHeight="1">
      <c r="A64" s="642" t="s">
        <v>55</v>
      </c>
      <c r="B64" s="644"/>
      <c r="C64" s="644"/>
      <c r="D64" s="657"/>
      <c r="E64" s="657"/>
      <c r="F64" s="655"/>
      <c r="G64" s="644"/>
      <c r="H64" s="644"/>
      <c r="I64" s="657"/>
      <c r="J64" s="657"/>
      <c r="K64" s="645">
        <v>33986</v>
      </c>
    </row>
    <row r="65" spans="1:11" ht="15" customHeight="1">
      <c r="A65" s="642" t="s">
        <v>59</v>
      </c>
      <c r="B65" s="644"/>
      <c r="C65" s="644"/>
      <c r="D65" s="657"/>
      <c r="E65" s="657"/>
      <c r="F65" s="655"/>
      <c r="G65" s="644"/>
      <c r="H65" s="644"/>
      <c r="I65" s="657"/>
      <c r="J65" s="657"/>
      <c r="K65" s="645">
        <v>6000</v>
      </c>
    </row>
    <row r="66" spans="1:11" ht="15" customHeight="1">
      <c r="A66" s="647" t="s">
        <v>50</v>
      </c>
      <c r="B66" s="644"/>
      <c r="C66" s="644"/>
      <c r="D66" s="657"/>
      <c r="E66" s="657"/>
      <c r="F66" s="655"/>
      <c r="G66" s="644"/>
      <c r="H66" s="644"/>
      <c r="I66" s="657"/>
      <c r="J66" s="657"/>
      <c r="K66" s="645"/>
    </row>
    <row r="67" spans="1:11" ht="15" customHeight="1">
      <c r="A67" s="642" t="s">
        <v>51</v>
      </c>
      <c r="B67" s="644"/>
      <c r="C67" s="644"/>
      <c r="D67" s="657"/>
      <c r="E67" s="657"/>
      <c r="F67" s="655"/>
      <c r="G67" s="644"/>
      <c r="H67" s="644"/>
      <c r="I67" s="657"/>
      <c r="J67" s="657"/>
      <c r="K67" s="645">
        <v>26722</v>
      </c>
    </row>
    <row r="68" spans="1:11" ht="15" customHeight="1">
      <c r="A68" s="642" t="s">
        <v>52</v>
      </c>
      <c r="B68" s="644"/>
      <c r="C68" s="644"/>
      <c r="D68" s="657"/>
      <c r="E68" s="657"/>
      <c r="F68" s="655"/>
      <c r="G68" s="644"/>
      <c r="H68" s="644"/>
      <c r="I68" s="657"/>
      <c r="J68" s="657"/>
      <c r="K68" s="645">
        <v>1242223</v>
      </c>
    </row>
    <row r="69" spans="1:14" s="125" customFormat="1" ht="13.5" customHeight="1">
      <c r="A69" s="650" t="s">
        <v>1009</v>
      </c>
      <c r="B69" s="651"/>
      <c r="C69" s="651"/>
      <c r="D69" s="651"/>
      <c r="E69" s="651"/>
      <c r="F69" s="653">
        <f>SUM(F4:F60)</f>
        <v>2399699.4711769996</v>
      </c>
      <c r="G69" s="651"/>
      <c r="H69" s="651"/>
      <c r="I69" s="651"/>
      <c r="J69" s="651"/>
      <c r="K69" s="651">
        <f>SUM(K4:K68)</f>
        <v>3851464.4711769996</v>
      </c>
      <c r="L69" s="124"/>
      <c r="M69" s="124"/>
      <c r="N69" s="124"/>
    </row>
    <row r="70" spans="1:6" ht="12.75" customHeight="1">
      <c r="A70" s="126"/>
      <c r="B70" s="126"/>
      <c r="C70" s="126"/>
      <c r="D70" s="126"/>
      <c r="E70" s="126"/>
      <c r="F70" s="132"/>
    </row>
    <row r="71" spans="1:6" ht="18" customHeight="1">
      <c r="A71" s="127"/>
      <c r="B71" s="128"/>
      <c r="C71" s="128"/>
      <c r="D71" s="128"/>
      <c r="E71" s="128"/>
      <c r="F71" s="133"/>
    </row>
    <row r="72" ht="12" hidden="1"/>
    <row r="73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9.375" style="49" customWidth="1"/>
    <col min="2" max="2" width="50.50390625" style="49" customWidth="1"/>
    <col min="3" max="3" width="16.375" style="49" customWidth="1"/>
    <col min="4" max="4" width="14.50390625" style="49" customWidth="1"/>
    <col min="5" max="5" width="15.125" style="49" customWidth="1"/>
    <col min="6" max="16384" width="9.375" style="49" customWidth="1"/>
  </cols>
  <sheetData>
    <row r="1" spans="1:5" s="135" customFormat="1" ht="49.5" customHeight="1" thickBot="1">
      <c r="A1" s="134" t="s">
        <v>551</v>
      </c>
      <c r="B1" s="134" t="s">
        <v>327</v>
      </c>
      <c r="C1" s="134" t="s">
        <v>709</v>
      </c>
      <c r="D1" s="633" t="s">
        <v>1010</v>
      </c>
      <c r="E1" s="634" t="s">
        <v>710</v>
      </c>
    </row>
    <row r="2" spans="1:5" s="135" customFormat="1" ht="19.5" customHeight="1">
      <c r="A2" s="630"/>
      <c r="B2" s="631" t="s">
        <v>430</v>
      </c>
      <c r="C2" s="630"/>
      <c r="D2" s="632"/>
      <c r="E2" s="632"/>
    </row>
    <row r="3" spans="1:5" s="140" customFormat="1" ht="12.75">
      <c r="A3" s="137" t="s">
        <v>610</v>
      </c>
      <c r="B3" s="138" t="s">
        <v>1011</v>
      </c>
      <c r="C3" s="139">
        <v>2951765</v>
      </c>
      <c r="D3" s="26">
        <v>71957</v>
      </c>
      <c r="E3" s="26">
        <f>SUM(C3:D3)</f>
        <v>3023722</v>
      </c>
    </row>
    <row r="4" spans="1:5" s="72" customFormat="1" ht="12.75">
      <c r="A4" s="137" t="s">
        <v>611</v>
      </c>
      <c r="B4" s="141" t="s">
        <v>1012</v>
      </c>
      <c r="C4" s="142">
        <v>809399</v>
      </c>
      <c r="D4" s="24">
        <v>14603</v>
      </c>
      <c r="E4" s="26">
        <f>SUM(C4:D4)</f>
        <v>824002</v>
      </c>
    </row>
    <row r="5" spans="1:5" s="72" customFormat="1" ht="12.75">
      <c r="A5" s="137" t="s">
        <v>612</v>
      </c>
      <c r="B5" s="143" t="s">
        <v>1013</v>
      </c>
      <c r="C5" s="142">
        <v>4417840</v>
      </c>
      <c r="D5" s="24">
        <v>254286</v>
      </c>
      <c r="E5" s="26">
        <f>SUM(C5:D5)</f>
        <v>4672126</v>
      </c>
    </row>
    <row r="6" spans="1:5" s="72" customFormat="1" ht="12.75">
      <c r="A6" s="137" t="s">
        <v>613</v>
      </c>
      <c r="B6" s="143" t="s">
        <v>432</v>
      </c>
      <c r="C6" s="144">
        <v>143280</v>
      </c>
      <c r="D6" s="24">
        <v>106389</v>
      </c>
      <c r="E6" s="26">
        <f>SUM(C6:D6)</f>
        <v>249669</v>
      </c>
    </row>
    <row r="7" spans="1:5" s="72" customFormat="1" ht="12.75">
      <c r="A7" s="137" t="s">
        <v>614</v>
      </c>
      <c r="B7" s="143" t="s">
        <v>1014</v>
      </c>
      <c r="C7" s="142">
        <v>1583144</v>
      </c>
      <c r="D7" s="24">
        <v>175899</v>
      </c>
      <c r="E7" s="26">
        <f>SUM(C7:D7)</f>
        <v>1759043</v>
      </c>
    </row>
    <row r="8" spans="1:5" s="72" customFormat="1" ht="13.5">
      <c r="A8" s="137"/>
      <c r="B8" s="136" t="s">
        <v>1015</v>
      </c>
      <c r="C8" s="145">
        <f>SUM(C3:C7)</f>
        <v>9905428</v>
      </c>
      <c r="D8" s="145">
        <f>SUM(D3:D7)</f>
        <v>623134</v>
      </c>
      <c r="E8" s="145">
        <f>SUM(E3:E7)</f>
        <v>10528562</v>
      </c>
    </row>
    <row r="9" spans="1:5" s="72" customFormat="1" ht="12.75">
      <c r="A9" s="147" t="s">
        <v>615</v>
      </c>
      <c r="B9" s="142" t="s">
        <v>1016</v>
      </c>
      <c r="C9" s="142">
        <v>6800899</v>
      </c>
      <c r="D9" s="24">
        <v>454634</v>
      </c>
      <c r="E9" s="26">
        <f>SUM(C9:D9)</f>
        <v>7255533</v>
      </c>
    </row>
    <row r="10" spans="1:5" s="72" customFormat="1" ht="12.75">
      <c r="A10" s="147" t="s">
        <v>616</v>
      </c>
      <c r="B10" s="142" t="s">
        <v>1017</v>
      </c>
      <c r="C10" s="142">
        <v>701881</v>
      </c>
      <c r="D10" s="24">
        <v>37124</v>
      </c>
      <c r="E10" s="26">
        <f>SUM(C10:D10)</f>
        <v>739005</v>
      </c>
    </row>
    <row r="11" spans="1:5" s="72" customFormat="1" ht="12.75">
      <c r="A11" s="147" t="s">
        <v>617</v>
      </c>
      <c r="B11" s="142" t="s">
        <v>433</v>
      </c>
      <c r="C11" s="144">
        <v>516142</v>
      </c>
      <c r="D11" s="24">
        <v>298912</v>
      </c>
      <c r="E11" s="26">
        <f>SUM(C11:D11)</f>
        <v>815054</v>
      </c>
    </row>
    <row r="12" spans="1:5" s="72" customFormat="1" ht="13.5">
      <c r="A12" s="147"/>
      <c r="B12" s="146" t="s">
        <v>1019</v>
      </c>
      <c r="C12" s="148">
        <f>SUM(C9:C11)</f>
        <v>8018922</v>
      </c>
      <c r="D12" s="148">
        <f>SUM(D9:D11)</f>
        <v>790670</v>
      </c>
      <c r="E12" s="148">
        <f>SUM(E9:E11)</f>
        <v>8809592</v>
      </c>
    </row>
    <row r="13" spans="1:5" s="72" customFormat="1" ht="18" customHeight="1">
      <c r="A13" s="147" t="s">
        <v>618</v>
      </c>
      <c r="B13" s="146" t="s">
        <v>620</v>
      </c>
      <c r="C13" s="148">
        <f>SUM(C8+C12)</f>
        <v>17924350</v>
      </c>
      <c r="D13" s="148">
        <f>SUM(D8+D12)</f>
        <v>1413804</v>
      </c>
      <c r="E13" s="148">
        <f>SUM(E8+E12)</f>
        <v>19338154</v>
      </c>
    </row>
    <row r="14" spans="1:5" s="72" customFormat="1" ht="16.5" customHeight="1">
      <c r="A14" s="147" t="s">
        <v>621</v>
      </c>
      <c r="B14" s="146" t="s">
        <v>434</v>
      </c>
      <c r="C14" s="148">
        <v>34668</v>
      </c>
      <c r="D14" s="635">
        <v>1163268</v>
      </c>
      <c r="E14" s="148">
        <f>SUM(C14:D14)</f>
        <v>1197936</v>
      </c>
    </row>
    <row r="15" spans="1:5" s="74" customFormat="1" ht="18.75" customHeight="1">
      <c r="A15" s="149"/>
      <c r="B15" s="150" t="s">
        <v>1020</v>
      </c>
      <c r="C15" s="151">
        <f>SUM(C13:C14)</f>
        <v>17959018</v>
      </c>
      <c r="D15" s="151">
        <f>SUM(D13:D14)</f>
        <v>2577072</v>
      </c>
      <c r="E15" s="151">
        <f>SUM(E13:E14)</f>
        <v>20536090</v>
      </c>
    </row>
    <row r="16" spans="1:3" s="48" customFormat="1" ht="12.75">
      <c r="A16" s="152"/>
      <c r="B16" s="153"/>
      <c r="C16" s="153"/>
    </row>
    <row r="17" spans="1:3" s="17" customFormat="1" ht="12.75">
      <c r="A17" s="152"/>
      <c r="B17" s="152"/>
      <c r="C17" s="152"/>
    </row>
    <row r="18" spans="1:3" s="17" customFormat="1" ht="12.75">
      <c r="A18" s="152"/>
      <c r="B18" s="152"/>
      <c r="C18" s="152"/>
    </row>
    <row r="19" spans="1:3" s="17" customFormat="1" ht="12.75">
      <c r="A19" s="152"/>
      <c r="B19" s="152"/>
      <c r="C19" s="152"/>
    </row>
    <row r="20" spans="1:3" s="17" customFormat="1" ht="12.75">
      <c r="A20" s="152"/>
      <c r="B20" s="152"/>
      <c r="C20" s="152"/>
    </row>
    <row r="21" spans="1:3" s="17" customFormat="1" ht="12.75">
      <c r="A21" s="152"/>
      <c r="B21" s="152"/>
      <c r="C21" s="152"/>
    </row>
    <row r="22" spans="1:3" s="17" customFormat="1" ht="12.75">
      <c r="A22" s="152"/>
      <c r="B22" s="152"/>
      <c r="C22" s="152"/>
    </row>
    <row r="23" spans="1:3" s="17" customFormat="1" ht="12.75">
      <c r="A23" s="152"/>
      <c r="B23" s="152"/>
      <c r="C23" s="152"/>
    </row>
    <row r="24" spans="1:3" s="17" customFormat="1" ht="12.75">
      <c r="A24" s="152"/>
      <c r="B24" s="152"/>
      <c r="C24" s="152"/>
    </row>
    <row r="25" spans="1:3" s="17" customFormat="1" ht="12.75">
      <c r="A25" s="152"/>
      <c r="B25" s="152"/>
      <c r="C25" s="152"/>
    </row>
    <row r="26" spans="1:3" s="17" customFormat="1" ht="12.75">
      <c r="A26" s="154"/>
      <c r="B26" s="152"/>
      <c r="C26" s="152"/>
    </row>
    <row r="27" spans="1:3" ht="12.75">
      <c r="A27" s="154"/>
      <c r="B27" s="154"/>
      <c r="C27" s="154"/>
    </row>
    <row r="28" spans="1:3" ht="12.75">
      <c r="A28" s="154"/>
      <c r="B28" s="154"/>
      <c r="C28" s="154"/>
    </row>
    <row r="29" spans="1:3" ht="12.75">
      <c r="A29" s="154"/>
      <c r="B29" s="154"/>
      <c r="C29" s="154"/>
    </row>
    <row r="30" spans="1:3" ht="12.75">
      <c r="A30" s="154"/>
      <c r="B30" s="154"/>
      <c r="C30" s="154"/>
    </row>
    <row r="31" spans="1:3" ht="12.75">
      <c r="A31" s="154"/>
      <c r="B31" s="154"/>
      <c r="C31" s="154"/>
    </row>
    <row r="32" spans="2:3" ht="12.75">
      <c r="B32" s="154"/>
      <c r="C32" s="154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5.375" style="51" customWidth="1"/>
    <col min="2" max="2" width="7.00390625" style="51" customWidth="1"/>
    <col min="3" max="3" width="32.00390625" style="51" customWidth="1"/>
    <col min="4" max="4" width="11.50390625" style="51" customWidth="1"/>
    <col min="5" max="5" width="14.875" style="51" customWidth="1"/>
    <col min="6" max="6" width="11.625" style="51" customWidth="1"/>
    <col min="7" max="7" width="10.375" style="51" customWidth="1"/>
    <col min="8" max="8" width="11.875" style="51" customWidth="1"/>
    <col min="9" max="9" width="12.00390625" style="51" customWidth="1"/>
    <col min="10" max="11" width="10.875" style="51" customWidth="1"/>
    <col min="12" max="12" width="12.50390625" style="51" customWidth="1"/>
    <col min="13" max="13" width="12.625" style="51" customWidth="1"/>
    <col min="14" max="14" width="15.625" style="51" customWidth="1"/>
    <col min="15" max="16384" width="9.375" style="51" customWidth="1"/>
  </cols>
  <sheetData>
    <row r="1" spans="1:14" s="52" customFormat="1" ht="42" customHeight="1">
      <c r="A1" s="756" t="s">
        <v>429</v>
      </c>
      <c r="B1" s="756" t="s">
        <v>707</v>
      </c>
      <c r="C1" s="760" t="s">
        <v>327</v>
      </c>
      <c r="D1" s="756" t="s">
        <v>436</v>
      </c>
      <c r="E1" s="756"/>
      <c r="F1" s="756"/>
      <c r="G1" s="756"/>
      <c r="H1" s="756"/>
      <c r="I1" s="756"/>
      <c r="J1" s="756"/>
      <c r="K1" s="757" t="s">
        <v>437</v>
      </c>
      <c r="L1" s="756"/>
      <c r="M1" s="756"/>
      <c r="N1" s="758" t="s">
        <v>330</v>
      </c>
    </row>
    <row r="2" spans="1:14" s="52" customFormat="1" ht="84.75" customHeight="1">
      <c r="A2" s="756"/>
      <c r="B2" s="756"/>
      <c r="C2" s="760"/>
      <c r="D2" s="584" t="s">
        <v>439</v>
      </c>
      <c r="E2" s="584" t="s">
        <v>440</v>
      </c>
      <c r="F2" s="585" t="s">
        <v>1024</v>
      </c>
      <c r="G2" s="584" t="s">
        <v>441</v>
      </c>
      <c r="H2" s="584" t="s">
        <v>115</v>
      </c>
      <c r="I2" s="584" t="s">
        <v>442</v>
      </c>
      <c r="J2" s="584" t="s">
        <v>443</v>
      </c>
      <c r="K2" s="584" t="s">
        <v>201</v>
      </c>
      <c r="L2" s="584" t="s">
        <v>444</v>
      </c>
      <c r="M2" s="584" t="s">
        <v>446</v>
      </c>
      <c r="N2" s="759"/>
    </row>
    <row r="3" spans="1:14" ht="16.5" customHeight="1">
      <c r="A3" s="166">
        <v>1</v>
      </c>
      <c r="B3" s="113"/>
      <c r="C3" s="113" t="s">
        <v>116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 customHeight="1">
      <c r="A4" s="60"/>
      <c r="B4" s="60">
        <v>12</v>
      </c>
      <c r="C4" s="59" t="s">
        <v>1026</v>
      </c>
      <c r="D4" s="61">
        <f>0+'11'!D8</f>
        <v>19</v>
      </c>
      <c r="E4" s="61">
        <f>0+'11'!E8</f>
        <v>0</v>
      </c>
      <c r="F4" s="61">
        <f>0+'11'!F8</f>
        <v>0</v>
      </c>
      <c r="G4" s="61">
        <f>12325+'11'!G8</f>
        <v>12325</v>
      </c>
      <c r="H4" s="61">
        <f>0+'11'!H8</f>
        <v>0</v>
      </c>
      <c r="I4" s="61">
        <f>0+'11'!I8</f>
        <v>0</v>
      </c>
      <c r="J4" s="61">
        <f>0+'11'!J8</f>
        <v>0</v>
      </c>
      <c r="K4" s="61">
        <f>0+'11'!K8</f>
        <v>0</v>
      </c>
      <c r="L4" s="61">
        <f>0+'11'!L8</f>
        <v>0</v>
      </c>
      <c r="M4" s="61">
        <f>0+'11'!M8</f>
        <v>0</v>
      </c>
      <c r="N4" s="61">
        <f>SUM(D4:M4)</f>
        <v>12344</v>
      </c>
    </row>
    <row r="5" spans="1:14" ht="16.5" customHeight="1">
      <c r="A5" s="60"/>
      <c r="B5" s="60">
        <v>13</v>
      </c>
      <c r="C5" s="59" t="s">
        <v>1027</v>
      </c>
      <c r="D5" s="61">
        <f>37235+'11'!D18</f>
        <v>47915</v>
      </c>
      <c r="E5" s="61">
        <f>200441+'11'!E18</f>
        <v>200441</v>
      </c>
      <c r="F5" s="61">
        <f>0+'11'!F18</f>
        <v>0</v>
      </c>
      <c r="G5" s="61">
        <f>5461+'11'!G18</f>
        <v>5461</v>
      </c>
      <c r="H5" s="61">
        <f>0+'11'!H18</f>
        <v>0</v>
      </c>
      <c r="I5" s="61">
        <f>0+'11'!I18</f>
        <v>0</v>
      </c>
      <c r="J5" s="61">
        <f>0+'11'!J18</f>
        <v>0</v>
      </c>
      <c r="K5" s="61">
        <f>0+'11'!K18</f>
        <v>0</v>
      </c>
      <c r="L5" s="61">
        <f>0+'11'!L18</f>
        <v>0</v>
      </c>
      <c r="M5" s="61">
        <f>0+'11'!M18</f>
        <v>0</v>
      </c>
      <c r="N5" s="61">
        <f aca="true" t="shared" si="0" ref="N5:N12">SUM(D5:M5)</f>
        <v>253817</v>
      </c>
    </row>
    <row r="6" spans="1:14" ht="16.5" customHeight="1">
      <c r="A6" s="60"/>
      <c r="B6" s="60">
        <v>15</v>
      </c>
      <c r="C6" s="59" t="s">
        <v>332</v>
      </c>
      <c r="D6" s="61">
        <f>0+'11'!D27</f>
        <v>445</v>
      </c>
      <c r="E6" s="61">
        <f>370893+'11'!E27</f>
        <v>371377</v>
      </c>
      <c r="F6" s="61">
        <f>0+'11'!F27</f>
        <v>0</v>
      </c>
      <c r="G6" s="61">
        <f>418205+'11'!G27</f>
        <v>680478</v>
      </c>
      <c r="H6" s="61">
        <f>0+'11'!H27</f>
        <v>0</v>
      </c>
      <c r="I6" s="61">
        <f>0+'11'!I27</f>
        <v>0</v>
      </c>
      <c r="J6" s="61">
        <f>0+'11'!J27</f>
        <v>746</v>
      </c>
      <c r="K6" s="61">
        <f>0+'11'!K27</f>
        <v>0</v>
      </c>
      <c r="L6" s="61">
        <f>0+'11'!L27</f>
        <v>0</v>
      </c>
      <c r="M6" s="61">
        <f>0+'11'!M27</f>
        <v>0</v>
      </c>
      <c r="N6" s="61">
        <f t="shared" si="0"/>
        <v>1053046</v>
      </c>
    </row>
    <row r="7" spans="1:14" ht="16.5" customHeight="1">
      <c r="A7" s="60"/>
      <c r="B7" s="60">
        <v>16</v>
      </c>
      <c r="C7" s="59" t="s">
        <v>87</v>
      </c>
      <c r="D7" s="61">
        <f>0+'11'!D31</f>
        <v>0</v>
      </c>
      <c r="E7" s="61">
        <f>3980940+'11'!E31</f>
        <v>4227845</v>
      </c>
      <c r="F7" s="61">
        <f>0+'11'!F31</f>
        <v>0</v>
      </c>
      <c r="G7" s="61">
        <f>5695+'11'!G31</f>
        <v>5695</v>
      </c>
      <c r="H7" s="61">
        <f>0+'11'!H31</f>
        <v>0</v>
      </c>
      <c r="I7" s="61">
        <f>0+'11'!I31</f>
        <v>0</v>
      </c>
      <c r="J7" s="61">
        <f>200000+'11'!J31</f>
        <v>200000</v>
      </c>
      <c r="K7" s="61">
        <f>0+'11'!K31</f>
        <v>0</v>
      </c>
      <c r="L7" s="61">
        <f>0+'11'!L31</f>
        <v>0</v>
      </c>
      <c r="M7" s="61">
        <f>0+'11'!M31</f>
        <v>0</v>
      </c>
      <c r="N7" s="61">
        <f t="shared" si="0"/>
        <v>4433540</v>
      </c>
    </row>
    <row r="8" spans="1:14" ht="16.5" customHeight="1">
      <c r="A8" s="60"/>
      <c r="B8" s="60">
        <v>17</v>
      </c>
      <c r="C8" s="59" t="s">
        <v>333</v>
      </c>
      <c r="D8" s="61">
        <f>0+'11'!D41</f>
        <v>0</v>
      </c>
      <c r="E8" s="61">
        <f>0+'11'!E41</f>
        <v>0</v>
      </c>
      <c r="F8" s="61">
        <f>0+'11'!F41</f>
        <v>0</v>
      </c>
      <c r="G8" s="61">
        <f>356388+'11'!G41</f>
        <v>271237</v>
      </c>
      <c r="H8" s="61">
        <f>251100+'11'!H41</f>
        <v>251100</v>
      </c>
      <c r="I8" s="61">
        <f>0+'11'!I41</f>
        <v>0</v>
      </c>
      <c r="J8" s="61">
        <f>20000+'11'!J41</f>
        <v>20000</v>
      </c>
      <c r="K8" s="61">
        <f>0+'11'!K41</f>
        <v>0</v>
      </c>
      <c r="L8" s="61">
        <f>377239+'11'!L41</f>
        <v>342239</v>
      </c>
      <c r="M8" s="61">
        <f>0+'11'!M41</f>
        <v>0</v>
      </c>
      <c r="N8" s="61">
        <f t="shared" si="0"/>
        <v>884576</v>
      </c>
    </row>
    <row r="9" spans="1:14" ht="16.5" customHeight="1">
      <c r="A9" s="60"/>
      <c r="B9" s="60">
        <v>18</v>
      </c>
      <c r="C9" s="59" t="s">
        <v>86</v>
      </c>
      <c r="D9" s="61">
        <f>0+'11'!D44</f>
        <v>0</v>
      </c>
      <c r="E9" s="61">
        <f>0+'11'!E44</f>
        <v>0</v>
      </c>
      <c r="F9" s="61">
        <f>5000+'11'!F44</f>
        <v>5000</v>
      </c>
      <c r="G9" s="61">
        <f>41910+'11'!G44</f>
        <v>41910</v>
      </c>
      <c r="H9" s="61">
        <f>0+'11'!H44</f>
        <v>0</v>
      </c>
      <c r="I9" s="61">
        <f>0+'11'!I44</f>
        <v>0</v>
      </c>
      <c r="J9" s="61">
        <f>0+'11'!J44</f>
        <v>0</v>
      </c>
      <c r="K9" s="61">
        <f>0+'11'!K44</f>
        <v>0</v>
      </c>
      <c r="L9" s="61">
        <f>0+'11'!L44</f>
        <v>0</v>
      </c>
      <c r="M9" s="61">
        <f>0+'11'!M44</f>
        <v>0</v>
      </c>
      <c r="N9" s="61">
        <f t="shared" si="0"/>
        <v>46910</v>
      </c>
    </row>
    <row r="10" spans="1:14" ht="16.5" customHeight="1">
      <c r="A10" s="60"/>
      <c r="B10" s="60">
        <v>19</v>
      </c>
      <c r="C10" s="59" t="s">
        <v>334</v>
      </c>
      <c r="D10" s="61">
        <f>2430223+'11'!D59</f>
        <v>2624086</v>
      </c>
      <c r="E10" s="61">
        <f>31964+'11'!E59</f>
        <v>1314197</v>
      </c>
      <c r="F10" s="61">
        <f>4253500+'11'!F59</f>
        <v>4253500</v>
      </c>
      <c r="G10" s="61">
        <f>154291+'11'!G59</f>
        <v>225588</v>
      </c>
      <c r="H10" s="61">
        <f>0+'11'!H59</f>
        <v>0</v>
      </c>
      <c r="I10" s="61">
        <f>0+'11'!I59</f>
        <v>0</v>
      </c>
      <c r="J10" s="61">
        <f>0+'11'!J59</f>
        <v>0</v>
      </c>
      <c r="K10" s="61">
        <f>658892+'11'!K59</f>
        <v>658892</v>
      </c>
      <c r="L10" s="61">
        <f>2439398+'11'!L59</f>
        <v>2777553</v>
      </c>
      <c r="M10" s="61">
        <f>0+'11'!M59</f>
        <v>0</v>
      </c>
      <c r="N10" s="61">
        <f t="shared" si="0"/>
        <v>11853816</v>
      </c>
    </row>
    <row r="11" spans="1:14" ht="16.5" customHeight="1">
      <c r="A11" s="60"/>
      <c r="B11" s="60">
        <v>20</v>
      </c>
      <c r="C11" s="33" t="s">
        <v>247</v>
      </c>
      <c r="D11" s="61">
        <f>0+'11'!D62</f>
        <v>0</v>
      </c>
      <c r="E11" s="61">
        <f>0+'11'!E62</f>
        <v>0</v>
      </c>
      <c r="F11" s="61">
        <f>0+'11'!F62</f>
        <v>0</v>
      </c>
      <c r="G11" s="61">
        <f>0+'11'!G62</f>
        <v>0</v>
      </c>
      <c r="H11" s="61">
        <f>0+'11'!H62</f>
        <v>0</v>
      </c>
      <c r="I11" s="61">
        <f>0+'11'!I62</f>
        <v>0</v>
      </c>
      <c r="J11" s="61">
        <f>0+'11'!J62</f>
        <v>0</v>
      </c>
      <c r="K11" s="61">
        <f>0+'11'!K62</f>
        <v>0</v>
      </c>
      <c r="L11" s="61">
        <f>0+'11'!L62</f>
        <v>0</v>
      </c>
      <c r="M11" s="61">
        <f>0+'11'!M62</f>
        <v>0</v>
      </c>
      <c r="N11" s="61">
        <f t="shared" si="0"/>
        <v>0</v>
      </c>
    </row>
    <row r="12" spans="1:14" ht="16.5" customHeight="1">
      <c r="A12" s="60"/>
      <c r="B12" s="60">
        <v>22</v>
      </c>
      <c r="C12" s="59" t="s">
        <v>1034</v>
      </c>
      <c r="D12" s="61">
        <f>7185+'11'!D65</f>
        <v>7185</v>
      </c>
      <c r="E12" s="61">
        <f>0+'11'!E65</f>
        <v>0</v>
      </c>
      <c r="F12" s="61">
        <f>0+'11'!F65</f>
        <v>0</v>
      </c>
      <c r="G12" s="61">
        <f>0+'11'!G65</f>
        <v>0</v>
      </c>
      <c r="H12" s="61">
        <f>0+'11'!H65</f>
        <v>0</v>
      </c>
      <c r="I12" s="61">
        <f>0+'11'!I65</f>
        <v>0</v>
      </c>
      <c r="J12" s="61">
        <f>0+'11'!J65</f>
        <v>0</v>
      </c>
      <c r="K12" s="61">
        <f>0+'11'!K65</f>
        <v>0</v>
      </c>
      <c r="L12" s="61">
        <f>0+'11'!L65</f>
        <v>0</v>
      </c>
      <c r="M12" s="61">
        <f>0+'11'!M65</f>
        <v>0</v>
      </c>
      <c r="N12" s="61">
        <f t="shared" si="0"/>
        <v>7185</v>
      </c>
    </row>
    <row r="13" spans="1:14" ht="27.75" customHeight="1">
      <c r="A13" s="62"/>
      <c r="B13" s="62"/>
      <c r="C13" s="119" t="s">
        <v>117</v>
      </c>
      <c r="D13" s="114">
        <f aca="true" t="shared" si="1" ref="D13:N13">SUM(D4:D12)</f>
        <v>2679650</v>
      </c>
      <c r="E13" s="114">
        <f t="shared" si="1"/>
        <v>6113860</v>
      </c>
      <c r="F13" s="114">
        <f t="shared" si="1"/>
        <v>4258500</v>
      </c>
      <c r="G13" s="114">
        <f t="shared" si="1"/>
        <v>1242694</v>
      </c>
      <c r="H13" s="114">
        <f t="shared" si="1"/>
        <v>251100</v>
      </c>
      <c r="I13" s="114">
        <f t="shared" si="1"/>
        <v>0</v>
      </c>
      <c r="J13" s="114">
        <f t="shared" si="1"/>
        <v>220746</v>
      </c>
      <c r="K13" s="114">
        <f t="shared" si="1"/>
        <v>658892</v>
      </c>
      <c r="L13" s="114">
        <f t="shared" si="1"/>
        <v>3119792</v>
      </c>
      <c r="M13" s="114">
        <f t="shared" si="1"/>
        <v>0</v>
      </c>
      <c r="N13" s="114">
        <f t="shared" si="1"/>
        <v>18545234</v>
      </c>
    </row>
    <row r="14" spans="1:14" ht="16.5" customHeight="1">
      <c r="A14" s="64">
        <v>2</v>
      </c>
      <c r="B14" s="64"/>
      <c r="C14" s="59" t="s">
        <v>114</v>
      </c>
      <c r="D14" s="61">
        <f>346274+'táj.1.'!C20</f>
        <v>386888</v>
      </c>
      <c r="E14" s="61">
        <f>23000+'táj.1.'!D20</f>
        <v>60876</v>
      </c>
      <c r="F14" s="61">
        <f>0+'táj.1.'!E20</f>
        <v>0</v>
      </c>
      <c r="G14" s="61">
        <f>1121690+'táj.1.'!F20</f>
        <v>1132590</v>
      </c>
      <c r="H14" s="61">
        <f>0+'táj.1.'!G20</f>
        <v>0</v>
      </c>
      <c r="I14" s="61">
        <f>59600+'táj.1.'!H20</f>
        <v>59994</v>
      </c>
      <c r="J14" s="61">
        <f>0+'táj.1.'!I20</f>
        <v>0</v>
      </c>
      <c r="K14" s="61"/>
      <c r="L14" s="61">
        <f>150169+'táj.1.'!J20</f>
        <v>350508</v>
      </c>
      <c r="M14" s="61">
        <f>0+'táj.1.'!L20</f>
        <v>0</v>
      </c>
      <c r="N14" s="61">
        <f>SUM(D14:M14)</f>
        <v>1990856</v>
      </c>
    </row>
    <row r="15" spans="1:14" ht="16.5" customHeight="1">
      <c r="A15" s="62"/>
      <c r="B15" s="62"/>
      <c r="C15" s="63" t="s">
        <v>83</v>
      </c>
      <c r="D15" s="114">
        <f aca="true" t="shared" si="2" ref="D15:N15">SUM(D13:D14)</f>
        <v>3066538</v>
      </c>
      <c r="E15" s="114">
        <f t="shared" si="2"/>
        <v>6174736</v>
      </c>
      <c r="F15" s="114">
        <f t="shared" si="2"/>
        <v>4258500</v>
      </c>
      <c r="G15" s="114">
        <f t="shared" si="2"/>
        <v>2375284</v>
      </c>
      <c r="H15" s="114">
        <f t="shared" si="2"/>
        <v>251100</v>
      </c>
      <c r="I15" s="114">
        <f t="shared" si="2"/>
        <v>59994</v>
      </c>
      <c r="J15" s="114">
        <f t="shared" si="2"/>
        <v>220746</v>
      </c>
      <c r="K15" s="114">
        <f t="shared" si="2"/>
        <v>658892</v>
      </c>
      <c r="L15" s="114">
        <f t="shared" si="2"/>
        <v>3470300</v>
      </c>
      <c r="M15" s="114">
        <f t="shared" si="2"/>
        <v>0</v>
      </c>
      <c r="N15" s="114">
        <f t="shared" si="2"/>
        <v>20536090</v>
      </c>
    </row>
    <row r="16" spans="3:12" ht="16.5" customHeight="1">
      <c r="C16" s="53"/>
      <c r="D16" s="54"/>
      <c r="E16" s="54"/>
      <c r="F16" s="54"/>
      <c r="G16" s="54"/>
      <c r="H16" s="54"/>
      <c r="I16" s="54"/>
      <c r="J16" s="54"/>
      <c r="K16" s="54"/>
      <c r="L16" s="54"/>
    </row>
    <row r="17" spans="3:11" ht="13.5" customHeight="1">
      <c r="C17" s="53"/>
      <c r="D17" s="54"/>
      <c r="E17" s="54"/>
      <c r="F17" s="54"/>
      <c r="G17" s="54"/>
      <c r="H17" s="54"/>
      <c r="I17" s="54"/>
      <c r="J17" s="54"/>
      <c r="K17" s="54"/>
    </row>
    <row r="18" spans="4:11" ht="13.5" customHeight="1">
      <c r="D18" s="54"/>
      <c r="E18" s="54"/>
      <c r="F18" s="54"/>
      <c r="G18" s="54"/>
      <c r="H18" s="54"/>
      <c r="I18" s="54"/>
      <c r="J18" s="54"/>
      <c r="K18" s="54"/>
    </row>
    <row r="19" spans="4:11" ht="13.5" customHeight="1">
      <c r="D19" s="54"/>
      <c r="E19" s="54"/>
      <c r="F19" s="54"/>
      <c r="G19" s="54"/>
      <c r="H19" s="54"/>
      <c r="I19" s="54"/>
      <c r="J19" s="54"/>
      <c r="K19" s="54"/>
    </row>
    <row r="20" spans="4:11" ht="13.5" customHeight="1">
      <c r="D20" s="54"/>
      <c r="E20" s="54"/>
      <c r="F20" s="54"/>
      <c r="G20" s="54"/>
      <c r="H20" s="54"/>
      <c r="I20" s="54"/>
      <c r="J20" s="54"/>
      <c r="K20" s="54"/>
    </row>
    <row r="21" spans="4:11" ht="13.5" customHeight="1">
      <c r="D21" s="54"/>
      <c r="E21" s="54"/>
      <c r="F21" s="54"/>
      <c r="G21" s="54"/>
      <c r="H21" s="54"/>
      <c r="I21" s="54"/>
      <c r="J21" s="54"/>
      <c r="K21" s="54"/>
    </row>
    <row r="22" spans="4:11" ht="13.5" customHeight="1">
      <c r="D22" s="54"/>
      <c r="E22" s="54"/>
      <c r="F22" s="54"/>
      <c r="G22" s="54"/>
      <c r="H22" s="54"/>
      <c r="I22" s="54"/>
      <c r="J22" s="54"/>
      <c r="K22" s="54"/>
    </row>
    <row r="23" spans="4:11" ht="13.5" customHeight="1">
      <c r="D23" s="54"/>
      <c r="E23" s="54"/>
      <c r="F23" s="54"/>
      <c r="G23" s="54"/>
      <c r="H23" s="54"/>
      <c r="I23" s="54"/>
      <c r="J23" s="54"/>
      <c r="K23" s="54"/>
    </row>
    <row r="24" spans="4:11" ht="13.5" customHeight="1">
      <c r="D24" s="54"/>
      <c r="E24" s="54"/>
      <c r="F24" s="54"/>
      <c r="G24" s="54"/>
      <c r="H24" s="54"/>
      <c r="I24" s="54"/>
      <c r="J24" s="54"/>
      <c r="K24" s="54"/>
    </row>
    <row r="25" spans="4:11" ht="13.5" customHeight="1">
      <c r="D25" s="54"/>
      <c r="E25" s="54"/>
      <c r="F25" s="54"/>
      <c r="G25" s="54"/>
      <c r="H25" s="54"/>
      <c r="I25" s="54"/>
      <c r="J25" s="54"/>
      <c r="K25" s="54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M15" sqref="M15"/>
    </sheetView>
  </sheetViews>
  <sheetFormatPr defaultColWidth="9.00390625" defaultRowHeight="12.75"/>
  <cols>
    <col min="1" max="1" width="6.875" style="49" customWidth="1"/>
    <col min="2" max="2" width="7.00390625" style="49" customWidth="1"/>
    <col min="3" max="3" width="28.00390625" style="49" customWidth="1"/>
    <col min="4" max="4" width="10.00390625" style="49" customWidth="1"/>
    <col min="5" max="5" width="11.875" style="49" customWidth="1"/>
    <col min="6" max="6" width="9.875" style="49" customWidth="1"/>
    <col min="7" max="7" width="9.625" style="49" customWidth="1"/>
    <col min="8" max="8" width="10.50390625" style="49" customWidth="1"/>
    <col min="9" max="9" width="10.00390625" style="49" bestFit="1" customWidth="1"/>
    <col min="10" max="10" width="9.50390625" style="49" bestFit="1" customWidth="1"/>
    <col min="11" max="11" width="9.50390625" style="49" customWidth="1"/>
    <col min="12" max="12" width="11.00390625" style="49" customWidth="1"/>
    <col min="13" max="13" width="11.625" style="75" customWidth="1"/>
    <col min="14" max="14" width="10.875" style="75" customWidth="1"/>
    <col min="15" max="16384" width="9.375" style="49" customWidth="1"/>
  </cols>
  <sheetData>
    <row r="1" spans="1:14" s="70" customFormat="1" ht="13.5" thickTop="1">
      <c r="A1" s="190"/>
      <c r="B1" s="191"/>
      <c r="C1" s="191"/>
      <c r="D1" s="761" t="s">
        <v>430</v>
      </c>
      <c r="E1" s="762"/>
      <c r="F1" s="762"/>
      <c r="G1" s="762"/>
      <c r="H1" s="762"/>
      <c r="I1" s="762"/>
      <c r="J1" s="762"/>
      <c r="K1" s="763"/>
      <c r="L1" s="764" t="s">
        <v>434</v>
      </c>
      <c r="M1" s="765"/>
      <c r="N1" s="192"/>
    </row>
    <row r="2" spans="1:14" s="71" customFormat="1" ht="60" customHeight="1" thickBot="1">
      <c r="A2" s="76" t="s">
        <v>336</v>
      </c>
      <c r="B2" s="77" t="s">
        <v>337</v>
      </c>
      <c r="C2" s="77" t="s">
        <v>327</v>
      </c>
      <c r="D2" s="167" t="s">
        <v>1011</v>
      </c>
      <c r="E2" s="167" t="s">
        <v>1159</v>
      </c>
      <c r="F2" s="167" t="s">
        <v>97</v>
      </c>
      <c r="G2" s="167" t="s">
        <v>432</v>
      </c>
      <c r="H2" s="167" t="s">
        <v>1014</v>
      </c>
      <c r="I2" s="167" t="s">
        <v>1016</v>
      </c>
      <c r="J2" s="167" t="s">
        <v>1017</v>
      </c>
      <c r="K2" s="167" t="s">
        <v>433</v>
      </c>
      <c r="L2" s="167" t="s">
        <v>942</v>
      </c>
      <c r="M2" s="167" t="s">
        <v>943</v>
      </c>
      <c r="N2" s="168" t="s">
        <v>246</v>
      </c>
    </row>
    <row r="3" spans="1:14" s="71" customFormat="1" ht="15" customHeight="1">
      <c r="A3" s="18">
        <v>1</v>
      </c>
      <c r="B3" s="18"/>
      <c r="C3" s="169" t="s">
        <v>113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1" customFormat="1" ht="15" customHeight="1">
      <c r="A4" s="18">
        <v>1</v>
      </c>
      <c r="B4" s="18">
        <v>1</v>
      </c>
      <c r="C4" s="170" t="s">
        <v>1028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72" customFormat="1" ht="13.5" customHeight="1">
      <c r="A5" s="22"/>
      <c r="B5" s="22">
        <v>12</v>
      </c>
      <c r="C5" s="169" t="s">
        <v>1026</v>
      </c>
      <c r="D5" s="23">
        <f>0+'12'!F20</f>
        <v>0</v>
      </c>
      <c r="E5" s="23">
        <f>1500+'12'!G20</f>
        <v>1500</v>
      </c>
      <c r="F5" s="23">
        <f>28810+'12'!H20</f>
        <v>26835</v>
      </c>
      <c r="G5" s="23">
        <f>124780+'12'!I20</f>
        <v>231169</v>
      </c>
      <c r="H5" s="23">
        <f>20150+'12'!J20</f>
        <v>18950</v>
      </c>
      <c r="I5" s="23">
        <f>0+'12'!K23</f>
        <v>0</v>
      </c>
      <c r="J5" s="23">
        <f>0+'12'!L23</f>
        <v>0</v>
      </c>
      <c r="K5" s="23">
        <f>42519+'12'!M23</f>
        <v>42519</v>
      </c>
      <c r="L5" s="23">
        <f>0+'12'!N20</f>
        <v>0</v>
      </c>
      <c r="M5" s="23">
        <f>0+'12'!O20</f>
        <v>0</v>
      </c>
      <c r="N5" s="23">
        <f aca="true" t="shared" si="0" ref="N5:N14">SUM(D5:M5)</f>
        <v>320973</v>
      </c>
    </row>
    <row r="6" spans="1:14" s="72" customFormat="1" ht="13.5" customHeight="1">
      <c r="A6" s="22"/>
      <c r="B6" s="22">
        <v>13</v>
      </c>
      <c r="C6" s="169" t="s">
        <v>1027</v>
      </c>
      <c r="D6" s="23">
        <f>1806+'12'!F67</f>
        <v>2556</v>
      </c>
      <c r="E6" s="23">
        <f>450+'12'!G67</f>
        <v>653</v>
      </c>
      <c r="F6" s="23">
        <f>90207+'12'!H67</f>
        <v>103667</v>
      </c>
      <c r="G6" s="23">
        <f>18500+'12'!I67</f>
        <v>18500</v>
      </c>
      <c r="H6" s="23">
        <f>428589+'12'!J67</f>
        <v>466551</v>
      </c>
      <c r="I6" s="23">
        <f>355595+'12'!K70</f>
        <v>398195</v>
      </c>
      <c r="J6" s="23">
        <f>207195+'12'!L70</f>
        <v>204695</v>
      </c>
      <c r="K6" s="23">
        <f>62227+'12'!M70</f>
        <v>80927</v>
      </c>
      <c r="L6" s="23">
        <f>0+'12'!N67</f>
        <v>0</v>
      </c>
      <c r="M6" s="23">
        <f>0+'12'!O67</f>
        <v>0</v>
      </c>
      <c r="N6" s="23">
        <f t="shared" si="0"/>
        <v>1275744</v>
      </c>
    </row>
    <row r="7" spans="1:14" s="72" customFormat="1" ht="13.5" customHeight="1">
      <c r="A7" s="22"/>
      <c r="B7" s="22">
        <v>15</v>
      </c>
      <c r="C7" s="79" t="s">
        <v>332</v>
      </c>
      <c r="D7" s="23">
        <f>1500+'12'!F108</f>
        <v>1892</v>
      </c>
      <c r="E7" s="23">
        <f>400+'12'!G108</f>
        <v>453</v>
      </c>
      <c r="F7" s="23">
        <f>1244463+'12'!H108</f>
        <v>1286609</v>
      </c>
      <c r="G7" s="23">
        <f>0+'12'!I108</f>
        <v>0</v>
      </c>
      <c r="H7" s="23">
        <f>37950+'12'!J108</f>
        <v>43607</v>
      </c>
      <c r="I7" s="23">
        <f>277632+'12'!K111</f>
        <v>307931</v>
      </c>
      <c r="J7" s="23">
        <f>396156+'12'!L111</f>
        <v>398612</v>
      </c>
      <c r="K7" s="23">
        <f>356893+'12'!M111</f>
        <v>609517</v>
      </c>
      <c r="L7" s="23">
        <f>0+'12'!N108</f>
        <v>0</v>
      </c>
      <c r="M7" s="23">
        <f>0+'12'!O108</f>
        <v>0</v>
      </c>
      <c r="N7" s="23">
        <f t="shared" si="0"/>
        <v>2648621</v>
      </c>
    </row>
    <row r="8" spans="1:15" s="72" customFormat="1" ht="13.5" customHeight="1">
      <c r="A8" s="22"/>
      <c r="B8" s="22">
        <v>16</v>
      </c>
      <c r="C8" s="79" t="s">
        <v>87</v>
      </c>
      <c r="D8" s="23">
        <f>0+'12'!F114</f>
        <v>0</v>
      </c>
      <c r="E8" s="23">
        <f>0+'12'!G114</f>
        <v>0</v>
      </c>
      <c r="F8" s="23">
        <f>0+'12'!H114</f>
        <v>0</v>
      </c>
      <c r="G8" s="23">
        <f>0+'12'!I114</f>
        <v>0</v>
      </c>
      <c r="H8" s="23">
        <f>0+'12'!J114</f>
        <v>0</v>
      </c>
      <c r="I8" s="23">
        <f>5680742+'12'!K117</f>
        <v>5988485</v>
      </c>
      <c r="J8" s="23">
        <f>17087+'12'!L117</f>
        <v>24379</v>
      </c>
      <c r="K8" s="23">
        <f>35912+'12'!M117</f>
        <v>42280</v>
      </c>
      <c r="L8" s="23">
        <f>0+'12'!N114</f>
        <v>0</v>
      </c>
      <c r="M8" s="23">
        <f>0+'12'!O114</f>
        <v>0</v>
      </c>
      <c r="N8" s="23">
        <f t="shared" si="0"/>
        <v>6055144</v>
      </c>
      <c r="O8" s="73"/>
    </row>
    <row r="9" spans="1:14" s="72" customFormat="1" ht="13.5" customHeight="1">
      <c r="A9" s="22"/>
      <c r="B9" s="22">
        <v>17</v>
      </c>
      <c r="C9" s="79" t="s">
        <v>333</v>
      </c>
      <c r="D9" s="23">
        <f>0+'12'!F129</f>
        <v>0</v>
      </c>
      <c r="E9" s="23">
        <f>0+'12'!G129</f>
        <v>0</v>
      </c>
      <c r="F9" s="23">
        <f>172175+'12'!H129</f>
        <v>104230</v>
      </c>
      <c r="G9" s="23">
        <f>0+'12'!I129</f>
        <v>0</v>
      </c>
      <c r="H9" s="23">
        <f>20400+'12'!J129</f>
        <v>72207</v>
      </c>
      <c r="I9" s="23">
        <f>448983+'12'!K132</f>
        <v>449543</v>
      </c>
      <c r="J9" s="23">
        <f>31564+'12'!L132</f>
        <v>31564</v>
      </c>
      <c r="K9" s="23">
        <f>11431+'12'!M132</f>
        <v>25101</v>
      </c>
      <c r="L9" s="23">
        <f>0+'12'!N129</f>
        <v>0</v>
      </c>
      <c r="M9" s="23">
        <f>0+'12'!O129</f>
        <v>0</v>
      </c>
      <c r="N9" s="23">
        <f t="shared" si="0"/>
        <v>682645</v>
      </c>
    </row>
    <row r="10" spans="1:14" s="72" customFormat="1" ht="13.5" customHeight="1">
      <c r="A10" s="22"/>
      <c r="B10" s="22">
        <v>18</v>
      </c>
      <c r="C10" s="79" t="s">
        <v>192</v>
      </c>
      <c r="D10" s="23">
        <f>0+'12'!F137</f>
        <v>0</v>
      </c>
      <c r="E10" s="23">
        <f>0+'12'!G137</f>
        <v>0</v>
      </c>
      <c r="F10" s="23">
        <f>30350+'12'!H137</f>
        <v>31574</v>
      </c>
      <c r="G10" s="23">
        <f>0+'12'!I137</f>
        <v>0</v>
      </c>
      <c r="H10" s="23">
        <f>0+'12'!J137</f>
        <v>1100</v>
      </c>
      <c r="I10" s="23">
        <f>500+'12'!K139</f>
        <v>500</v>
      </c>
      <c r="J10" s="23">
        <f>0+'12'!L139</f>
        <v>0</v>
      </c>
      <c r="K10" s="23">
        <f>0+'12'!M139</f>
        <v>0</v>
      </c>
      <c r="L10" s="23">
        <f>0+'12'!N137</f>
        <v>0</v>
      </c>
      <c r="M10" s="23">
        <f>0+'12'!O137</f>
        <v>0</v>
      </c>
      <c r="N10" s="23">
        <f t="shared" si="0"/>
        <v>33174</v>
      </c>
    </row>
    <row r="11" spans="1:14" s="72" customFormat="1" ht="13.5" customHeight="1">
      <c r="A11" s="22"/>
      <c r="B11" s="22">
        <v>19</v>
      </c>
      <c r="C11" s="78" t="s">
        <v>334</v>
      </c>
      <c r="D11" s="23">
        <f>0+'12'!F157</f>
        <v>0</v>
      </c>
      <c r="E11" s="23">
        <f>0+'12'!G157</f>
        <v>0</v>
      </c>
      <c r="F11" s="23">
        <f>292820+'12'!H157</f>
        <v>415698</v>
      </c>
      <c r="G11" s="23">
        <f>0+'12'!I157</f>
        <v>0</v>
      </c>
      <c r="H11" s="23">
        <f>644264+'12'!J157</f>
        <v>743651</v>
      </c>
      <c r="I11" s="23">
        <f>0+'12'!K160</f>
        <v>0</v>
      </c>
      <c r="J11" s="23">
        <f>0+'12'!L160</f>
        <v>0</v>
      </c>
      <c r="K11" s="23">
        <f>7160+'12'!M160</f>
        <v>14710</v>
      </c>
      <c r="L11" s="23">
        <f>13244+'12'!N157</f>
        <v>951340</v>
      </c>
      <c r="M11" s="23">
        <f>21424+'12'!O157</f>
        <v>246596</v>
      </c>
      <c r="N11" s="23">
        <f t="shared" si="0"/>
        <v>2371995</v>
      </c>
    </row>
    <row r="12" spans="1:14" s="72" customFormat="1" ht="12.75" customHeight="1">
      <c r="A12" s="22"/>
      <c r="B12" s="22">
        <v>20</v>
      </c>
      <c r="C12" s="78" t="s">
        <v>247</v>
      </c>
      <c r="D12" s="23">
        <f>0+'12'!F162</f>
        <v>0</v>
      </c>
      <c r="E12" s="23">
        <f>0+'12'!G162</f>
        <v>0</v>
      </c>
      <c r="F12" s="23">
        <f>0+'12'!H162</f>
        <v>0</v>
      </c>
      <c r="G12" s="23">
        <f>0+'12'!I162</f>
        <v>0</v>
      </c>
      <c r="H12" s="23">
        <f>0+'12'!J162</f>
        <v>0</v>
      </c>
      <c r="I12" s="23">
        <f>0+'12'!K162</f>
        <v>0</v>
      </c>
      <c r="J12" s="23">
        <f>0+'12'!L162</f>
        <v>0</v>
      </c>
      <c r="K12" s="23">
        <f>0+'12'!M162</f>
        <v>0</v>
      </c>
      <c r="L12" s="23">
        <f>0+'12'!N162</f>
        <v>0</v>
      </c>
      <c r="M12" s="23">
        <f>0+'12'!O162</f>
        <v>0</v>
      </c>
      <c r="N12" s="23">
        <f t="shared" si="0"/>
        <v>0</v>
      </c>
    </row>
    <row r="13" spans="1:14" s="72" customFormat="1" ht="12.75" customHeight="1">
      <c r="A13" s="22"/>
      <c r="B13" s="22">
        <v>21</v>
      </c>
      <c r="C13" s="78" t="s">
        <v>248</v>
      </c>
      <c r="D13" s="23">
        <f>57330+'12'!F181</f>
        <v>61560</v>
      </c>
      <c r="E13" s="23">
        <f>17047+'12'!G181</f>
        <v>19065</v>
      </c>
      <c r="F13" s="23">
        <f>85437+'12'!H181</f>
        <v>87336</v>
      </c>
      <c r="G13" s="23">
        <f>0+'12'!I181</f>
        <v>0</v>
      </c>
      <c r="H13" s="23">
        <f>67800+'12'!J181</f>
        <v>92148</v>
      </c>
      <c r="I13" s="23">
        <f>0+'12'!K183</f>
        <v>250</v>
      </c>
      <c r="J13" s="23">
        <f>0+'12'!L183</f>
        <v>0</v>
      </c>
      <c r="K13" s="23">
        <f>0+'12'!M183</f>
        <v>0</v>
      </c>
      <c r="L13" s="23">
        <f>0+'12'!N181</f>
        <v>0</v>
      </c>
      <c r="M13" s="23">
        <f>0+'12'!O181</f>
        <v>0</v>
      </c>
      <c r="N13" s="23">
        <f t="shared" si="0"/>
        <v>260359</v>
      </c>
    </row>
    <row r="14" spans="1:14" s="72" customFormat="1" ht="12.75" customHeight="1">
      <c r="A14" s="22"/>
      <c r="B14" s="22">
        <v>30</v>
      </c>
      <c r="C14" s="24" t="s">
        <v>165</v>
      </c>
      <c r="D14" s="23">
        <f>0+'12'!F203</f>
        <v>0</v>
      </c>
      <c r="E14" s="23">
        <f>0+'12'!G203</f>
        <v>0</v>
      </c>
      <c r="F14" s="23">
        <f>0+'12'!H203</f>
        <v>0</v>
      </c>
      <c r="G14" s="23">
        <f>0+'12'!I203</f>
        <v>0</v>
      </c>
      <c r="H14" s="23">
        <f>329818+'12'!J203</f>
        <v>278690</v>
      </c>
      <c r="I14" s="23">
        <f>0+'12'!K203</f>
        <v>0</v>
      </c>
      <c r="J14" s="23">
        <f>10000+'12'!L203</f>
        <v>10000</v>
      </c>
      <c r="K14" s="23">
        <f>0+'12'!M203</f>
        <v>0</v>
      </c>
      <c r="L14" s="23">
        <f>0+'12'!N203</f>
        <v>0</v>
      </c>
      <c r="M14" s="23">
        <f>0+'12'!O203</f>
        <v>0</v>
      </c>
      <c r="N14" s="23">
        <f t="shared" si="0"/>
        <v>288690</v>
      </c>
    </row>
    <row r="15" spans="1:14" s="74" customFormat="1" ht="24.75" customHeight="1">
      <c r="A15" s="80"/>
      <c r="B15" s="80"/>
      <c r="C15" s="171" t="s">
        <v>1160</v>
      </c>
      <c r="D15" s="27">
        <f>SUM(D3:D14)</f>
        <v>66008</v>
      </c>
      <c r="E15" s="27">
        <f aca="true" t="shared" si="1" ref="E15:M15">SUM(E3:E14)</f>
        <v>21671</v>
      </c>
      <c r="F15" s="27">
        <f t="shared" si="1"/>
        <v>2055949</v>
      </c>
      <c r="G15" s="27">
        <f t="shared" si="1"/>
        <v>249669</v>
      </c>
      <c r="H15" s="27">
        <f t="shared" si="1"/>
        <v>1716904</v>
      </c>
      <c r="I15" s="27">
        <f t="shared" si="1"/>
        <v>7144904</v>
      </c>
      <c r="J15" s="27">
        <f t="shared" si="1"/>
        <v>669250</v>
      </c>
      <c r="K15" s="27">
        <f t="shared" si="1"/>
        <v>815054</v>
      </c>
      <c r="L15" s="27">
        <f t="shared" si="1"/>
        <v>951340</v>
      </c>
      <c r="M15" s="27">
        <f t="shared" si="1"/>
        <v>246596</v>
      </c>
      <c r="N15" s="27">
        <f>SUM(N3:N14)</f>
        <v>13937345</v>
      </c>
    </row>
    <row r="16" spans="1:14" s="74" customFormat="1" ht="12.75" customHeight="1">
      <c r="A16" s="25">
        <v>2</v>
      </c>
      <c r="B16" s="28"/>
      <c r="C16" s="172" t="s">
        <v>114</v>
      </c>
      <c r="D16" s="26">
        <f>2891129+'táj.2.'!C20</f>
        <v>2957714</v>
      </c>
      <c r="E16" s="26">
        <f>790002+'táj.2.'!D20</f>
        <v>802331</v>
      </c>
      <c r="F16" s="26">
        <f>2473578+'táj.2.'!E20</f>
        <v>2616177</v>
      </c>
      <c r="G16" s="26">
        <f>0+'táj.2.'!F20</f>
        <v>0</v>
      </c>
      <c r="H16" s="26">
        <f>34173+'táj.2.'!G20</f>
        <v>42139</v>
      </c>
      <c r="I16" s="26">
        <f>37447+'táj.2.'!H20</f>
        <v>110629</v>
      </c>
      <c r="J16" s="26">
        <f>39879+'táj.2.'!I20</f>
        <v>69755</v>
      </c>
      <c r="K16" s="26">
        <f>0+'táj.2.'!J20</f>
        <v>0</v>
      </c>
      <c r="L16" s="26">
        <f>0+'táj.2.'!K20</f>
        <v>0</v>
      </c>
      <c r="M16" s="26">
        <f>0+'táj.2.'!J20</f>
        <v>0</v>
      </c>
      <c r="N16" s="26">
        <f>SUM(D16:M16)</f>
        <v>6598745</v>
      </c>
    </row>
    <row r="17" spans="1:14" s="74" customFormat="1" ht="12.75" customHeight="1">
      <c r="A17" s="80"/>
      <c r="B17" s="80"/>
      <c r="C17" s="115" t="s">
        <v>83</v>
      </c>
      <c r="D17" s="27">
        <f aca="true" t="shared" si="2" ref="D17:N17">SUM(D15:D16)</f>
        <v>3023722</v>
      </c>
      <c r="E17" s="27">
        <f t="shared" si="2"/>
        <v>824002</v>
      </c>
      <c r="F17" s="27">
        <f t="shared" si="2"/>
        <v>4672126</v>
      </c>
      <c r="G17" s="27">
        <f t="shared" si="2"/>
        <v>249669</v>
      </c>
      <c r="H17" s="27">
        <f t="shared" si="2"/>
        <v>1759043</v>
      </c>
      <c r="I17" s="27">
        <f t="shared" si="2"/>
        <v>7255533</v>
      </c>
      <c r="J17" s="27">
        <f t="shared" si="2"/>
        <v>739005</v>
      </c>
      <c r="K17" s="27">
        <f t="shared" si="2"/>
        <v>815054</v>
      </c>
      <c r="L17" s="27">
        <f t="shared" si="2"/>
        <v>951340</v>
      </c>
      <c r="M17" s="27">
        <f t="shared" si="2"/>
        <v>246596</v>
      </c>
      <c r="N17" s="27">
        <f t="shared" si="2"/>
        <v>20536090</v>
      </c>
    </row>
    <row r="18" spans="13:14" s="17" customFormat="1" ht="12">
      <c r="M18" s="50"/>
      <c r="N18" s="50"/>
    </row>
    <row r="19" spans="13:14" s="17" customFormat="1" ht="12">
      <c r="M19" s="50"/>
      <c r="N19" s="205"/>
    </row>
    <row r="20" spans="13:14" s="17" customFormat="1" ht="12">
      <c r="M20" s="50"/>
      <c r="N20" s="50"/>
    </row>
    <row r="21" spans="13:14" s="17" customFormat="1" ht="12">
      <c r="M21" s="50"/>
      <c r="N21" s="50"/>
    </row>
    <row r="22" spans="13:14" s="17" customFormat="1" ht="12">
      <c r="M22" s="50"/>
      <c r="N22" s="50"/>
    </row>
    <row r="23" spans="13:14" s="17" customFormat="1" ht="12">
      <c r="M23" s="50"/>
      <c r="N23" s="50"/>
    </row>
    <row r="24" spans="13:14" s="17" customFormat="1" ht="12">
      <c r="M24" s="50"/>
      <c r="N24" s="50"/>
    </row>
    <row r="25" spans="13:14" s="17" customFormat="1" ht="12">
      <c r="M25" s="50"/>
      <c r="N25" s="50"/>
    </row>
    <row r="26" spans="13:14" s="17" customFormat="1" ht="12">
      <c r="M26" s="50"/>
      <c r="N26" s="50"/>
    </row>
    <row r="27" spans="13:14" s="17" customFormat="1" ht="12">
      <c r="M27" s="50"/>
      <c r="N27" s="50"/>
    </row>
    <row r="28" spans="13:14" s="17" customFormat="1" ht="12">
      <c r="M28" s="50"/>
      <c r="N28" s="50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82"/>
  <sheetViews>
    <sheetView zoomScalePageLayoutView="0" workbookViewId="0" topLeftCell="C1">
      <pane ySplit="3" topLeftCell="A241" activePane="bottomLeft" state="frozen"/>
      <selection pane="topLeft" activeCell="A1" sqref="A1"/>
      <selection pane="bottomLeft" activeCell="F109" sqref="F109:F115"/>
    </sheetView>
  </sheetViews>
  <sheetFormatPr defaultColWidth="9.00390625" defaultRowHeight="12.75"/>
  <cols>
    <col min="1" max="1" width="4.625" style="254" customWidth="1"/>
    <col min="2" max="2" width="4.375" style="254" customWidth="1"/>
    <col min="3" max="3" width="6.625" style="254" customWidth="1"/>
    <col min="4" max="4" width="64.375" style="254" customWidth="1"/>
    <col min="5" max="5" width="4.50390625" style="254" customWidth="1"/>
    <col min="6" max="6" width="5.00390625" style="254" customWidth="1"/>
    <col min="7" max="7" width="12.50390625" style="254" customWidth="1"/>
    <col min="8" max="8" width="10.875" style="254" customWidth="1"/>
    <col min="9" max="9" width="12.50390625" style="254" customWidth="1"/>
    <col min="10" max="10" width="11.125" style="254" customWidth="1"/>
    <col min="11" max="11" width="11.625" style="254" customWidth="1"/>
    <col min="12" max="12" width="12.375" style="254" customWidth="1"/>
    <col min="13" max="13" width="12.50390625" style="254" customWidth="1"/>
    <col min="14" max="14" width="14.50390625" style="254" customWidth="1"/>
    <col min="15" max="15" width="13.00390625" style="254" customWidth="1"/>
    <col min="16" max="16384" width="9.375" style="254" customWidth="1"/>
  </cols>
  <sheetData>
    <row r="1" spans="1:15" ht="24.75" customHeight="1">
      <c r="A1" s="771" t="s">
        <v>429</v>
      </c>
      <c r="B1" s="773" t="s">
        <v>707</v>
      </c>
      <c r="C1" s="773" t="s">
        <v>708</v>
      </c>
      <c r="D1" s="777" t="s">
        <v>88</v>
      </c>
      <c r="E1" s="778"/>
      <c r="F1" s="769" t="s">
        <v>711</v>
      </c>
      <c r="G1" s="781" t="s">
        <v>709</v>
      </c>
      <c r="H1" s="781"/>
      <c r="I1" s="781"/>
      <c r="J1" s="782" t="s">
        <v>353</v>
      </c>
      <c r="K1" s="782"/>
      <c r="L1" s="782"/>
      <c r="M1" s="766" t="s">
        <v>710</v>
      </c>
      <c r="N1" s="767"/>
      <c r="O1" s="768"/>
    </row>
    <row r="2" spans="1:15" ht="95.25" thickBot="1">
      <c r="A2" s="772"/>
      <c r="B2" s="774"/>
      <c r="C2" s="774"/>
      <c r="D2" s="779"/>
      <c r="E2" s="780"/>
      <c r="F2" s="770"/>
      <c r="G2" s="255" t="s">
        <v>89</v>
      </c>
      <c r="H2" s="445" t="s">
        <v>1170</v>
      </c>
      <c r="I2" s="255" t="s">
        <v>1171</v>
      </c>
      <c r="J2" s="255" t="s">
        <v>89</v>
      </c>
      <c r="K2" s="445" t="s">
        <v>1170</v>
      </c>
      <c r="L2" s="255" t="s">
        <v>1171</v>
      </c>
      <c r="M2" s="255" t="s">
        <v>89</v>
      </c>
      <c r="N2" s="445" t="s">
        <v>1170</v>
      </c>
      <c r="O2" s="255" t="s">
        <v>1171</v>
      </c>
    </row>
    <row r="3" spans="1:15" ht="13.5" customHeight="1">
      <c r="A3" s="256">
        <v>1</v>
      </c>
      <c r="B3" s="442"/>
      <c r="C3" s="442"/>
      <c r="D3" s="443" t="s">
        <v>113</v>
      </c>
      <c r="E3" s="444"/>
      <c r="F3" s="444"/>
      <c r="G3" s="447"/>
      <c r="H3" s="448"/>
      <c r="I3" s="448"/>
      <c r="J3" s="449"/>
      <c r="K3" s="449"/>
      <c r="L3" s="449"/>
      <c r="M3" s="449"/>
      <c r="N3" s="449"/>
      <c r="O3" s="449"/>
    </row>
    <row r="4" spans="1:15" ht="13.5" customHeight="1">
      <c r="A4" s="260">
        <v>1</v>
      </c>
      <c r="B4" s="260">
        <v>12</v>
      </c>
      <c r="C4" s="261"/>
      <c r="D4" s="262" t="s">
        <v>1026</v>
      </c>
      <c r="E4" s="258"/>
      <c r="F4" s="258"/>
      <c r="G4" s="450"/>
      <c r="H4" s="451"/>
      <c r="I4" s="451"/>
      <c r="J4" s="374"/>
      <c r="K4" s="374"/>
      <c r="L4" s="374"/>
      <c r="M4" s="374"/>
      <c r="N4" s="374"/>
      <c r="O4" s="374"/>
    </row>
    <row r="5" spans="1:15" ht="24.75" customHeight="1">
      <c r="A5" s="256"/>
      <c r="B5" s="257"/>
      <c r="C5" s="256" t="s">
        <v>195</v>
      </c>
      <c r="D5" s="263" t="s">
        <v>447</v>
      </c>
      <c r="E5" s="264"/>
      <c r="F5" s="732"/>
      <c r="G5" s="451"/>
      <c r="H5" s="265">
        <v>20000</v>
      </c>
      <c r="I5" s="265">
        <f>SUM(H5)</f>
        <v>20000</v>
      </c>
      <c r="J5" s="374"/>
      <c r="K5" s="374"/>
      <c r="L5" s="374">
        <f aca="true" t="shared" si="0" ref="L5:L77">SUM(J5:K5)</f>
        <v>0</v>
      </c>
      <c r="M5" s="374">
        <f>SUM(G5+J5)</f>
        <v>0</v>
      </c>
      <c r="N5" s="374">
        <f>SUM(H5+K5)</f>
        <v>20000</v>
      </c>
      <c r="O5" s="374">
        <f aca="true" t="shared" si="1" ref="O5:O77">SUM(M5:N5)</f>
        <v>20000</v>
      </c>
    </row>
    <row r="6" spans="1:15" ht="24.75" customHeight="1">
      <c r="A6" s="256"/>
      <c r="B6" s="257"/>
      <c r="C6" s="256" t="s">
        <v>263</v>
      </c>
      <c r="D6" s="266" t="s">
        <v>448</v>
      </c>
      <c r="E6" s="267"/>
      <c r="F6" s="267"/>
      <c r="G6" s="450"/>
      <c r="H6" s="265">
        <v>22519</v>
      </c>
      <c r="I6" s="265">
        <f>SUM(H6)</f>
        <v>22519</v>
      </c>
      <c r="J6" s="374"/>
      <c r="K6" s="374"/>
      <c r="L6" s="374">
        <f t="shared" si="0"/>
        <v>0</v>
      </c>
      <c r="M6" s="374">
        <f aca="true" t="shared" si="2" ref="M6:M77">SUM(G6+J6)</f>
        <v>0</v>
      </c>
      <c r="N6" s="374">
        <f aca="true" t="shared" si="3" ref="N6:N77">SUM(H6+K6)</f>
        <v>22519</v>
      </c>
      <c r="O6" s="374">
        <f t="shared" si="1"/>
        <v>22519</v>
      </c>
    </row>
    <row r="7" spans="1:15" ht="13.5" customHeight="1">
      <c r="A7" s="268"/>
      <c r="B7" s="269"/>
      <c r="C7" s="268"/>
      <c r="D7" s="270" t="s">
        <v>449</v>
      </c>
      <c r="E7" s="271"/>
      <c r="F7" s="271"/>
      <c r="G7" s="453"/>
      <c r="H7" s="454">
        <f>SUM(H5:H6)</f>
        <v>42519</v>
      </c>
      <c r="I7" s="454">
        <f aca="true" t="shared" si="4" ref="I7:O7">SUM(I5:I6)</f>
        <v>42519</v>
      </c>
      <c r="J7" s="454">
        <f t="shared" si="4"/>
        <v>0</v>
      </c>
      <c r="K7" s="454">
        <f t="shared" si="4"/>
        <v>0</v>
      </c>
      <c r="L7" s="454">
        <f t="shared" si="4"/>
        <v>0</v>
      </c>
      <c r="M7" s="454">
        <f t="shared" si="4"/>
        <v>0</v>
      </c>
      <c r="N7" s="454">
        <f t="shared" si="4"/>
        <v>42519</v>
      </c>
      <c r="O7" s="454">
        <f t="shared" si="4"/>
        <v>42519</v>
      </c>
    </row>
    <row r="8" spans="1:15" ht="13.5" customHeight="1">
      <c r="A8" s="272">
        <v>1</v>
      </c>
      <c r="B8" s="272">
        <v>13</v>
      </c>
      <c r="C8" s="273"/>
      <c r="D8" s="274" t="s">
        <v>1027</v>
      </c>
      <c r="E8" s="275"/>
      <c r="F8" s="275"/>
      <c r="G8" s="276"/>
      <c r="H8" s="276"/>
      <c r="I8" s="276"/>
      <c r="J8" s="374"/>
      <c r="K8" s="374"/>
      <c r="L8" s="374"/>
      <c r="M8" s="374">
        <f t="shared" si="2"/>
        <v>0</v>
      </c>
      <c r="N8" s="374">
        <f t="shared" si="3"/>
        <v>0</v>
      </c>
      <c r="O8" s="374"/>
    </row>
    <row r="9" spans="1:15" ht="13.5" customHeight="1">
      <c r="A9" s="277"/>
      <c r="B9" s="278"/>
      <c r="C9" s="279" t="s">
        <v>195</v>
      </c>
      <c r="D9" s="280" t="s">
        <v>106</v>
      </c>
      <c r="E9" s="275"/>
      <c r="F9" s="275"/>
      <c r="G9" s="276"/>
      <c r="H9" s="276"/>
      <c r="I9" s="276"/>
      <c r="J9" s="374"/>
      <c r="K9" s="374"/>
      <c r="L9" s="374"/>
      <c r="M9" s="374">
        <f t="shared" si="2"/>
        <v>0</v>
      </c>
      <c r="N9" s="374">
        <f t="shared" si="3"/>
        <v>0</v>
      </c>
      <c r="O9" s="374"/>
    </row>
    <row r="10" spans="1:15" ht="13.5" customHeight="1">
      <c r="A10" s="277"/>
      <c r="B10" s="278"/>
      <c r="C10" s="281" t="s">
        <v>450</v>
      </c>
      <c r="D10" s="282" t="s">
        <v>451</v>
      </c>
      <c r="E10" s="275"/>
      <c r="F10" s="698"/>
      <c r="G10" s="276"/>
      <c r="H10" s="276"/>
      <c r="I10" s="276"/>
      <c r="J10" s="374"/>
      <c r="K10" s="374"/>
      <c r="L10" s="374"/>
      <c r="M10" s="374">
        <f t="shared" si="2"/>
        <v>0</v>
      </c>
      <c r="N10" s="374">
        <f t="shared" si="3"/>
        <v>0</v>
      </c>
      <c r="O10" s="374"/>
    </row>
    <row r="11" spans="1:15" ht="13.5" customHeight="1">
      <c r="A11" s="277"/>
      <c r="B11" s="278"/>
      <c r="C11" s="283" t="s">
        <v>452</v>
      </c>
      <c r="D11" s="284" t="s">
        <v>453</v>
      </c>
      <c r="E11" s="285"/>
      <c r="F11" s="285" t="s">
        <v>126</v>
      </c>
      <c r="G11" s="286">
        <v>2000</v>
      </c>
      <c r="H11" s="286"/>
      <c r="I11" s="286">
        <f>SUM(G11:H11)</f>
        <v>2000</v>
      </c>
      <c r="J11" s="374">
        <v>-2000</v>
      </c>
      <c r="K11" s="374">
        <v>2000</v>
      </c>
      <c r="L11" s="374">
        <f>SUM(J11:K11)</f>
        <v>0</v>
      </c>
      <c r="M11" s="374">
        <f t="shared" si="2"/>
        <v>0</v>
      </c>
      <c r="N11" s="374">
        <f t="shared" si="3"/>
        <v>2000</v>
      </c>
      <c r="O11" s="374">
        <f t="shared" si="1"/>
        <v>2000</v>
      </c>
    </row>
    <row r="12" spans="1:15" ht="13.5" customHeight="1">
      <c r="A12" s="277"/>
      <c r="B12" s="278"/>
      <c r="C12" s="283" t="s">
        <v>745</v>
      </c>
      <c r="D12" s="670" t="s">
        <v>1126</v>
      </c>
      <c r="E12" s="290"/>
      <c r="F12" s="707" t="s">
        <v>126</v>
      </c>
      <c r="G12" s="286"/>
      <c r="H12" s="286"/>
      <c r="I12" s="286"/>
      <c r="J12" s="374">
        <v>600</v>
      </c>
      <c r="K12" s="374"/>
      <c r="L12" s="374">
        <f t="shared" si="0"/>
        <v>600</v>
      </c>
      <c r="M12" s="374">
        <f t="shared" si="2"/>
        <v>600</v>
      </c>
      <c r="N12" s="374"/>
      <c r="O12" s="374">
        <f t="shared" si="1"/>
        <v>600</v>
      </c>
    </row>
    <row r="13" spans="1:15" ht="13.5" customHeight="1">
      <c r="A13" s="277"/>
      <c r="B13" s="278"/>
      <c r="C13" s="283" t="s">
        <v>454</v>
      </c>
      <c r="D13" s="289" t="s">
        <v>107</v>
      </c>
      <c r="E13" s="290"/>
      <c r="F13" s="707"/>
      <c r="G13" s="286"/>
      <c r="H13" s="286"/>
      <c r="I13" s="286"/>
      <c r="J13" s="374"/>
      <c r="K13" s="374"/>
      <c r="L13" s="374">
        <f t="shared" si="0"/>
        <v>0</v>
      </c>
      <c r="M13" s="374">
        <f t="shared" si="2"/>
        <v>0</v>
      </c>
      <c r="N13" s="374">
        <f t="shared" si="3"/>
        <v>0</v>
      </c>
      <c r="O13" s="374">
        <f t="shared" si="1"/>
        <v>0</v>
      </c>
    </row>
    <row r="14" spans="1:15" ht="15" customHeight="1">
      <c r="A14" s="277"/>
      <c r="B14" s="278"/>
      <c r="C14" s="283" t="s">
        <v>264</v>
      </c>
      <c r="D14" s="291" t="s">
        <v>455</v>
      </c>
      <c r="E14" s="290"/>
      <c r="F14" s="707"/>
      <c r="G14" s="286"/>
      <c r="H14" s="286">
        <v>13294</v>
      </c>
      <c r="I14" s="286">
        <f>SUM(G14:H14)</f>
        <v>13294</v>
      </c>
      <c r="J14" s="374"/>
      <c r="K14" s="374"/>
      <c r="L14" s="374">
        <f t="shared" si="0"/>
        <v>0</v>
      </c>
      <c r="M14" s="374">
        <f t="shared" si="2"/>
        <v>0</v>
      </c>
      <c r="N14" s="374">
        <f t="shared" si="3"/>
        <v>13294</v>
      </c>
      <c r="O14" s="374">
        <f t="shared" si="1"/>
        <v>13294</v>
      </c>
    </row>
    <row r="15" spans="1:15" ht="15" customHeight="1">
      <c r="A15" s="277"/>
      <c r="B15" s="278"/>
      <c r="C15" s="283" t="s">
        <v>99</v>
      </c>
      <c r="D15" s="292" t="s">
        <v>456</v>
      </c>
      <c r="E15" s="290"/>
      <c r="F15" s="707" t="s">
        <v>126</v>
      </c>
      <c r="G15" s="286">
        <v>8000</v>
      </c>
      <c r="H15" s="286"/>
      <c r="I15" s="286">
        <f>SUM(G15:H15)</f>
        <v>8000</v>
      </c>
      <c r="J15" s="374">
        <v>-8000</v>
      </c>
      <c r="K15" s="374">
        <v>8000</v>
      </c>
      <c r="L15" s="374">
        <f t="shared" si="0"/>
        <v>0</v>
      </c>
      <c r="M15" s="374">
        <f t="shared" si="2"/>
        <v>0</v>
      </c>
      <c r="N15" s="374">
        <f t="shared" si="3"/>
        <v>8000</v>
      </c>
      <c r="O15" s="374">
        <f t="shared" si="1"/>
        <v>8000</v>
      </c>
    </row>
    <row r="16" spans="1:15" ht="15" customHeight="1">
      <c r="A16" s="277"/>
      <c r="B16" s="278"/>
      <c r="C16" s="283" t="s">
        <v>913</v>
      </c>
      <c r="D16" s="293" t="s">
        <v>457</v>
      </c>
      <c r="E16" s="290"/>
      <c r="F16" s="707"/>
      <c r="G16" s="286">
        <v>3000</v>
      </c>
      <c r="H16" s="286"/>
      <c r="I16" s="286">
        <f>SUM(G16:H16)</f>
        <v>3000</v>
      </c>
      <c r="J16" s="374"/>
      <c r="K16" s="374"/>
      <c r="L16" s="374">
        <f t="shared" si="0"/>
        <v>0</v>
      </c>
      <c r="M16" s="374">
        <f t="shared" si="2"/>
        <v>3000</v>
      </c>
      <c r="N16" s="374">
        <f t="shared" si="3"/>
        <v>0</v>
      </c>
      <c r="O16" s="374">
        <f t="shared" si="1"/>
        <v>3000</v>
      </c>
    </row>
    <row r="17" spans="1:15" ht="15" customHeight="1">
      <c r="A17" s="277"/>
      <c r="B17" s="278"/>
      <c r="C17" s="283" t="s">
        <v>1130</v>
      </c>
      <c r="D17" s="293" t="s">
        <v>1131</v>
      </c>
      <c r="E17" s="290"/>
      <c r="F17" s="707" t="s">
        <v>126</v>
      </c>
      <c r="G17" s="286"/>
      <c r="H17" s="286"/>
      <c r="I17" s="286"/>
      <c r="J17" s="374">
        <v>2000</v>
      </c>
      <c r="K17" s="374"/>
      <c r="L17" s="374">
        <f t="shared" si="0"/>
        <v>2000</v>
      </c>
      <c r="M17" s="374">
        <f t="shared" si="2"/>
        <v>2000</v>
      </c>
      <c r="N17" s="374"/>
      <c r="O17" s="374">
        <f t="shared" si="1"/>
        <v>2000</v>
      </c>
    </row>
    <row r="18" spans="1:15" ht="15" customHeight="1">
      <c r="A18" s="277"/>
      <c r="B18" s="278"/>
      <c r="C18" s="281" t="s">
        <v>458</v>
      </c>
      <c r="D18" s="294" t="s">
        <v>459</v>
      </c>
      <c r="E18" s="290"/>
      <c r="F18" s="707"/>
      <c r="G18" s="286"/>
      <c r="H18" s="286"/>
      <c r="I18" s="286"/>
      <c r="J18" s="374"/>
      <c r="K18" s="374"/>
      <c r="L18" s="374">
        <f t="shared" si="0"/>
        <v>0</v>
      </c>
      <c r="M18" s="374">
        <f t="shared" si="2"/>
        <v>0</v>
      </c>
      <c r="N18" s="374">
        <f t="shared" si="3"/>
        <v>0</v>
      </c>
      <c r="O18" s="374">
        <f t="shared" si="1"/>
        <v>0</v>
      </c>
    </row>
    <row r="19" spans="1:15" ht="24.75" customHeight="1">
      <c r="A19" s="277"/>
      <c r="B19" s="278"/>
      <c r="C19" s="273" t="s">
        <v>460</v>
      </c>
      <c r="D19" s="284" t="s">
        <v>1117</v>
      </c>
      <c r="E19" s="290"/>
      <c r="F19" s="707"/>
      <c r="G19" s="286">
        <v>10325</v>
      </c>
      <c r="H19" s="286"/>
      <c r="I19" s="286">
        <f>SUM(G19:H19)</f>
        <v>10325</v>
      </c>
      <c r="J19" s="374"/>
      <c r="K19" s="374"/>
      <c r="L19" s="374">
        <f t="shared" si="0"/>
        <v>0</v>
      </c>
      <c r="M19" s="374">
        <f t="shared" si="2"/>
        <v>10325</v>
      </c>
      <c r="N19" s="374">
        <f t="shared" si="3"/>
        <v>0</v>
      </c>
      <c r="O19" s="374">
        <f t="shared" si="1"/>
        <v>10325</v>
      </c>
    </row>
    <row r="20" spans="1:15" ht="24.75" customHeight="1">
      <c r="A20" s="277"/>
      <c r="B20" s="278"/>
      <c r="C20" s="273" t="s">
        <v>461</v>
      </c>
      <c r="D20" s="284" t="s">
        <v>1118</v>
      </c>
      <c r="E20" s="290"/>
      <c r="F20" s="707"/>
      <c r="G20" s="286">
        <v>44577</v>
      </c>
      <c r="H20" s="286"/>
      <c r="I20" s="286">
        <f>SUM(G20:H20)</f>
        <v>44577</v>
      </c>
      <c r="J20" s="374"/>
      <c r="K20" s="374"/>
      <c r="L20" s="374">
        <f t="shared" si="0"/>
        <v>0</v>
      </c>
      <c r="M20" s="374">
        <f t="shared" si="2"/>
        <v>44577</v>
      </c>
      <c r="N20" s="374">
        <f t="shared" si="3"/>
        <v>0</v>
      </c>
      <c r="O20" s="374">
        <f t="shared" si="1"/>
        <v>44577</v>
      </c>
    </row>
    <row r="21" spans="1:15" ht="15" customHeight="1">
      <c r="A21" s="277"/>
      <c r="B21" s="278"/>
      <c r="C21" s="273" t="s">
        <v>462</v>
      </c>
      <c r="D21" s="284" t="s">
        <v>463</v>
      </c>
      <c r="E21" s="290"/>
      <c r="F21" s="707"/>
      <c r="G21" s="286">
        <v>5000</v>
      </c>
      <c r="H21" s="286"/>
      <c r="I21" s="286">
        <f>SUM(G21:H21)</f>
        <v>5000</v>
      </c>
      <c r="J21" s="374"/>
      <c r="K21" s="374"/>
      <c r="L21" s="374">
        <f t="shared" si="0"/>
        <v>0</v>
      </c>
      <c r="M21" s="374">
        <f t="shared" si="2"/>
        <v>5000</v>
      </c>
      <c r="N21" s="374">
        <f t="shared" si="3"/>
        <v>0</v>
      </c>
      <c r="O21" s="374">
        <f t="shared" si="1"/>
        <v>5000</v>
      </c>
    </row>
    <row r="22" spans="1:15" ht="15" customHeight="1">
      <c r="A22" s="277"/>
      <c r="B22" s="278"/>
      <c r="C22" s="273" t="s">
        <v>464</v>
      </c>
      <c r="D22" s="292" t="s">
        <v>465</v>
      </c>
      <c r="E22" s="290"/>
      <c r="F22" s="707"/>
      <c r="G22" s="286">
        <v>4000</v>
      </c>
      <c r="H22" s="286"/>
      <c r="I22" s="286">
        <f>SUM(G22:H22)</f>
        <v>4000</v>
      </c>
      <c r="J22" s="374"/>
      <c r="K22" s="374"/>
      <c r="L22" s="374">
        <f t="shared" si="0"/>
        <v>0</v>
      </c>
      <c r="M22" s="374">
        <f t="shared" si="2"/>
        <v>4000</v>
      </c>
      <c r="N22" s="374">
        <f t="shared" si="3"/>
        <v>0</v>
      </c>
      <c r="O22" s="374">
        <f t="shared" si="1"/>
        <v>4000</v>
      </c>
    </row>
    <row r="23" spans="1:15" ht="15" customHeight="1">
      <c r="A23" s="277"/>
      <c r="B23" s="278"/>
      <c r="C23" s="273" t="s">
        <v>466</v>
      </c>
      <c r="D23" s="295" t="s">
        <v>467</v>
      </c>
      <c r="E23" s="290"/>
      <c r="F23" s="707"/>
      <c r="G23" s="286"/>
      <c r="H23" s="286">
        <v>4933</v>
      </c>
      <c r="I23" s="286">
        <f>SUM(G23:H23)</f>
        <v>4933</v>
      </c>
      <c r="J23" s="374"/>
      <c r="K23" s="374"/>
      <c r="L23" s="374">
        <f t="shared" si="0"/>
        <v>0</v>
      </c>
      <c r="M23" s="374">
        <f t="shared" si="2"/>
        <v>0</v>
      </c>
      <c r="N23" s="374">
        <f t="shared" si="3"/>
        <v>4933</v>
      </c>
      <c r="O23" s="374">
        <f t="shared" si="1"/>
        <v>4933</v>
      </c>
    </row>
    <row r="24" spans="1:15" ht="15" customHeight="1">
      <c r="A24" s="277"/>
      <c r="B24" s="278"/>
      <c r="C24" s="273" t="s">
        <v>1112</v>
      </c>
      <c r="D24" s="295" t="s">
        <v>1104</v>
      </c>
      <c r="E24" s="290"/>
      <c r="F24" s="707" t="s">
        <v>126</v>
      </c>
      <c r="G24" s="286"/>
      <c r="H24" s="286"/>
      <c r="I24" s="286"/>
      <c r="J24" s="374">
        <v>50000</v>
      </c>
      <c r="K24" s="374"/>
      <c r="L24" s="374">
        <f t="shared" si="0"/>
        <v>50000</v>
      </c>
      <c r="M24" s="374">
        <f t="shared" si="2"/>
        <v>50000</v>
      </c>
      <c r="N24" s="374"/>
      <c r="O24" s="374">
        <f t="shared" si="1"/>
        <v>50000</v>
      </c>
    </row>
    <row r="25" spans="1:15" ht="24.75" customHeight="1">
      <c r="A25" s="277"/>
      <c r="B25" s="278"/>
      <c r="C25" s="313" t="s">
        <v>1107</v>
      </c>
      <c r="D25" s="295" t="s">
        <v>1108</v>
      </c>
      <c r="E25" s="290"/>
      <c r="F25" s="707" t="s">
        <v>126</v>
      </c>
      <c r="G25" s="286"/>
      <c r="H25" s="286"/>
      <c r="I25" s="286"/>
      <c r="J25" s="374"/>
      <c r="K25" s="374">
        <v>200</v>
      </c>
      <c r="L25" s="374">
        <f t="shared" si="0"/>
        <v>200</v>
      </c>
      <c r="M25" s="374"/>
      <c r="N25" s="374">
        <v>200</v>
      </c>
      <c r="O25" s="374">
        <f t="shared" si="1"/>
        <v>200</v>
      </c>
    </row>
    <row r="26" spans="1:15" ht="15" customHeight="1">
      <c r="A26" s="277"/>
      <c r="B26" s="278"/>
      <c r="C26" s="273">
        <v>5</v>
      </c>
      <c r="D26" s="296" t="s">
        <v>468</v>
      </c>
      <c r="E26" s="290"/>
      <c r="F26" s="707"/>
      <c r="G26" s="286"/>
      <c r="H26" s="286"/>
      <c r="I26" s="286"/>
      <c r="J26" s="374"/>
      <c r="K26" s="374"/>
      <c r="L26" s="374">
        <f t="shared" si="0"/>
        <v>0</v>
      </c>
      <c r="M26" s="374">
        <f t="shared" si="2"/>
        <v>0</v>
      </c>
      <c r="N26" s="374">
        <f t="shared" si="3"/>
        <v>0</v>
      </c>
      <c r="O26" s="374">
        <f t="shared" si="1"/>
        <v>0</v>
      </c>
    </row>
    <row r="27" spans="1:15" ht="15" customHeight="1">
      <c r="A27" s="277"/>
      <c r="B27" s="278"/>
      <c r="C27" s="297" t="s">
        <v>469</v>
      </c>
      <c r="D27" s="298" t="s">
        <v>470</v>
      </c>
      <c r="E27" s="301"/>
      <c r="F27" s="708"/>
      <c r="G27" s="286">
        <v>19050</v>
      </c>
      <c r="H27" s="276"/>
      <c r="I27" s="286">
        <f>SUM(G27:H27)</f>
        <v>19050</v>
      </c>
      <c r="J27" s="374"/>
      <c r="K27" s="374"/>
      <c r="L27" s="374">
        <f t="shared" si="0"/>
        <v>0</v>
      </c>
      <c r="M27" s="374">
        <f t="shared" si="2"/>
        <v>19050</v>
      </c>
      <c r="N27" s="374">
        <f t="shared" si="3"/>
        <v>0</v>
      </c>
      <c r="O27" s="374">
        <f t="shared" si="1"/>
        <v>19050</v>
      </c>
    </row>
    <row r="28" spans="1:15" ht="24.75" customHeight="1">
      <c r="A28" s="277"/>
      <c r="B28" s="278"/>
      <c r="C28" s="297" t="s">
        <v>471</v>
      </c>
      <c r="D28" s="300" t="s">
        <v>0</v>
      </c>
      <c r="E28" s="301"/>
      <c r="F28" s="708"/>
      <c r="G28" s="286">
        <v>254643</v>
      </c>
      <c r="H28" s="276"/>
      <c r="I28" s="286">
        <f>SUM(G28:H28)</f>
        <v>254643</v>
      </c>
      <c r="J28" s="374"/>
      <c r="K28" s="374"/>
      <c r="L28" s="374">
        <f t="shared" si="0"/>
        <v>0</v>
      </c>
      <c r="M28" s="374">
        <f t="shared" si="2"/>
        <v>254643</v>
      </c>
      <c r="N28" s="374">
        <f t="shared" si="3"/>
        <v>0</v>
      </c>
      <c r="O28" s="374">
        <f t="shared" si="1"/>
        <v>254643</v>
      </c>
    </row>
    <row r="29" spans="1:15" ht="24.75" customHeight="1">
      <c r="A29" s="277"/>
      <c r="B29" s="278"/>
      <c r="C29" s="297" t="s">
        <v>472</v>
      </c>
      <c r="D29" s="302" t="s">
        <v>1173</v>
      </c>
      <c r="E29" s="299"/>
      <c r="F29" s="694"/>
      <c r="G29" s="303">
        <v>2500</v>
      </c>
      <c r="H29" s="276"/>
      <c r="I29" s="303">
        <f>SUM(G29:H29)</f>
        <v>2500</v>
      </c>
      <c r="J29" s="374"/>
      <c r="K29" s="374"/>
      <c r="L29" s="374">
        <f t="shared" si="0"/>
        <v>0</v>
      </c>
      <c r="M29" s="374">
        <f t="shared" si="2"/>
        <v>2500</v>
      </c>
      <c r="N29" s="374">
        <f t="shared" si="3"/>
        <v>0</v>
      </c>
      <c r="O29" s="374">
        <f t="shared" si="1"/>
        <v>2500</v>
      </c>
    </row>
    <row r="30" spans="1:15" ht="15" customHeight="1">
      <c r="A30" s="277"/>
      <c r="B30" s="278"/>
      <c r="C30" s="297" t="s">
        <v>473</v>
      </c>
      <c r="D30" s="302" t="s">
        <v>1174</v>
      </c>
      <c r="E30" s="299"/>
      <c r="F30" s="694"/>
      <c r="G30" s="303">
        <v>2500</v>
      </c>
      <c r="H30" s="276"/>
      <c r="I30" s="303">
        <f>SUM(G30:H30)</f>
        <v>2500</v>
      </c>
      <c r="J30" s="374"/>
      <c r="K30" s="374"/>
      <c r="L30" s="374">
        <f t="shared" si="0"/>
        <v>0</v>
      </c>
      <c r="M30" s="374">
        <f t="shared" si="2"/>
        <v>2500</v>
      </c>
      <c r="N30" s="374">
        <f t="shared" si="3"/>
        <v>0</v>
      </c>
      <c r="O30" s="374">
        <f t="shared" si="1"/>
        <v>2500</v>
      </c>
    </row>
    <row r="31" spans="1:15" ht="24.75" customHeight="1">
      <c r="A31" s="277"/>
      <c r="B31" s="278"/>
      <c r="C31" s="297" t="s">
        <v>474</v>
      </c>
      <c r="D31" s="295" t="s">
        <v>475</v>
      </c>
      <c r="E31" s="304"/>
      <c r="F31" s="285" t="s">
        <v>126</v>
      </c>
      <c r="G31" s="286"/>
      <c r="H31" s="286">
        <v>23000</v>
      </c>
      <c r="I31" s="286">
        <f>SUM(G31:H31)</f>
        <v>23000</v>
      </c>
      <c r="J31" s="374"/>
      <c r="K31" s="374">
        <v>6000</v>
      </c>
      <c r="L31" s="374">
        <f t="shared" si="0"/>
        <v>6000</v>
      </c>
      <c r="M31" s="374">
        <f t="shared" si="2"/>
        <v>0</v>
      </c>
      <c r="N31" s="374">
        <f t="shared" si="3"/>
        <v>29000</v>
      </c>
      <c r="O31" s="374">
        <f t="shared" si="1"/>
        <v>29000</v>
      </c>
    </row>
    <row r="32" spans="1:15" ht="12.75" customHeight="1">
      <c r="A32" s="305"/>
      <c r="B32" s="306"/>
      <c r="C32" s="307"/>
      <c r="D32" s="308" t="s">
        <v>3</v>
      </c>
      <c r="E32" s="309"/>
      <c r="F32" s="699"/>
      <c r="G32" s="310">
        <f>SUM(G11:G31)</f>
        <v>355595</v>
      </c>
      <c r="H32" s="310">
        <f>SUM(H11:H31)</f>
        <v>41227</v>
      </c>
      <c r="I32" s="310">
        <f>SUM(I11:I31)</f>
        <v>396822</v>
      </c>
      <c r="J32" s="310">
        <f aca="true" t="shared" si="5" ref="J32:O32">SUM(J11:J31)</f>
        <v>42600</v>
      </c>
      <c r="K32" s="310">
        <f t="shared" si="5"/>
        <v>16200</v>
      </c>
      <c r="L32" s="310">
        <f t="shared" si="5"/>
        <v>58800</v>
      </c>
      <c r="M32" s="310">
        <f t="shared" si="5"/>
        <v>398195</v>
      </c>
      <c r="N32" s="310">
        <f t="shared" si="5"/>
        <v>57427</v>
      </c>
      <c r="O32" s="310">
        <f t="shared" si="5"/>
        <v>455622</v>
      </c>
    </row>
    <row r="33" spans="1:15" ht="12.75" customHeight="1">
      <c r="A33" s="311">
        <v>1</v>
      </c>
      <c r="B33" s="312">
        <v>15</v>
      </c>
      <c r="C33" s="313"/>
      <c r="D33" s="314" t="s">
        <v>332</v>
      </c>
      <c r="E33" s="315"/>
      <c r="F33" s="700"/>
      <c r="G33" s="316"/>
      <c r="H33" s="316"/>
      <c r="I33" s="316"/>
      <c r="J33" s="374"/>
      <c r="K33" s="374"/>
      <c r="L33" s="374"/>
      <c r="M33" s="374"/>
      <c r="N33" s="374"/>
      <c r="O33" s="374"/>
    </row>
    <row r="34" spans="1:15" ht="12.75" customHeight="1">
      <c r="A34" s="311"/>
      <c r="B34" s="312"/>
      <c r="C34" s="317">
        <v>1</v>
      </c>
      <c r="D34" s="314" t="s">
        <v>344</v>
      </c>
      <c r="E34" s="315"/>
      <c r="F34" s="700"/>
      <c r="G34" s="316"/>
      <c r="H34" s="316"/>
      <c r="I34" s="316"/>
      <c r="J34" s="374"/>
      <c r="K34" s="374"/>
      <c r="L34" s="374"/>
      <c r="M34" s="374"/>
      <c r="N34" s="374"/>
      <c r="O34" s="374">
        <f t="shared" si="1"/>
        <v>0</v>
      </c>
    </row>
    <row r="35" spans="1:15" ht="15" customHeight="1">
      <c r="A35" s="311"/>
      <c r="B35" s="312"/>
      <c r="C35" s="313" t="s">
        <v>260</v>
      </c>
      <c r="D35" s="292" t="s">
        <v>476</v>
      </c>
      <c r="E35" s="315"/>
      <c r="F35" s="700"/>
      <c r="G35" s="318">
        <v>18800</v>
      </c>
      <c r="H35" s="318"/>
      <c r="I35" s="318">
        <f aca="true" t="shared" si="6" ref="I35:I50">SUM(G35:H35)</f>
        <v>18800</v>
      </c>
      <c r="J35" s="374"/>
      <c r="K35" s="374"/>
      <c r="L35" s="374">
        <f t="shared" si="0"/>
        <v>0</v>
      </c>
      <c r="M35" s="374">
        <f t="shared" si="2"/>
        <v>18800</v>
      </c>
      <c r="N35" s="374">
        <f t="shared" si="3"/>
        <v>0</v>
      </c>
      <c r="O35" s="374">
        <f t="shared" si="1"/>
        <v>18800</v>
      </c>
    </row>
    <row r="36" spans="1:15" ht="15" customHeight="1">
      <c r="A36" s="319"/>
      <c r="B36" s="320"/>
      <c r="C36" s="313" t="s">
        <v>261</v>
      </c>
      <c r="D36" s="292" t="s">
        <v>477</v>
      </c>
      <c r="E36" s="315"/>
      <c r="F36" s="700"/>
      <c r="G36" s="318">
        <v>700</v>
      </c>
      <c r="H36" s="318"/>
      <c r="I36" s="318">
        <f t="shared" si="6"/>
        <v>700</v>
      </c>
      <c r="J36" s="374"/>
      <c r="K36" s="374"/>
      <c r="L36" s="374">
        <f t="shared" si="0"/>
        <v>0</v>
      </c>
      <c r="M36" s="374">
        <f t="shared" si="2"/>
        <v>700</v>
      </c>
      <c r="N36" s="374">
        <f t="shared" si="3"/>
        <v>0</v>
      </c>
      <c r="O36" s="374">
        <f t="shared" si="1"/>
        <v>700</v>
      </c>
    </row>
    <row r="37" spans="1:15" ht="15" customHeight="1">
      <c r="A37" s="311"/>
      <c r="B37" s="312"/>
      <c r="C37" s="313" t="s">
        <v>262</v>
      </c>
      <c r="D37" s="321" t="s">
        <v>478</v>
      </c>
      <c r="E37" s="315"/>
      <c r="F37" s="700"/>
      <c r="G37" s="318">
        <v>1000</v>
      </c>
      <c r="H37" s="318"/>
      <c r="I37" s="318">
        <f t="shared" si="6"/>
        <v>1000</v>
      </c>
      <c r="J37" s="374"/>
      <c r="K37" s="374"/>
      <c r="L37" s="374">
        <f t="shared" si="0"/>
        <v>0</v>
      </c>
      <c r="M37" s="374">
        <f t="shared" si="2"/>
        <v>1000</v>
      </c>
      <c r="N37" s="374">
        <f t="shared" si="3"/>
        <v>0</v>
      </c>
      <c r="O37" s="374">
        <f t="shared" si="1"/>
        <v>1000</v>
      </c>
    </row>
    <row r="38" spans="1:15" ht="24.75" customHeight="1">
      <c r="A38" s="311"/>
      <c r="B38" s="312"/>
      <c r="C38" s="313" t="s">
        <v>249</v>
      </c>
      <c r="D38" s="321" t="s">
        <v>479</v>
      </c>
      <c r="E38" s="315"/>
      <c r="F38" s="700"/>
      <c r="G38" s="318">
        <v>5000</v>
      </c>
      <c r="H38" s="318"/>
      <c r="I38" s="318">
        <f t="shared" si="6"/>
        <v>5000</v>
      </c>
      <c r="J38" s="374"/>
      <c r="K38" s="374"/>
      <c r="L38" s="374">
        <f t="shared" si="0"/>
        <v>0</v>
      </c>
      <c r="M38" s="374">
        <f t="shared" si="2"/>
        <v>5000</v>
      </c>
      <c r="N38" s="374">
        <f t="shared" si="3"/>
        <v>0</v>
      </c>
      <c r="O38" s="374">
        <f t="shared" si="1"/>
        <v>5000</v>
      </c>
    </row>
    <row r="39" spans="1:15" ht="15" customHeight="1">
      <c r="A39" s="311"/>
      <c r="B39" s="312"/>
      <c r="C39" s="313" t="s">
        <v>250</v>
      </c>
      <c r="D39" s="292" t="s">
        <v>480</v>
      </c>
      <c r="E39" s="315"/>
      <c r="F39" s="700"/>
      <c r="G39" s="318">
        <v>3500</v>
      </c>
      <c r="H39" s="318"/>
      <c r="I39" s="318">
        <f t="shared" si="6"/>
        <v>3500</v>
      </c>
      <c r="J39" s="374"/>
      <c r="K39" s="374"/>
      <c r="L39" s="374">
        <f t="shared" si="0"/>
        <v>0</v>
      </c>
      <c r="M39" s="374">
        <f t="shared" si="2"/>
        <v>3500</v>
      </c>
      <c r="N39" s="374">
        <f t="shared" si="3"/>
        <v>0</v>
      </c>
      <c r="O39" s="374">
        <f t="shared" si="1"/>
        <v>3500</v>
      </c>
    </row>
    <row r="40" spans="1:15" ht="12.75" customHeight="1">
      <c r="A40" s="311"/>
      <c r="B40" s="312"/>
      <c r="C40" s="313" t="s">
        <v>927</v>
      </c>
      <c r="D40" s="321" t="s">
        <v>481</v>
      </c>
      <c r="E40" s="315"/>
      <c r="F40" s="700"/>
      <c r="G40" s="318">
        <v>1200</v>
      </c>
      <c r="H40" s="318"/>
      <c r="I40" s="318">
        <f t="shared" si="6"/>
        <v>1200</v>
      </c>
      <c r="J40" s="374"/>
      <c r="K40" s="374"/>
      <c r="L40" s="374">
        <f t="shared" si="0"/>
        <v>0</v>
      </c>
      <c r="M40" s="374">
        <f t="shared" si="2"/>
        <v>1200</v>
      </c>
      <c r="N40" s="374">
        <f t="shared" si="3"/>
        <v>0</v>
      </c>
      <c r="O40" s="374">
        <f t="shared" si="1"/>
        <v>1200</v>
      </c>
    </row>
    <row r="41" spans="1:15" ht="12.75" customHeight="1">
      <c r="A41" s="311"/>
      <c r="B41" s="312"/>
      <c r="C41" s="313" t="s">
        <v>928</v>
      </c>
      <c r="D41" s="321" t="s">
        <v>9</v>
      </c>
      <c r="E41" s="315"/>
      <c r="F41" s="700"/>
      <c r="G41" s="318">
        <v>1000</v>
      </c>
      <c r="H41" s="318"/>
      <c r="I41" s="318">
        <f t="shared" si="6"/>
        <v>1000</v>
      </c>
      <c r="J41" s="374"/>
      <c r="K41" s="374"/>
      <c r="L41" s="374">
        <f t="shared" si="0"/>
        <v>0</v>
      </c>
      <c r="M41" s="374">
        <f t="shared" si="2"/>
        <v>1000</v>
      </c>
      <c r="N41" s="374">
        <f t="shared" si="3"/>
        <v>0</v>
      </c>
      <c r="O41" s="374">
        <f t="shared" si="1"/>
        <v>1000</v>
      </c>
    </row>
    <row r="42" spans="1:15" ht="12.75" customHeight="1">
      <c r="A42" s="311"/>
      <c r="B42" s="312"/>
      <c r="C42" s="313" t="s">
        <v>924</v>
      </c>
      <c r="D42" s="292" t="s">
        <v>902</v>
      </c>
      <c r="E42" s="315"/>
      <c r="F42" s="700"/>
      <c r="G42" s="318">
        <v>1000</v>
      </c>
      <c r="H42" s="318"/>
      <c r="I42" s="318">
        <f t="shared" si="6"/>
        <v>1000</v>
      </c>
      <c r="J42" s="374"/>
      <c r="K42" s="374"/>
      <c r="L42" s="374">
        <f t="shared" si="0"/>
        <v>0</v>
      </c>
      <c r="M42" s="374">
        <f t="shared" si="2"/>
        <v>1000</v>
      </c>
      <c r="N42" s="374">
        <f t="shared" si="3"/>
        <v>0</v>
      </c>
      <c r="O42" s="374">
        <f t="shared" si="1"/>
        <v>1000</v>
      </c>
    </row>
    <row r="43" spans="1:15" ht="12.75" customHeight="1">
      <c r="A43" s="311"/>
      <c r="B43" s="312"/>
      <c r="C43" s="313" t="s">
        <v>482</v>
      </c>
      <c r="D43" s="292" t="s">
        <v>483</v>
      </c>
      <c r="E43" s="315"/>
      <c r="F43" s="700"/>
      <c r="G43" s="318">
        <v>1000</v>
      </c>
      <c r="H43" s="318"/>
      <c r="I43" s="318">
        <f t="shared" si="6"/>
        <v>1000</v>
      </c>
      <c r="J43" s="374"/>
      <c r="K43" s="374"/>
      <c r="L43" s="374">
        <f t="shared" si="0"/>
        <v>0</v>
      </c>
      <c r="M43" s="374">
        <f t="shared" si="2"/>
        <v>1000</v>
      </c>
      <c r="N43" s="374">
        <f t="shared" si="3"/>
        <v>0</v>
      </c>
      <c r="O43" s="374">
        <f t="shared" si="1"/>
        <v>1000</v>
      </c>
    </row>
    <row r="44" spans="1:15" ht="12.75" customHeight="1">
      <c r="A44" s="311"/>
      <c r="B44" s="312"/>
      <c r="C44" s="313" t="s">
        <v>1140</v>
      </c>
      <c r="D44" s="292" t="s">
        <v>1141</v>
      </c>
      <c r="E44" s="315"/>
      <c r="F44" s="700" t="s">
        <v>126</v>
      </c>
      <c r="G44" s="318"/>
      <c r="H44" s="318"/>
      <c r="I44" s="318"/>
      <c r="J44" s="374"/>
      <c r="K44" s="374">
        <v>206514</v>
      </c>
      <c r="L44" s="374">
        <f t="shared" si="0"/>
        <v>206514</v>
      </c>
      <c r="M44" s="374">
        <f t="shared" si="2"/>
        <v>0</v>
      </c>
      <c r="N44" s="374">
        <f t="shared" si="3"/>
        <v>206514</v>
      </c>
      <c r="O44" s="374">
        <f t="shared" si="1"/>
        <v>206514</v>
      </c>
    </row>
    <row r="45" spans="1:15" ht="12.75" customHeight="1">
      <c r="A45" s="311"/>
      <c r="B45" s="312"/>
      <c r="C45" s="313" t="s">
        <v>1113</v>
      </c>
      <c r="D45" s="366" t="s">
        <v>1142</v>
      </c>
      <c r="E45" s="315"/>
      <c r="F45" s="700" t="s">
        <v>126</v>
      </c>
      <c r="G45" s="318"/>
      <c r="H45" s="318"/>
      <c r="I45" s="318"/>
      <c r="J45" s="374">
        <v>746</v>
      </c>
      <c r="K45" s="374"/>
      <c r="L45" s="374">
        <f t="shared" si="0"/>
        <v>746</v>
      </c>
      <c r="M45" s="374">
        <f t="shared" si="2"/>
        <v>746</v>
      </c>
      <c r="N45" s="374">
        <f t="shared" si="3"/>
        <v>0</v>
      </c>
      <c r="O45" s="374">
        <f t="shared" si="1"/>
        <v>746</v>
      </c>
    </row>
    <row r="46" spans="1:15" ht="12.75" customHeight="1">
      <c r="A46" s="311"/>
      <c r="B46" s="312"/>
      <c r="C46" s="313"/>
      <c r="D46" s="322" t="s">
        <v>468</v>
      </c>
      <c r="E46" s="315"/>
      <c r="F46" s="700"/>
      <c r="G46" s="318"/>
      <c r="H46" s="318"/>
      <c r="I46" s="318">
        <f t="shared" si="6"/>
        <v>0</v>
      </c>
      <c r="J46" s="374"/>
      <c r="K46" s="374"/>
      <c r="L46" s="374">
        <f t="shared" si="0"/>
        <v>0</v>
      </c>
      <c r="M46" s="374">
        <f t="shared" si="2"/>
        <v>0</v>
      </c>
      <c r="N46" s="374">
        <f t="shared" si="3"/>
        <v>0</v>
      </c>
      <c r="O46" s="374">
        <f t="shared" si="1"/>
        <v>0</v>
      </c>
    </row>
    <row r="47" spans="1:15" ht="12.75" customHeight="1">
      <c r="A47" s="311"/>
      <c r="B47" s="312"/>
      <c r="C47" s="313" t="s">
        <v>130</v>
      </c>
      <c r="D47" s="323" t="s">
        <v>484</v>
      </c>
      <c r="E47" s="324"/>
      <c r="F47" s="701"/>
      <c r="G47" s="286">
        <v>18326</v>
      </c>
      <c r="H47" s="286"/>
      <c r="I47" s="318">
        <f t="shared" si="6"/>
        <v>18326</v>
      </c>
      <c r="J47" s="374"/>
      <c r="K47" s="374"/>
      <c r="L47" s="374">
        <f t="shared" si="0"/>
        <v>0</v>
      </c>
      <c r="M47" s="374">
        <f t="shared" si="2"/>
        <v>18326</v>
      </c>
      <c r="N47" s="374">
        <f t="shared" si="3"/>
        <v>0</v>
      </c>
      <c r="O47" s="374">
        <f t="shared" si="1"/>
        <v>18326</v>
      </c>
    </row>
    <row r="48" spans="1:15" ht="12.75" customHeight="1">
      <c r="A48" s="311"/>
      <c r="B48" s="312"/>
      <c r="C48" s="325" t="s">
        <v>263</v>
      </c>
      <c r="D48" s="326" t="s">
        <v>903</v>
      </c>
      <c r="E48" s="315"/>
      <c r="F48" s="700"/>
      <c r="G48" s="318"/>
      <c r="H48" s="318"/>
      <c r="I48" s="318"/>
      <c r="J48" s="374"/>
      <c r="K48" s="374"/>
      <c r="L48" s="374"/>
      <c r="M48" s="374"/>
      <c r="N48" s="374"/>
      <c r="O48" s="374"/>
    </row>
    <row r="49" spans="1:15" ht="12.75" customHeight="1">
      <c r="A49" s="311"/>
      <c r="B49" s="312"/>
      <c r="C49" s="313" t="s">
        <v>264</v>
      </c>
      <c r="D49" s="323" t="s">
        <v>100</v>
      </c>
      <c r="E49" s="315"/>
      <c r="F49" s="700" t="s">
        <v>126</v>
      </c>
      <c r="G49" s="318">
        <v>1000</v>
      </c>
      <c r="H49" s="318"/>
      <c r="I49" s="318">
        <f t="shared" si="6"/>
        <v>1000</v>
      </c>
      <c r="J49" s="374">
        <v>2000</v>
      </c>
      <c r="K49" s="374"/>
      <c r="L49" s="374">
        <f t="shared" si="0"/>
        <v>2000</v>
      </c>
      <c r="M49" s="374">
        <f t="shared" si="2"/>
        <v>3000</v>
      </c>
      <c r="N49" s="374">
        <f t="shared" si="3"/>
        <v>0</v>
      </c>
      <c r="O49" s="374">
        <f t="shared" si="1"/>
        <v>3000</v>
      </c>
    </row>
    <row r="50" spans="1:15" ht="12.75" customHeight="1">
      <c r="A50" s="311"/>
      <c r="B50" s="312"/>
      <c r="C50" s="313" t="s">
        <v>99</v>
      </c>
      <c r="D50" s="327" t="s">
        <v>485</v>
      </c>
      <c r="E50" s="315"/>
      <c r="F50" s="700" t="s">
        <v>126</v>
      </c>
      <c r="G50" s="318">
        <v>47864</v>
      </c>
      <c r="H50" s="318"/>
      <c r="I50" s="318">
        <f t="shared" si="6"/>
        <v>47864</v>
      </c>
      <c r="J50" s="374">
        <v>10000</v>
      </c>
      <c r="K50" s="374"/>
      <c r="L50" s="374">
        <f t="shared" si="0"/>
        <v>10000</v>
      </c>
      <c r="M50" s="374">
        <f t="shared" si="2"/>
        <v>57864</v>
      </c>
      <c r="N50" s="374">
        <f t="shared" si="3"/>
        <v>0</v>
      </c>
      <c r="O50" s="374">
        <f t="shared" si="1"/>
        <v>57864</v>
      </c>
    </row>
    <row r="51" spans="1:15" ht="12.75" customHeight="1">
      <c r="A51" s="311"/>
      <c r="B51" s="312"/>
      <c r="C51" s="313" t="s">
        <v>913</v>
      </c>
      <c r="D51" s="671" t="s">
        <v>361</v>
      </c>
      <c r="E51" s="315"/>
      <c r="F51" s="700" t="s">
        <v>126</v>
      </c>
      <c r="G51" s="318"/>
      <c r="H51" s="318"/>
      <c r="I51" s="318"/>
      <c r="J51" s="374"/>
      <c r="K51" s="374">
        <v>33986</v>
      </c>
      <c r="L51" s="374">
        <f t="shared" si="0"/>
        <v>33986</v>
      </c>
      <c r="M51" s="374">
        <f t="shared" si="2"/>
        <v>0</v>
      </c>
      <c r="N51" s="374">
        <f t="shared" si="3"/>
        <v>33986</v>
      </c>
      <c r="O51" s="374">
        <f t="shared" si="1"/>
        <v>33986</v>
      </c>
    </row>
    <row r="52" spans="1:15" ht="15" customHeight="1">
      <c r="A52" s="311"/>
      <c r="B52" s="312"/>
      <c r="C52" s="313"/>
      <c r="D52" s="322" t="s">
        <v>468</v>
      </c>
      <c r="E52" s="315"/>
      <c r="F52" s="700"/>
      <c r="G52" s="318"/>
      <c r="H52" s="318"/>
      <c r="I52" s="318"/>
      <c r="J52" s="374"/>
      <c r="K52" s="374"/>
      <c r="L52" s="374">
        <f t="shared" si="0"/>
        <v>0</v>
      </c>
      <c r="M52" s="374">
        <f t="shared" si="2"/>
        <v>0</v>
      </c>
      <c r="N52" s="374">
        <f t="shared" si="3"/>
        <v>0</v>
      </c>
      <c r="O52" s="374">
        <f t="shared" si="1"/>
        <v>0</v>
      </c>
    </row>
    <row r="53" spans="1:15" ht="24.75" customHeight="1">
      <c r="A53" s="311"/>
      <c r="B53" s="312"/>
      <c r="C53" s="313" t="s">
        <v>169</v>
      </c>
      <c r="D53" s="328" t="s">
        <v>486</v>
      </c>
      <c r="E53" s="315"/>
      <c r="F53" s="700"/>
      <c r="G53" s="318"/>
      <c r="H53" s="318">
        <v>355893</v>
      </c>
      <c r="I53" s="318">
        <f>SUM(G53:H53)</f>
        <v>355893</v>
      </c>
      <c r="J53" s="374"/>
      <c r="K53" s="374"/>
      <c r="L53" s="374">
        <f t="shared" si="0"/>
        <v>0</v>
      </c>
      <c r="M53" s="374">
        <f t="shared" si="2"/>
        <v>0</v>
      </c>
      <c r="N53" s="374">
        <f t="shared" si="3"/>
        <v>355893</v>
      </c>
      <c r="O53" s="374">
        <f t="shared" si="1"/>
        <v>355893</v>
      </c>
    </row>
    <row r="54" spans="1:15" ht="12.75" customHeight="1">
      <c r="A54" s="311"/>
      <c r="B54" s="312"/>
      <c r="C54" s="329" t="s">
        <v>265</v>
      </c>
      <c r="D54" s="330" t="s">
        <v>196</v>
      </c>
      <c r="E54" s="315"/>
      <c r="F54" s="700"/>
      <c r="G54" s="318"/>
      <c r="H54" s="318"/>
      <c r="I54" s="318"/>
      <c r="J54" s="374"/>
      <c r="K54" s="374"/>
      <c r="L54" s="374"/>
      <c r="M54" s="374"/>
      <c r="N54" s="374"/>
      <c r="O54" s="374"/>
    </row>
    <row r="55" spans="1:15" ht="12.75" customHeight="1">
      <c r="A55" s="311"/>
      <c r="B55" s="312"/>
      <c r="C55" s="313" t="s">
        <v>270</v>
      </c>
      <c r="D55" s="321" t="s">
        <v>487</v>
      </c>
      <c r="E55" s="315"/>
      <c r="F55" s="700"/>
      <c r="G55" s="318">
        <v>800</v>
      </c>
      <c r="H55" s="318"/>
      <c r="I55" s="318">
        <f aca="true" t="shared" si="7" ref="I55:I61">SUM(G55:H55)</f>
        <v>800</v>
      </c>
      <c r="J55" s="374"/>
      <c r="K55" s="374"/>
      <c r="L55" s="374">
        <f t="shared" si="0"/>
        <v>0</v>
      </c>
      <c r="M55" s="374">
        <f t="shared" si="2"/>
        <v>800</v>
      </c>
      <c r="N55" s="374">
        <f t="shared" si="3"/>
        <v>0</v>
      </c>
      <c r="O55" s="374">
        <f t="shared" si="1"/>
        <v>800</v>
      </c>
    </row>
    <row r="56" spans="1:15" ht="12.75" customHeight="1">
      <c r="A56" s="311"/>
      <c r="B56" s="312"/>
      <c r="C56" s="313" t="s">
        <v>271</v>
      </c>
      <c r="D56" s="331" t="s">
        <v>488</v>
      </c>
      <c r="E56" s="332"/>
      <c r="F56" s="702"/>
      <c r="G56" s="333">
        <v>10000</v>
      </c>
      <c r="H56" s="333"/>
      <c r="I56" s="333">
        <f t="shared" si="7"/>
        <v>10000</v>
      </c>
      <c r="J56" s="374"/>
      <c r="K56" s="374"/>
      <c r="L56" s="374">
        <f t="shared" si="0"/>
        <v>0</v>
      </c>
      <c r="M56" s="374">
        <f t="shared" si="2"/>
        <v>10000</v>
      </c>
      <c r="N56" s="374">
        <f t="shared" si="3"/>
        <v>0</v>
      </c>
      <c r="O56" s="374">
        <f t="shared" si="1"/>
        <v>10000</v>
      </c>
    </row>
    <row r="57" spans="1:15" ht="12.75" customHeight="1">
      <c r="A57" s="311"/>
      <c r="B57" s="312"/>
      <c r="C57" s="313" t="s">
        <v>313</v>
      </c>
      <c r="D57" s="334" t="s">
        <v>489</v>
      </c>
      <c r="E57" s="332"/>
      <c r="F57" s="702" t="s">
        <v>126</v>
      </c>
      <c r="G57" s="333">
        <v>1000</v>
      </c>
      <c r="H57" s="333"/>
      <c r="I57" s="333">
        <f t="shared" si="7"/>
        <v>1000</v>
      </c>
      <c r="J57" s="374">
        <v>-1000</v>
      </c>
      <c r="K57" s="374"/>
      <c r="L57" s="374">
        <f t="shared" si="0"/>
        <v>-1000</v>
      </c>
      <c r="M57" s="374">
        <f t="shared" si="2"/>
        <v>0</v>
      </c>
      <c r="N57" s="374">
        <f t="shared" si="3"/>
        <v>0</v>
      </c>
      <c r="O57" s="374">
        <f t="shared" si="1"/>
        <v>0</v>
      </c>
    </row>
    <row r="58" spans="1:15" ht="37.5" customHeight="1">
      <c r="A58" s="311"/>
      <c r="B58" s="312"/>
      <c r="C58" s="313" t="s">
        <v>112</v>
      </c>
      <c r="D58" s="334" t="s">
        <v>490</v>
      </c>
      <c r="E58" s="332"/>
      <c r="F58" s="702"/>
      <c r="G58" s="333">
        <v>1000</v>
      </c>
      <c r="H58" s="333"/>
      <c r="I58" s="333">
        <f t="shared" si="7"/>
        <v>1000</v>
      </c>
      <c r="J58" s="374"/>
      <c r="K58" s="374"/>
      <c r="L58" s="374">
        <f t="shared" si="0"/>
        <v>0</v>
      </c>
      <c r="M58" s="374">
        <f t="shared" si="2"/>
        <v>1000</v>
      </c>
      <c r="N58" s="374">
        <f t="shared" si="3"/>
        <v>0</v>
      </c>
      <c r="O58" s="374">
        <f t="shared" si="1"/>
        <v>1000</v>
      </c>
    </row>
    <row r="59" spans="1:15" ht="12.75" customHeight="1">
      <c r="A59" s="311"/>
      <c r="B59" s="312"/>
      <c r="C59" s="313" t="s">
        <v>990</v>
      </c>
      <c r="D59" s="334" t="s">
        <v>491</v>
      </c>
      <c r="E59" s="332"/>
      <c r="F59" s="702"/>
      <c r="G59" s="333">
        <v>1200</v>
      </c>
      <c r="H59" s="333"/>
      <c r="I59" s="333">
        <f t="shared" si="7"/>
        <v>1200</v>
      </c>
      <c r="J59" s="374"/>
      <c r="K59" s="374"/>
      <c r="L59" s="374">
        <f t="shared" si="0"/>
        <v>0</v>
      </c>
      <c r="M59" s="374">
        <f t="shared" si="2"/>
        <v>1200</v>
      </c>
      <c r="N59" s="374">
        <f t="shared" si="3"/>
        <v>0</v>
      </c>
      <c r="O59" s="374">
        <f t="shared" si="1"/>
        <v>1200</v>
      </c>
    </row>
    <row r="60" spans="1:15" ht="12.75" customHeight="1">
      <c r="A60" s="311"/>
      <c r="B60" s="312"/>
      <c r="C60" s="313" t="s">
        <v>991</v>
      </c>
      <c r="D60" s="334" t="s">
        <v>492</v>
      </c>
      <c r="E60" s="332"/>
      <c r="F60" s="702"/>
      <c r="G60" s="333">
        <v>1200</v>
      </c>
      <c r="H60" s="333"/>
      <c r="I60" s="333">
        <f t="shared" si="7"/>
        <v>1200</v>
      </c>
      <c r="J60" s="374"/>
      <c r="K60" s="374"/>
      <c r="L60" s="374">
        <f t="shared" si="0"/>
        <v>0</v>
      </c>
      <c r="M60" s="374">
        <f t="shared" si="2"/>
        <v>1200</v>
      </c>
      <c r="N60" s="374">
        <f t="shared" si="3"/>
        <v>0</v>
      </c>
      <c r="O60" s="374">
        <f t="shared" si="1"/>
        <v>1200</v>
      </c>
    </row>
    <row r="61" spans="1:15" ht="12.75" customHeight="1">
      <c r="A61" s="311"/>
      <c r="B61" s="312"/>
      <c r="C61" s="313" t="s">
        <v>992</v>
      </c>
      <c r="D61" s="334" t="s">
        <v>493</v>
      </c>
      <c r="E61" s="332"/>
      <c r="F61" s="702"/>
      <c r="G61" s="333">
        <v>1000</v>
      </c>
      <c r="H61" s="333"/>
      <c r="I61" s="333">
        <f t="shared" si="7"/>
        <v>1000</v>
      </c>
      <c r="J61" s="374"/>
      <c r="K61" s="374"/>
      <c r="L61" s="374">
        <f t="shared" si="0"/>
        <v>0</v>
      </c>
      <c r="M61" s="374">
        <f t="shared" si="2"/>
        <v>1000</v>
      </c>
      <c r="N61" s="374">
        <f t="shared" si="3"/>
        <v>0</v>
      </c>
      <c r="O61" s="374">
        <f t="shared" si="1"/>
        <v>1000</v>
      </c>
    </row>
    <row r="62" spans="1:15" ht="12.75" customHeight="1">
      <c r="A62" s="311"/>
      <c r="B62" s="312"/>
      <c r="C62" s="313" t="s">
        <v>1109</v>
      </c>
      <c r="D62" s="334" t="s">
        <v>1110</v>
      </c>
      <c r="E62" s="332"/>
      <c r="F62" s="702" t="s">
        <v>126</v>
      </c>
      <c r="G62" s="333"/>
      <c r="H62" s="333"/>
      <c r="I62" s="333"/>
      <c r="J62" s="374">
        <v>1400</v>
      </c>
      <c r="K62" s="374"/>
      <c r="L62" s="374">
        <f t="shared" si="0"/>
        <v>1400</v>
      </c>
      <c r="M62" s="374">
        <f t="shared" si="2"/>
        <v>1400</v>
      </c>
      <c r="N62" s="374">
        <f t="shared" si="3"/>
        <v>0</v>
      </c>
      <c r="O62" s="374">
        <f t="shared" si="1"/>
        <v>1400</v>
      </c>
    </row>
    <row r="63" spans="1:15" ht="12.75" customHeight="1">
      <c r="A63" s="311"/>
      <c r="B63" s="312"/>
      <c r="C63" s="313" t="s">
        <v>359</v>
      </c>
      <c r="D63" s="672" t="s">
        <v>360</v>
      </c>
      <c r="E63" s="332"/>
      <c r="F63" s="702" t="s">
        <v>126</v>
      </c>
      <c r="G63" s="333"/>
      <c r="H63" s="333"/>
      <c r="I63" s="333"/>
      <c r="J63" s="374"/>
      <c r="K63" s="374">
        <v>24</v>
      </c>
      <c r="L63" s="374">
        <f t="shared" si="0"/>
        <v>24</v>
      </c>
      <c r="M63" s="374">
        <f t="shared" si="2"/>
        <v>0</v>
      </c>
      <c r="N63" s="374">
        <f t="shared" si="3"/>
        <v>24</v>
      </c>
      <c r="O63" s="374">
        <f t="shared" si="1"/>
        <v>24</v>
      </c>
    </row>
    <row r="64" spans="1:15" ht="12.75" customHeight="1">
      <c r="A64" s="311"/>
      <c r="B64" s="312"/>
      <c r="C64" s="329"/>
      <c r="D64" s="322" t="s">
        <v>468</v>
      </c>
      <c r="E64" s="315"/>
      <c r="F64" s="700"/>
      <c r="G64" s="318"/>
      <c r="H64" s="318"/>
      <c r="I64" s="333"/>
      <c r="J64" s="374"/>
      <c r="K64" s="374"/>
      <c r="L64" s="374">
        <f t="shared" si="0"/>
        <v>0</v>
      </c>
      <c r="M64" s="374">
        <f t="shared" si="2"/>
        <v>0</v>
      </c>
      <c r="N64" s="374">
        <f t="shared" si="3"/>
        <v>0</v>
      </c>
      <c r="O64" s="374">
        <f t="shared" si="1"/>
        <v>0</v>
      </c>
    </row>
    <row r="65" spans="1:15" ht="12.75" customHeight="1">
      <c r="A65" s="311"/>
      <c r="B65" s="312"/>
      <c r="C65" s="335" t="s">
        <v>494</v>
      </c>
      <c r="D65" s="336" t="s">
        <v>904</v>
      </c>
      <c r="E65" s="315"/>
      <c r="F65" s="700"/>
      <c r="G65" s="318">
        <v>2653</v>
      </c>
      <c r="H65" s="318"/>
      <c r="I65" s="333">
        <f>SUM(G65:H65)</f>
        <v>2653</v>
      </c>
      <c r="J65" s="374"/>
      <c r="K65" s="374"/>
      <c r="L65" s="374">
        <f t="shared" si="0"/>
        <v>0</v>
      </c>
      <c r="M65" s="374">
        <f t="shared" si="2"/>
        <v>2653</v>
      </c>
      <c r="N65" s="374">
        <f t="shared" si="3"/>
        <v>0</v>
      </c>
      <c r="O65" s="374">
        <f t="shared" si="1"/>
        <v>2653</v>
      </c>
    </row>
    <row r="66" spans="1:15" ht="12.75" customHeight="1">
      <c r="A66" s="311"/>
      <c r="B66" s="312"/>
      <c r="C66" s="329" t="s">
        <v>267</v>
      </c>
      <c r="D66" s="337" t="s">
        <v>272</v>
      </c>
      <c r="E66" s="315"/>
      <c r="F66" s="700"/>
      <c r="G66" s="316"/>
      <c r="H66" s="316"/>
      <c r="I66" s="316"/>
      <c r="J66" s="374"/>
      <c r="K66" s="374"/>
      <c r="L66" s="374"/>
      <c r="M66" s="374"/>
      <c r="N66" s="374"/>
      <c r="O66" s="374"/>
    </row>
    <row r="67" spans="1:15" ht="12.75" customHeight="1">
      <c r="A67" s="311"/>
      <c r="B67" s="312"/>
      <c r="C67" s="313" t="s">
        <v>273</v>
      </c>
      <c r="D67" s="338" t="s">
        <v>905</v>
      </c>
      <c r="E67" s="315"/>
      <c r="F67" s="700"/>
      <c r="G67" s="318">
        <v>9862</v>
      </c>
      <c r="H67" s="318"/>
      <c r="I67" s="318">
        <f aca="true" t="shared" si="8" ref="I67:I73">SUM(G67:H67)</f>
        <v>9862</v>
      </c>
      <c r="J67" s="374"/>
      <c r="K67" s="374"/>
      <c r="L67" s="374">
        <f t="shared" si="0"/>
        <v>0</v>
      </c>
      <c r="M67" s="374">
        <f t="shared" si="2"/>
        <v>9862</v>
      </c>
      <c r="N67" s="374">
        <f t="shared" si="3"/>
        <v>0</v>
      </c>
      <c r="O67" s="374">
        <f t="shared" si="1"/>
        <v>9862</v>
      </c>
    </row>
    <row r="68" spans="1:15" ht="12.75" customHeight="1">
      <c r="A68" s="311"/>
      <c r="B68" s="312"/>
      <c r="C68" s="313" t="s">
        <v>274</v>
      </c>
      <c r="D68" s="338" t="s">
        <v>495</v>
      </c>
      <c r="E68" s="315"/>
      <c r="F68" s="700"/>
      <c r="G68" s="318">
        <v>8000</v>
      </c>
      <c r="H68" s="318"/>
      <c r="I68" s="318">
        <f t="shared" si="8"/>
        <v>8000</v>
      </c>
      <c r="J68" s="374"/>
      <c r="K68" s="374"/>
      <c r="L68" s="374">
        <f t="shared" si="0"/>
        <v>0</v>
      </c>
      <c r="M68" s="374">
        <f t="shared" si="2"/>
        <v>8000</v>
      </c>
      <c r="N68" s="374">
        <f t="shared" si="3"/>
        <v>0</v>
      </c>
      <c r="O68" s="374">
        <f t="shared" si="1"/>
        <v>8000</v>
      </c>
    </row>
    <row r="69" spans="1:15" ht="12.75" customHeight="1">
      <c r="A69" s="311"/>
      <c r="B69" s="312"/>
      <c r="C69" s="313" t="s">
        <v>275</v>
      </c>
      <c r="D69" s="338" t="s">
        <v>496</v>
      </c>
      <c r="E69" s="315"/>
      <c r="F69" s="700"/>
      <c r="G69" s="318">
        <v>3000</v>
      </c>
      <c r="H69" s="318"/>
      <c r="I69" s="318">
        <f t="shared" si="8"/>
        <v>3000</v>
      </c>
      <c r="J69" s="374"/>
      <c r="K69" s="374"/>
      <c r="L69" s="374">
        <f t="shared" si="0"/>
        <v>0</v>
      </c>
      <c r="M69" s="374">
        <f t="shared" si="2"/>
        <v>3000</v>
      </c>
      <c r="N69" s="374">
        <f t="shared" si="3"/>
        <v>0</v>
      </c>
      <c r="O69" s="374">
        <f t="shared" si="1"/>
        <v>3000</v>
      </c>
    </row>
    <row r="70" spans="1:15" ht="12.75" customHeight="1">
      <c r="A70" s="311"/>
      <c r="B70" s="312"/>
      <c r="C70" s="313" t="s">
        <v>276</v>
      </c>
      <c r="D70" s="327" t="s">
        <v>497</v>
      </c>
      <c r="E70" s="315"/>
      <c r="F70" s="700"/>
      <c r="G70" s="318">
        <v>1000</v>
      </c>
      <c r="H70" s="318"/>
      <c r="I70" s="318">
        <f t="shared" si="8"/>
        <v>1000</v>
      </c>
      <c r="J70" s="374"/>
      <c r="K70" s="374"/>
      <c r="L70" s="374">
        <f t="shared" si="0"/>
        <v>0</v>
      </c>
      <c r="M70" s="374">
        <f t="shared" si="2"/>
        <v>1000</v>
      </c>
      <c r="N70" s="374">
        <f t="shared" si="3"/>
        <v>0</v>
      </c>
      <c r="O70" s="374">
        <f t="shared" si="1"/>
        <v>1000</v>
      </c>
    </row>
    <row r="71" spans="1:15" ht="12.75" customHeight="1">
      <c r="A71" s="311"/>
      <c r="B71" s="312"/>
      <c r="C71" s="313" t="s">
        <v>277</v>
      </c>
      <c r="D71" s="338" t="s">
        <v>498</v>
      </c>
      <c r="E71" s="315"/>
      <c r="F71" s="700"/>
      <c r="G71" s="318">
        <v>2000</v>
      </c>
      <c r="H71" s="318"/>
      <c r="I71" s="318">
        <f t="shared" si="8"/>
        <v>2000</v>
      </c>
      <c r="J71" s="374"/>
      <c r="K71" s="374"/>
      <c r="L71" s="374">
        <f t="shared" si="0"/>
        <v>0</v>
      </c>
      <c r="M71" s="374">
        <f t="shared" si="2"/>
        <v>2000</v>
      </c>
      <c r="N71" s="374">
        <f t="shared" si="3"/>
        <v>0</v>
      </c>
      <c r="O71" s="374">
        <f t="shared" si="1"/>
        <v>2000</v>
      </c>
    </row>
    <row r="72" spans="1:15" ht="12.75" customHeight="1">
      <c r="A72" s="311"/>
      <c r="B72" s="312"/>
      <c r="C72" s="313" t="s">
        <v>278</v>
      </c>
      <c r="D72" s="339" t="s">
        <v>499</v>
      </c>
      <c r="E72" s="315"/>
      <c r="F72" s="700"/>
      <c r="G72" s="318">
        <v>2000</v>
      </c>
      <c r="H72" s="318"/>
      <c r="I72" s="318">
        <f t="shared" si="8"/>
        <v>2000</v>
      </c>
      <c r="J72" s="374"/>
      <c r="K72" s="374"/>
      <c r="L72" s="374">
        <f t="shared" si="0"/>
        <v>0</v>
      </c>
      <c r="M72" s="374">
        <f t="shared" si="2"/>
        <v>2000</v>
      </c>
      <c r="N72" s="374">
        <f t="shared" si="3"/>
        <v>0</v>
      </c>
      <c r="O72" s="374">
        <f t="shared" si="1"/>
        <v>2000</v>
      </c>
    </row>
    <row r="73" spans="1:15" ht="12.75" customHeight="1">
      <c r="A73" s="311"/>
      <c r="B73" s="312"/>
      <c r="C73" s="313" t="s">
        <v>279</v>
      </c>
      <c r="D73" s="338" t="s">
        <v>500</v>
      </c>
      <c r="E73" s="315"/>
      <c r="F73" s="700"/>
      <c r="G73" s="318">
        <v>10000</v>
      </c>
      <c r="H73" s="318"/>
      <c r="I73" s="318">
        <f t="shared" si="8"/>
        <v>10000</v>
      </c>
      <c r="J73" s="374"/>
      <c r="K73" s="374"/>
      <c r="L73" s="374">
        <f t="shared" si="0"/>
        <v>0</v>
      </c>
      <c r="M73" s="374">
        <f t="shared" si="2"/>
        <v>10000</v>
      </c>
      <c r="N73" s="374">
        <f t="shared" si="3"/>
        <v>0</v>
      </c>
      <c r="O73" s="374">
        <f t="shared" si="1"/>
        <v>10000</v>
      </c>
    </row>
    <row r="74" spans="1:15" ht="12.75" customHeight="1">
      <c r="A74" s="311"/>
      <c r="B74" s="312"/>
      <c r="C74" s="329"/>
      <c r="D74" s="322" t="s">
        <v>468</v>
      </c>
      <c r="E74" s="315"/>
      <c r="F74" s="700"/>
      <c r="G74" s="318"/>
      <c r="H74" s="318"/>
      <c r="I74" s="318"/>
      <c r="J74" s="374"/>
      <c r="K74" s="374"/>
      <c r="L74" s="374"/>
      <c r="M74" s="374"/>
      <c r="N74" s="374"/>
      <c r="O74" s="374"/>
    </row>
    <row r="75" spans="1:15" ht="24.75" customHeight="1">
      <c r="A75" s="319"/>
      <c r="B75" s="320"/>
      <c r="C75" s="313" t="s">
        <v>170</v>
      </c>
      <c r="D75" s="340" t="s">
        <v>5</v>
      </c>
      <c r="E75" s="315"/>
      <c r="F75" s="700"/>
      <c r="G75" s="318">
        <v>1415</v>
      </c>
      <c r="H75" s="318"/>
      <c r="I75" s="318">
        <f>SUM(G75:H75)</f>
        <v>1415</v>
      </c>
      <c r="J75" s="374"/>
      <c r="K75" s="374"/>
      <c r="L75" s="374">
        <f t="shared" si="0"/>
        <v>0</v>
      </c>
      <c r="M75" s="374">
        <f t="shared" si="2"/>
        <v>1415</v>
      </c>
      <c r="N75" s="374">
        <f t="shared" si="3"/>
        <v>0</v>
      </c>
      <c r="O75" s="374">
        <f t="shared" si="1"/>
        <v>1415</v>
      </c>
    </row>
    <row r="76" spans="1:15" ht="15" customHeight="1">
      <c r="A76" s="311"/>
      <c r="B76" s="312"/>
      <c r="C76" s="313" t="s">
        <v>274</v>
      </c>
      <c r="D76" s="341" t="s">
        <v>501</v>
      </c>
      <c r="E76" s="315"/>
      <c r="F76" s="700"/>
      <c r="G76" s="318">
        <v>1987</v>
      </c>
      <c r="H76" s="318"/>
      <c r="I76" s="318">
        <f>SUM(G76:H76)</f>
        <v>1987</v>
      </c>
      <c r="J76" s="374"/>
      <c r="K76" s="374"/>
      <c r="L76" s="374">
        <f t="shared" si="0"/>
        <v>0</v>
      </c>
      <c r="M76" s="374">
        <f t="shared" si="2"/>
        <v>1987</v>
      </c>
      <c r="N76" s="374">
        <f t="shared" si="3"/>
        <v>0</v>
      </c>
      <c r="O76" s="374">
        <f t="shared" si="1"/>
        <v>1987</v>
      </c>
    </row>
    <row r="77" spans="1:15" ht="12.75" customHeight="1">
      <c r="A77" s="311"/>
      <c r="B77" s="312"/>
      <c r="C77" s="313" t="s">
        <v>275</v>
      </c>
      <c r="D77" s="340" t="s">
        <v>502</v>
      </c>
      <c r="E77" s="315"/>
      <c r="F77" s="700"/>
      <c r="G77" s="318">
        <v>1380</v>
      </c>
      <c r="H77" s="318"/>
      <c r="I77" s="318">
        <f>SUM(G77:H77)</f>
        <v>1380</v>
      </c>
      <c r="J77" s="374"/>
      <c r="K77" s="374"/>
      <c r="L77" s="374">
        <f t="shared" si="0"/>
        <v>0</v>
      </c>
      <c r="M77" s="374">
        <f t="shared" si="2"/>
        <v>1380</v>
      </c>
      <c r="N77" s="374">
        <f t="shared" si="3"/>
        <v>0</v>
      </c>
      <c r="O77" s="374">
        <f t="shared" si="1"/>
        <v>1380</v>
      </c>
    </row>
    <row r="78" spans="1:15" ht="12.75" customHeight="1">
      <c r="A78" s="311"/>
      <c r="B78" s="312"/>
      <c r="C78" s="329" t="s">
        <v>268</v>
      </c>
      <c r="D78" s="330" t="s">
        <v>197</v>
      </c>
      <c r="E78" s="315"/>
      <c r="F78" s="700"/>
      <c r="G78" s="318"/>
      <c r="H78" s="318"/>
      <c r="I78" s="318"/>
      <c r="J78" s="374"/>
      <c r="K78" s="374"/>
      <c r="L78" s="374"/>
      <c r="M78" s="374"/>
      <c r="N78" s="374"/>
      <c r="O78" s="374"/>
    </row>
    <row r="79" spans="1:15" ht="12.75" customHeight="1">
      <c r="A79" s="311"/>
      <c r="B79" s="312"/>
      <c r="C79" s="335" t="s">
        <v>309</v>
      </c>
      <c r="D79" s="342" t="s">
        <v>503</v>
      </c>
      <c r="E79" s="315"/>
      <c r="F79" s="700"/>
      <c r="G79" s="318">
        <v>2000</v>
      </c>
      <c r="H79" s="318"/>
      <c r="I79" s="318">
        <f aca="true" t="shared" si="9" ref="I79:I98">SUM(G79:H79)</f>
        <v>2000</v>
      </c>
      <c r="J79" s="374"/>
      <c r="K79" s="374"/>
      <c r="L79" s="374">
        <f aca="true" t="shared" si="10" ref="L79:L146">SUM(J79:K79)</f>
        <v>0</v>
      </c>
      <c r="M79" s="374">
        <f aca="true" t="shared" si="11" ref="M79:M148">SUM(G79+J79)</f>
        <v>2000</v>
      </c>
      <c r="N79" s="374">
        <f aca="true" t="shared" si="12" ref="N79:N148">SUM(H79+K79)</f>
        <v>0</v>
      </c>
      <c r="O79" s="374">
        <f aca="true" t="shared" si="13" ref="O79:O146">SUM(M79:N79)</f>
        <v>2000</v>
      </c>
    </row>
    <row r="80" spans="1:15" ht="12.75" customHeight="1">
      <c r="A80" s="311"/>
      <c r="B80" s="312"/>
      <c r="C80" s="335" t="s">
        <v>310</v>
      </c>
      <c r="D80" s="342" t="s">
        <v>504</v>
      </c>
      <c r="E80" s="315"/>
      <c r="F80" s="700"/>
      <c r="G80" s="318">
        <v>1000</v>
      </c>
      <c r="H80" s="318"/>
      <c r="I80" s="318">
        <f t="shared" si="9"/>
        <v>1000</v>
      </c>
      <c r="J80" s="374"/>
      <c r="K80" s="374"/>
      <c r="L80" s="374">
        <f t="shared" si="10"/>
        <v>0</v>
      </c>
      <c r="M80" s="374">
        <f t="shared" si="11"/>
        <v>1000</v>
      </c>
      <c r="N80" s="374">
        <f t="shared" si="12"/>
        <v>0</v>
      </c>
      <c r="O80" s="374">
        <f t="shared" si="13"/>
        <v>1000</v>
      </c>
    </row>
    <row r="81" spans="1:15" ht="12.75" customHeight="1">
      <c r="A81" s="311"/>
      <c r="B81" s="312"/>
      <c r="C81" s="335" t="s">
        <v>311</v>
      </c>
      <c r="D81" s="343" t="s">
        <v>505</v>
      </c>
      <c r="E81" s="315"/>
      <c r="F81" s="700"/>
      <c r="G81" s="318">
        <v>635</v>
      </c>
      <c r="H81" s="318"/>
      <c r="I81" s="318">
        <f t="shared" si="9"/>
        <v>635</v>
      </c>
      <c r="J81" s="374"/>
      <c r="K81" s="374"/>
      <c r="L81" s="374">
        <f t="shared" si="10"/>
        <v>0</v>
      </c>
      <c r="M81" s="374">
        <f t="shared" si="11"/>
        <v>635</v>
      </c>
      <c r="N81" s="374">
        <f t="shared" si="12"/>
        <v>0</v>
      </c>
      <c r="O81" s="374">
        <f t="shared" si="13"/>
        <v>635</v>
      </c>
    </row>
    <row r="82" spans="1:15" ht="12.75" customHeight="1">
      <c r="A82" s="311"/>
      <c r="B82" s="312"/>
      <c r="C82" s="335" t="s">
        <v>312</v>
      </c>
      <c r="D82" s="292" t="s">
        <v>506</v>
      </c>
      <c r="E82" s="315"/>
      <c r="F82" s="700" t="s">
        <v>126</v>
      </c>
      <c r="G82" s="318">
        <v>800</v>
      </c>
      <c r="H82" s="318"/>
      <c r="I82" s="318">
        <f t="shared" si="9"/>
        <v>800</v>
      </c>
      <c r="J82" s="374">
        <v>-800</v>
      </c>
      <c r="K82" s="374">
        <v>800</v>
      </c>
      <c r="L82" s="374">
        <f t="shared" si="10"/>
        <v>0</v>
      </c>
      <c r="M82" s="374">
        <f t="shared" si="11"/>
        <v>0</v>
      </c>
      <c r="N82" s="374">
        <f t="shared" si="12"/>
        <v>800</v>
      </c>
      <c r="O82" s="374">
        <f t="shared" si="13"/>
        <v>800</v>
      </c>
    </row>
    <row r="83" spans="1:15" ht="12.75" customHeight="1">
      <c r="A83" s="311"/>
      <c r="B83" s="312"/>
      <c r="C83" s="335" t="s">
        <v>507</v>
      </c>
      <c r="D83" s="292" t="s">
        <v>508</v>
      </c>
      <c r="E83" s="315"/>
      <c r="F83" s="700" t="s">
        <v>126</v>
      </c>
      <c r="G83" s="318">
        <v>500</v>
      </c>
      <c r="H83" s="318"/>
      <c r="I83" s="318">
        <f t="shared" si="9"/>
        <v>500</v>
      </c>
      <c r="J83" s="374">
        <v>-500</v>
      </c>
      <c r="K83" s="374"/>
      <c r="L83" s="374">
        <f t="shared" si="10"/>
        <v>-500</v>
      </c>
      <c r="M83" s="374">
        <f t="shared" si="11"/>
        <v>0</v>
      </c>
      <c r="N83" s="374">
        <f t="shared" si="12"/>
        <v>0</v>
      </c>
      <c r="O83" s="374">
        <f t="shared" si="13"/>
        <v>0</v>
      </c>
    </row>
    <row r="84" spans="1:15" ht="12.75" customHeight="1">
      <c r="A84" s="311"/>
      <c r="B84" s="312"/>
      <c r="C84" s="335" t="s">
        <v>509</v>
      </c>
      <c r="D84" s="292" t="s">
        <v>510</v>
      </c>
      <c r="E84" s="315"/>
      <c r="F84" s="700" t="s">
        <v>126</v>
      </c>
      <c r="G84" s="318">
        <v>600</v>
      </c>
      <c r="H84" s="318"/>
      <c r="I84" s="318">
        <f t="shared" si="9"/>
        <v>600</v>
      </c>
      <c r="J84" s="374">
        <v>400</v>
      </c>
      <c r="K84" s="374"/>
      <c r="L84" s="374">
        <f t="shared" si="10"/>
        <v>400</v>
      </c>
      <c r="M84" s="374">
        <f t="shared" si="11"/>
        <v>1000</v>
      </c>
      <c r="N84" s="374">
        <f t="shared" si="12"/>
        <v>0</v>
      </c>
      <c r="O84" s="374">
        <f t="shared" si="13"/>
        <v>1000</v>
      </c>
    </row>
    <row r="85" spans="1:15" ht="12.75" customHeight="1">
      <c r="A85" s="311"/>
      <c r="B85" s="312"/>
      <c r="C85" s="335" t="s">
        <v>511</v>
      </c>
      <c r="D85" s="292" t="s">
        <v>512</v>
      </c>
      <c r="E85" s="315"/>
      <c r="F85" s="700"/>
      <c r="G85" s="318">
        <v>1500</v>
      </c>
      <c r="H85" s="318"/>
      <c r="I85" s="318">
        <f t="shared" si="9"/>
        <v>1500</v>
      </c>
      <c r="J85" s="374"/>
      <c r="K85" s="374"/>
      <c r="L85" s="374">
        <f t="shared" si="10"/>
        <v>0</v>
      </c>
      <c r="M85" s="374">
        <f t="shared" si="11"/>
        <v>1500</v>
      </c>
      <c r="N85" s="374">
        <f t="shared" si="12"/>
        <v>0</v>
      </c>
      <c r="O85" s="374">
        <f t="shared" si="13"/>
        <v>1500</v>
      </c>
    </row>
    <row r="86" spans="1:15" ht="12.75" customHeight="1">
      <c r="A86" s="311"/>
      <c r="B86" s="312"/>
      <c r="C86" s="335" t="s">
        <v>513</v>
      </c>
      <c r="D86" s="344" t="s">
        <v>514</v>
      </c>
      <c r="E86" s="315"/>
      <c r="F86" s="700"/>
      <c r="G86" s="318">
        <v>1000</v>
      </c>
      <c r="H86" s="318"/>
      <c r="I86" s="318">
        <f t="shared" si="9"/>
        <v>1000</v>
      </c>
      <c r="J86" s="374"/>
      <c r="K86" s="374"/>
      <c r="L86" s="374">
        <f t="shared" si="10"/>
        <v>0</v>
      </c>
      <c r="M86" s="374">
        <f t="shared" si="11"/>
        <v>1000</v>
      </c>
      <c r="N86" s="374">
        <f t="shared" si="12"/>
        <v>0</v>
      </c>
      <c r="O86" s="374">
        <f t="shared" si="13"/>
        <v>1000</v>
      </c>
    </row>
    <row r="87" spans="1:15" ht="12.75" customHeight="1">
      <c r="A87" s="311"/>
      <c r="B87" s="312"/>
      <c r="C87" s="335" t="s">
        <v>515</v>
      </c>
      <c r="D87" s="321" t="s">
        <v>516</v>
      </c>
      <c r="E87" s="315"/>
      <c r="F87" s="700"/>
      <c r="G87" s="318">
        <v>2500</v>
      </c>
      <c r="H87" s="318"/>
      <c r="I87" s="318">
        <f t="shared" si="9"/>
        <v>2500</v>
      </c>
      <c r="J87" s="374"/>
      <c r="K87" s="374"/>
      <c r="L87" s="374">
        <f t="shared" si="10"/>
        <v>0</v>
      </c>
      <c r="M87" s="374">
        <f t="shared" si="11"/>
        <v>2500</v>
      </c>
      <c r="N87" s="374">
        <f t="shared" si="12"/>
        <v>0</v>
      </c>
      <c r="O87" s="374">
        <f t="shared" si="13"/>
        <v>2500</v>
      </c>
    </row>
    <row r="88" spans="1:15" ht="12.75" customHeight="1">
      <c r="A88" s="311"/>
      <c r="B88" s="312"/>
      <c r="C88" s="335" t="s">
        <v>517</v>
      </c>
      <c r="D88" s="321" t="s">
        <v>518</v>
      </c>
      <c r="E88" s="315"/>
      <c r="F88" s="700" t="s">
        <v>126</v>
      </c>
      <c r="G88" s="318">
        <v>300</v>
      </c>
      <c r="H88" s="318"/>
      <c r="I88" s="318">
        <f t="shared" si="9"/>
        <v>300</v>
      </c>
      <c r="J88" s="374">
        <v>-300</v>
      </c>
      <c r="K88" s="374"/>
      <c r="L88" s="374">
        <f t="shared" si="10"/>
        <v>-300</v>
      </c>
      <c r="M88" s="374">
        <f t="shared" si="11"/>
        <v>0</v>
      </c>
      <c r="N88" s="374">
        <f t="shared" si="12"/>
        <v>0</v>
      </c>
      <c r="O88" s="374">
        <f t="shared" si="13"/>
        <v>0</v>
      </c>
    </row>
    <row r="89" spans="1:15" ht="24.75" customHeight="1">
      <c r="A89" s="311"/>
      <c r="B89" s="312"/>
      <c r="C89" s="335" t="s">
        <v>519</v>
      </c>
      <c r="D89" s="345" t="s">
        <v>520</v>
      </c>
      <c r="E89" s="315"/>
      <c r="F89" s="700" t="s">
        <v>346</v>
      </c>
      <c r="G89" s="318">
        <v>3000</v>
      </c>
      <c r="H89" s="318"/>
      <c r="I89" s="318">
        <f t="shared" si="9"/>
        <v>3000</v>
      </c>
      <c r="J89" s="374">
        <v>-500</v>
      </c>
      <c r="K89" s="374"/>
      <c r="L89" s="374">
        <f t="shared" si="10"/>
        <v>-500</v>
      </c>
      <c r="M89" s="374">
        <f t="shared" si="11"/>
        <v>2500</v>
      </c>
      <c r="N89" s="374">
        <f t="shared" si="12"/>
        <v>0</v>
      </c>
      <c r="O89" s="374">
        <f t="shared" si="13"/>
        <v>2500</v>
      </c>
    </row>
    <row r="90" spans="1:15" ht="12.75" customHeight="1">
      <c r="A90" s="311"/>
      <c r="B90" s="312"/>
      <c r="C90" s="335" t="s">
        <v>521</v>
      </c>
      <c r="D90" s="321" t="s">
        <v>522</v>
      </c>
      <c r="E90" s="315"/>
      <c r="F90" s="700"/>
      <c r="G90" s="318">
        <v>1000</v>
      </c>
      <c r="H90" s="318"/>
      <c r="I90" s="318">
        <f t="shared" si="9"/>
        <v>1000</v>
      </c>
      <c r="J90" s="374"/>
      <c r="K90" s="374"/>
      <c r="L90" s="374">
        <f t="shared" si="10"/>
        <v>0</v>
      </c>
      <c r="M90" s="374">
        <f t="shared" si="11"/>
        <v>1000</v>
      </c>
      <c r="N90" s="374">
        <f t="shared" si="12"/>
        <v>0</v>
      </c>
      <c r="O90" s="374">
        <f t="shared" si="13"/>
        <v>1000</v>
      </c>
    </row>
    <row r="91" spans="1:15" ht="24.75" customHeight="1">
      <c r="A91" s="311"/>
      <c r="B91" s="312"/>
      <c r="C91" s="335" t="s">
        <v>523</v>
      </c>
      <c r="D91" s="321" t="s">
        <v>524</v>
      </c>
      <c r="E91" s="315"/>
      <c r="F91" s="700"/>
      <c r="G91" s="318">
        <v>800</v>
      </c>
      <c r="H91" s="318"/>
      <c r="I91" s="318">
        <f t="shared" si="9"/>
        <v>800</v>
      </c>
      <c r="J91" s="374"/>
      <c r="K91" s="374"/>
      <c r="L91" s="374">
        <f t="shared" si="10"/>
        <v>0</v>
      </c>
      <c r="M91" s="374">
        <f t="shared" si="11"/>
        <v>800</v>
      </c>
      <c r="N91" s="374">
        <f t="shared" si="12"/>
        <v>0</v>
      </c>
      <c r="O91" s="374">
        <f t="shared" si="13"/>
        <v>800</v>
      </c>
    </row>
    <row r="92" spans="1:15" ht="12.75" customHeight="1">
      <c r="A92" s="311"/>
      <c r="B92" s="312"/>
      <c r="C92" s="335" t="s">
        <v>525</v>
      </c>
      <c r="D92" s="346" t="s">
        <v>526</v>
      </c>
      <c r="E92" s="315"/>
      <c r="F92" s="700"/>
      <c r="G92" s="318">
        <v>3000</v>
      </c>
      <c r="H92" s="318"/>
      <c r="I92" s="318">
        <f t="shared" si="9"/>
        <v>3000</v>
      </c>
      <c r="J92" s="374"/>
      <c r="K92" s="374"/>
      <c r="L92" s="374">
        <f t="shared" si="10"/>
        <v>0</v>
      </c>
      <c r="M92" s="374">
        <f t="shared" si="11"/>
        <v>3000</v>
      </c>
      <c r="N92" s="374">
        <f t="shared" si="12"/>
        <v>0</v>
      </c>
      <c r="O92" s="374">
        <f t="shared" si="13"/>
        <v>3000</v>
      </c>
    </row>
    <row r="93" spans="1:15" ht="12.75" customHeight="1">
      <c r="A93" s="311"/>
      <c r="B93" s="312"/>
      <c r="C93" s="335" t="s">
        <v>527</v>
      </c>
      <c r="D93" s="346" t="s">
        <v>528</v>
      </c>
      <c r="E93" s="315"/>
      <c r="F93" s="700"/>
      <c r="G93" s="318">
        <v>2000</v>
      </c>
      <c r="H93" s="318"/>
      <c r="I93" s="318">
        <f t="shared" si="9"/>
        <v>2000</v>
      </c>
      <c r="J93" s="374"/>
      <c r="K93" s="374"/>
      <c r="L93" s="374">
        <f t="shared" si="10"/>
        <v>0</v>
      </c>
      <c r="M93" s="374">
        <f t="shared" si="11"/>
        <v>2000</v>
      </c>
      <c r="N93" s="374">
        <f t="shared" si="12"/>
        <v>0</v>
      </c>
      <c r="O93" s="374">
        <f t="shared" si="13"/>
        <v>2000</v>
      </c>
    </row>
    <row r="94" spans="1:15" ht="24.75" customHeight="1">
      <c r="A94" s="311"/>
      <c r="B94" s="312"/>
      <c r="C94" s="335" t="s">
        <v>529</v>
      </c>
      <c r="D94" s="321" t="s">
        <v>530</v>
      </c>
      <c r="E94" s="315"/>
      <c r="F94" s="700"/>
      <c r="G94" s="318">
        <v>1800</v>
      </c>
      <c r="H94" s="318"/>
      <c r="I94" s="318">
        <f t="shared" si="9"/>
        <v>1800</v>
      </c>
      <c r="J94" s="374"/>
      <c r="K94" s="374"/>
      <c r="L94" s="374">
        <f t="shared" si="10"/>
        <v>0</v>
      </c>
      <c r="M94" s="374">
        <f t="shared" si="11"/>
        <v>1800</v>
      </c>
      <c r="N94" s="374">
        <f t="shared" si="12"/>
        <v>0</v>
      </c>
      <c r="O94" s="374">
        <f t="shared" si="13"/>
        <v>1800</v>
      </c>
    </row>
    <row r="95" spans="1:15" ht="24.75" customHeight="1">
      <c r="A95" s="311"/>
      <c r="B95" s="312"/>
      <c r="C95" s="335" t="s">
        <v>531</v>
      </c>
      <c r="D95" s="321" t="s">
        <v>532</v>
      </c>
      <c r="E95" s="315"/>
      <c r="F95" s="700"/>
      <c r="G95" s="318">
        <v>1500</v>
      </c>
      <c r="H95" s="318"/>
      <c r="I95" s="318">
        <f t="shared" si="9"/>
        <v>1500</v>
      </c>
      <c r="J95" s="374"/>
      <c r="K95" s="374"/>
      <c r="L95" s="374">
        <f t="shared" si="10"/>
        <v>0</v>
      </c>
      <c r="M95" s="374">
        <f t="shared" si="11"/>
        <v>1500</v>
      </c>
      <c r="N95" s="374">
        <f t="shared" si="12"/>
        <v>0</v>
      </c>
      <c r="O95" s="374">
        <f t="shared" si="13"/>
        <v>1500</v>
      </c>
    </row>
    <row r="96" spans="1:15" ht="12.75" customHeight="1">
      <c r="A96" s="311"/>
      <c r="B96" s="312"/>
      <c r="C96" s="335" t="s">
        <v>533</v>
      </c>
      <c r="D96" s="321" t="s">
        <v>534</v>
      </c>
      <c r="E96" s="315"/>
      <c r="F96" s="700"/>
      <c r="G96" s="318">
        <v>8000</v>
      </c>
      <c r="H96" s="318"/>
      <c r="I96" s="318">
        <f t="shared" si="9"/>
        <v>8000</v>
      </c>
      <c r="J96" s="374"/>
      <c r="K96" s="374"/>
      <c r="L96" s="374">
        <f t="shared" si="10"/>
        <v>0</v>
      </c>
      <c r="M96" s="374">
        <f t="shared" si="11"/>
        <v>8000</v>
      </c>
      <c r="N96" s="374">
        <f t="shared" si="12"/>
        <v>0</v>
      </c>
      <c r="O96" s="374">
        <f t="shared" si="13"/>
        <v>8000</v>
      </c>
    </row>
    <row r="97" spans="1:15" ht="12.75" customHeight="1">
      <c r="A97" s="311"/>
      <c r="B97" s="312"/>
      <c r="C97" s="335" t="s">
        <v>535</v>
      </c>
      <c r="D97" s="347" t="s">
        <v>536</v>
      </c>
      <c r="E97" s="315"/>
      <c r="F97" s="700" t="s">
        <v>346</v>
      </c>
      <c r="G97" s="318">
        <v>6000</v>
      </c>
      <c r="H97" s="318"/>
      <c r="I97" s="318">
        <f t="shared" si="9"/>
        <v>6000</v>
      </c>
      <c r="J97" s="374">
        <v>-6000</v>
      </c>
      <c r="K97" s="374">
        <v>6000</v>
      </c>
      <c r="L97" s="374">
        <f t="shared" si="10"/>
        <v>0</v>
      </c>
      <c r="M97" s="374">
        <f t="shared" si="11"/>
        <v>0</v>
      </c>
      <c r="N97" s="374">
        <f t="shared" si="12"/>
        <v>6000</v>
      </c>
      <c r="O97" s="374">
        <f t="shared" si="13"/>
        <v>6000</v>
      </c>
    </row>
    <row r="98" spans="1:15" ht="12.75" customHeight="1">
      <c r="A98" s="311"/>
      <c r="B98" s="312"/>
      <c r="C98" s="335" t="s">
        <v>537</v>
      </c>
      <c r="D98" s="347" t="s">
        <v>538</v>
      </c>
      <c r="E98" s="315"/>
      <c r="F98" s="700"/>
      <c r="G98" s="318">
        <v>500</v>
      </c>
      <c r="H98" s="318"/>
      <c r="I98" s="318">
        <f t="shared" si="9"/>
        <v>500</v>
      </c>
      <c r="J98" s="374"/>
      <c r="K98" s="374"/>
      <c r="L98" s="374">
        <f t="shared" si="10"/>
        <v>0</v>
      </c>
      <c r="M98" s="374">
        <f t="shared" si="11"/>
        <v>500</v>
      </c>
      <c r="N98" s="374">
        <f t="shared" si="12"/>
        <v>0</v>
      </c>
      <c r="O98" s="374">
        <f t="shared" si="13"/>
        <v>500</v>
      </c>
    </row>
    <row r="99" spans="1:15" ht="24.75" customHeight="1">
      <c r="A99" s="311"/>
      <c r="B99" s="312"/>
      <c r="C99" s="335" t="s">
        <v>1114</v>
      </c>
      <c r="D99" s="673" t="s">
        <v>1135</v>
      </c>
      <c r="E99" s="315"/>
      <c r="F99" s="700" t="s">
        <v>346</v>
      </c>
      <c r="G99" s="318"/>
      <c r="H99" s="318"/>
      <c r="I99" s="318"/>
      <c r="J99" s="374"/>
      <c r="K99" s="374">
        <v>500</v>
      </c>
      <c r="L99" s="374">
        <f t="shared" si="10"/>
        <v>500</v>
      </c>
      <c r="M99" s="374">
        <f t="shared" si="11"/>
        <v>0</v>
      </c>
      <c r="N99" s="374">
        <f t="shared" si="12"/>
        <v>500</v>
      </c>
      <c r="O99" s="374">
        <f t="shared" si="13"/>
        <v>500</v>
      </c>
    </row>
    <row r="100" spans="1:15" ht="12.75" customHeight="1">
      <c r="A100" s="311"/>
      <c r="B100" s="312"/>
      <c r="C100" s="335" t="s">
        <v>1115</v>
      </c>
      <c r="D100" s="673" t="s">
        <v>1136</v>
      </c>
      <c r="E100" s="315"/>
      <c r="F100" s="700" t="s">
        <v>346</v>
      </c>
      <c r="G100" s="318"/>
      <c r="H100" s="318"/>
      <c r="I100" s="318"/>
      <c r="J100" s="374">
        <v>997</v>
      </c>
      <c r="K100" s="374"/>
      <c r="L100" s="374">
        <f t="shared" si="10"/>
        <v>997</v>
      </c>
      <c r="M100" s="374">
        <f t="shared" si="11"/>
        <v>997</v>
      </c>
      <c r="N100" s="374"/>
      <c r="O100" s="374">
        <f t="shared" si="13"/>
        <v>997</v>
      </c>
    </row>
    <row r="101" spans="1:15" ht="12.75" customHeight="1">
      <c r="A101" s="311"/>
      <c r="B101" s="312"/>
      <c r="C101" s="329"/>
      <c r="D101" s="322" t="s">
        <v>468</v>
      </c>
      <c r="E101" s="315"/>
      <c r="F101" s="700"/>
      <c r="G101" s="318"/>
      <c r="H101" s="318"/>
      <c r="I101" s="318"/>
      <c r="J101" s="374"/>
      <c r="K101" s="374"/>
      <c r="L101" s="374">
        <f t="shared" si="10"/>
        <v>0</v>
      </c>
      <c r="M101" s="374">
        <f t="shared" si="11"/>
        <v>0</v>
      </c>
      <c r="N101" s="374">
        <f t="shared" si="12"/>
        <v>0</v>
      </c>
      <c r="O101" s="374">
        <f t="shared" si="13"/>
        <v>0</v>
      </c>
    </row>
    <row r="102" spans="1:15" ht="12.75" customHeight="1">
      <c r="A102" s="311"/>
      <c r="B102" s="312"/>
      <c r="C102" s="335" t="s">
        <v>906</v>
      </c>
      <c r="D102" s="348" t="s">
        <v>539</v>
      </c>
      <c r="E102" s="315"/>
      <c r="F102" s="700"/>
      <c r="G102" s="318">
        <v>1905</v>
      </c>
      <c r="H102" s="318"/>
      <c r="I102" s="318">
        <f>SUM(G102:H102)</f>
        <v>1905</v>
      </c>
      <c r="J102" s="374"/>
      <c r="K102" s="374"/>
      <c r="L102" s="374">
        <f t="shared" si="10"/>
        <v>0</v>
      </c>
      <c r="M102" s="374">
        <f t="shared" si="11"/>
        <v>1905</v>
      </c>
      <c r="N102" s="374">
        <f t="shared" si="12"/>
        <v>0</v>
      </c>
      <c r="O102" s="374">
        <f t="shared" si="13"/>
        <v>1905</v>
      </c>
    </row>
    <row r="103" spans="1:15" ht="12.75" customHeight="1">
      <c r="A103" s="311"/>
      <c r="B103" s="312"/>
      <c r="C103" s="329" t="s">
        <v>319</v>
      </c>
      <c r="D103" s="337" t="s">
        <v>320</v>
      </c>
      <c r="E103" s="315"/>
      <c r="F103" s="700"/>
      <c r="G103" s="318"/>
      <c r="H103" s="318"/>
      <c r="I103" s="318"/>
      <c r="J103" s="374"/>
      <c r="K103" s="374"/>
      <c r="L103" s="374"/>
      <c r="M103" s="374"/>
      <c r="N103" s="374"/>
      <c r="O103" s="374"/>
    </row>
    <row r="104" spans="1:15" ht="16.5" customHeight="1">
      <c r="A104" s="311"/>
      <c r="B104" s="312"/>
      <c r="C104" s="335" t="s">
        <v>907</v>
      </c>
      <c r="D104" s="349" t="s">
        <v>540</v>
      </c>
      <c r="E104" s="315"/>
      <c r="F104" s="700"/>
      <c r="G104" s="318">
        <v>600</v>
      </c>
      <c r="H104" s="318"/>
      <c r="I104" s="318">
        <f>SUM(G104:H104)</f>
        <v>600</v>
      </c>
      <c r="J104" s="374"/>
      <c r="K104" s="374"/>
      <c r="L104" s="374">
        <f t="shared" si="10"/>
        <v>0</v>
      </c>
      <c r="M104" s="374">
        <f t="shared" si="11"/>
        <v>600</v>
      </c>
      <c r="N104" s="374">
        <f t="shared" si="12"/>
        <v>0</v>
      </c>
      <c r="O104" s="374">
        <f t="shared" si="13"/>
        <v>600</v>
      </c>
    </row>
    <row r="105" spans="1:15" ht="12.75" customHeight="1">
      <c r="A105" s="311"/>
      <c r="B105" s="312"/>
      <c r="C105" s="335" t="s">
        <v>908</v>
      </c>
      <c r="D105" s="350" t="s">
        <v>541</v>
      </c>
      <c r="E105" s="315"/>
      <c r="F105" s="700" t="s">
        <v>346</v>
      </c>
      <c r="G105" s="318">
        <v>5000</v>
      </c>
      <c r="H105" s="318"/>
      <c r="I105" s="318">
        <f>SUM(G105:H105)</f>
        <v>5000</v>
      </c>
      <c r="J105" s="374">
        <v>-1000</v>
      </c>
      <c r="K105" s="374"/>
      <c r="L105" s="374">
        <f t="shared" si="10"/>
        <v>-1000</v>
      </c>
      <c r="M105" s="374">
        <f t="shared" si="11"/>
        <v>4000</v>
      </c>
      <c r="N105" s="374">
        <f t="shared" si="12"/>
        <v>0</v>
      </c>
      <c r="O105" s="374">
        <f t="shared" si="13"/>
        <v>4000</v>
      </c>
    </row>
    <row r="106" spans="1:15" ht="12.75" customHeight="1">
      <c r="A106" s="311"/>
      <c r="B106" s="312"/>
      <c r="C106" s="329" t="s">
        <v>321</v>
      </c>
      <c r="D106" s="330" t="s">
        <v>322</v>
      </c>
      <c r="E106" s="315"/>
      <c r="F106" s="700"/>
      <c r="G106" s="318"/>
      <c r="H106" s="318"/>
      <c r="I106" s="318"/>
      <c r="J106" s="374"/>
      <c r="K106" s="374"/>
      <c r="L106" s="374"/>
      <c r="M106" s="374"/>
      <c r="N106" s="374"/>
      <c r="O106" s="374"/>
    </row>
    <row r="107" spans="1:15" ht="12.75" customHeight="1">
      <c r="A107" s="311"/>
      <c r="B107" s="312"/>
      <c r="C107" s="335" t="s">
        <v>323</v>
      </c>
      <c r="D107" s="338" t="s">
        <v>542</v>
      </c>
      <c r="E107" s="315"/>
      <c r="F107" s="700"/>
      <c r="G107" s="318">
        <v>5000</v>
      </c>
      <c r="H107" s="318"/>
      <c r="I107" s="318">
        <f>SUM(G107:H107)</f>
        <v>5000</v>
      </c>
      <c r="J107" s="374"/>
      <c r="K107" s="374"/>
      <c r="L107" s="374">
        <f t="shared" si="10"/>
        <v>0</v>
      </c>
      <c r="M107" s="374">
        <f t="shared" si="11"/>
        <v>5000</v>
      </c>
      <c r="N107" s="374">
        <f t="shared" si="12"/>
        <v>0</v>
      </c>
      <c r="O107" s="374">
        <f t="shared" si="13"/>
        <v>5000</v>
      </c>
    </row>
    <row r="108" spans="1:15" ht="12.75" customHeight="1">
      <c r="A108" s="311"/>
      <c r="B108" s="312"/>
      <c r="C108" s="335" t="s">
        <v>324</v>
      </c>
      <c r="D108" s="338" t="s">
        <v>543</v>
      </c>
      <c r="E108" s="315"/>
      <c r="F108" s="700"/>
      <c r="G108" s="318">
        <v>6000</v>
      </c>
      <c r="H108" s="318"/>
      <c r="I108" s="318">
        <f>SUM(G108:H108)</f>
        <v>6000</v>
      </c>
      <c r="J108" s="374"/>
      <c r="K108" s="374"/>
      <c r="L108" s="374">
        <f t="shared" si="10"/>
        <v>0</v>
      </c>
      <c r="M108" s="374">
        <f t="shared" si="11"/>
        <v>6000</v>
      </c>
      <c r="N108" s="374">
        <f t="shared" si="12"/>
        <v>0</v>
      </c>
      <c r="O108" s="374">
        <f t="shared" si="13"/>
        <v>6000</v>
      </c>
    </row>
    <row r="109" spans="1:15" ht="12.75" customHeight="1">
      <c r="A109" s="311"/>
      <c r="B109" s="312"/>
      <c r="C109" s="335" t="s">
        <v>325</v>
      </c>
      <c r="D109" s="292" t="s">
        <v>544</v>
      </c>
      <c r="E109" s="315"/>
      <c r="F109" s="733" t="s">
        <v>126</v>
      </c>
      <c r="G109" s="318">
        <v>1000</v>
      </c>
      <c r="H109" s="318"/>
      <c r="I109" s="318">
        <f>SUM(G109:H109)</f>
        <v>1000</v>
      </c>
      <c r="J109" s="374">
        <v>1300</v>
      </c>
      <c r="K109" s="374"/>
      <c r="L109" s="374">
        <f t="shared" si="10"/>
        <v>1300</v>
      </c>
      <c r="M109" s="374">
        <f t="shared" si="11"/>
        <v>2300</v>
      </c>
      <c r="N109" s="374">
        <f t="shared" si="12"/>
        <v>0</v>
      </c>
      <c r="O109" s="374">
        <f t="shared" si="13"/>
        <v>2300</v>
      </c>
    </row>
    <row r="110" spans="1:15" ht="24.75" customHeight="1">
      <c r="A110" s="311"/>
      <c r="B110" s="312"/>
      <c r="C110" s="335" t="s">
        <v>326</v>
      </c>
      <c r="D110" s="351" t="s">
        <v>1116</v>
      </c>
      <c r="E110" s="352"/>
      <c r="F110" s="733" t="s">
        <v>126</v>
      </c>
      <c r="G110" s="318">
        <v>500</v>
      </c>
      <c r="H110" s="318"/>
      <c r="I110" s="318">
        <f>SUM(G110:H110)</f>
        <v>500</v>
      </c>
      <c r="J110" s="374">
        <v>-500</v>
      </c>
      <c r="K110" s="374">
        <v>500</v>
      </c>
      <c r="L110" s="374">
        <f t="shared" si="10"/>
        <v>0</v>
      </c>
      <c r="M110" s="374">
        <f t="shared" si="11"/>
        <v>0</v>
      </c>
      <c r="N110" s="374">
        <f t="shared" si="12"/>
        <v>500</v>
      </c>
      <c r="O110" s="374">
        <f t="shared" si="13"/>
        <v>500</v>
      </c>
    </row>
    <row r="111" spans="1:15" ht="24.75" customHeight="1">
      <c r="A111" s="319"/>
      <c r="B111" s="320"/>
      <c r="C111" s="335" t="s">
        <v>910</v>
      </c>
      <c r="D111" s="353" t="s">
        <v>111</v>
      </c>
      <c r="E111" s="299"/>
      <c r="F111" s="733" t="s">
        <v>126</v>
      </c>
      <c r="G111" s="286">
        <v>5914</v>
      </c>
      <c r="H111" s="286"/>
      <c r="I111" s="318">
        <f>SUM(G111:H111)</f>
        <v>5914</v>
      </c>
      <c r="J111" s="333">
        <v>17000</v>
      </c>
      <c r="K111" s="333"/>
      <c r="L111" s="333">
        <f t="shared" si="10"/>
        <v>17000</v>
      </c>
      <c r="M111" s="333">
        <f t="shared" si="11"/>
        <v>22914</v>
      </c>
      <c r="N111" s="333">
        <f t="shared" si="12"/>
        <v>0</v>
      </c>
      <c r="O111" s="333">
        <f t="shared" si="13"/>
        <v>22914</v>
      </c>
    </row>
    <row r="112" spans="1:15" ht="24.75" customHeight="1">
      <c r="A112" s="311"/>
      <c r="B112" s="312"/>
      <c r="C112" s="335" t="s">
        <v>911</v>
      </c>
      <c r="D112" s="399" t="s">
        <v>1134</v>
      </c>
      <c r="E112" s="299"/>
      <c r="F112" s="733" t="s">
        <v>126</v>
      </c>
      <c r="G112" s="286"/>
      <c r="H112" s="286"/>
      <c r="I112" s="318"/>
      <c r="J112" s="374">
        <v>993</v>
      </c>
      <c r="K112" s="374"/>
      <c r="L112" s="333">
        <f t="shared" si="10"/>
        <v>993</v>
      </c>
      <c r="M112" s="333">
        <f t="shared" si="11"/>
        <v>993</v>
      </c>
      <c r="N112" s="374"/>
      <c r="O112" s="333">
        <f t="shared" si="13"/>
        <v>993</v>
      </c>
    </row>
    <row r="113" spans="1:15" ht="15" customHeight="1">
      <c r="A113" s="311"/>
      <c r="B113" s="312"/>
      <c r="C113" s="335" t="s">
        <v>1132</v>
      </c>
      <c r="D113" s="399" t="s">
        <v>1137</v>
      </c>
      <c r="E113" s="299"/>
      <c r="F113" s="733" t="s">
        <v>126</v>
      </c>
      <c r="G113" s="286"/>
      <c r="H113" s="286"/>
      <c r="I113" s="318"/>
      <c r="J113" s="374">
        <v>150</v>
      </c>
      <c r="K113" s="374"/>
      <c r="L113" s="333">
        <f t="shared" si="10"/>
        <v>150</v>
      </c>
      <c r="M113" s="333">
        <f t="shared" si="11"/>
        <v>150</v>
      </c>
      <c r="N113" s="374"/>
      <c r="O113" s="333">
        <f t="shared" si="13"/>
        <v>150</v>
      </c>
    </row>
    <row r="114" spans="1:15" ht="15" customHeight="1">
      <c r="A114" s="311"/>
      <c r="B114" s="312"/>
      <c r="C114" s="335" t="s">
        <v>1119</v>
      </c>
      <c r="D114" s="33" t="s">
        <v>1138</v>
      </c>
      <c r="E114" s="299"/>
      <c r="F114" s="733" t="s">
        <v>126</v>
      </c>
      <c r="G114" s="286"/>
      <c r="H114" s="286"/>
      <c r="I114" s="318"/>
      <c r="J114" s="374">
        <v>463</v>
      </c>
      <c r="K114" s="374"/>
      <c r="L114" s="333">
        <f t="shared" si="10"/>
        <v>463</v>
      </c>
      <c r="M114" s="333">
        <f t="shared" si="11"/>
        <v>463</v>
      </c>
      <c r="N114" s="374"/>
      <c r="O114" s="333">
        <f t="shared" si="13"/>
        <v>463</v>
      </c>
    </row>
    <row r="115" spans="1:15" ht="15" customHeight="1">
      <c r="A115" s="311"/>
      <c r="B115" s="312"/>
      <c r="C115" s="335" t="s">
        <v>1120</v>
      </c>
      <c r="D115" s="93" t="s">
        <v>1139</v>
      </c>
      <c r="E115" s="299"/>
      <c r="F115" s="733" t="s">
        <v>126</v>
      </c>
      <c r="G115" s="286"/>
      <c r="H115" s="286"/>
      <c r="I115" s="318"/>
      <c r="J115" s="374">
        <v>5450</v>
      </c>
      <c r="K115" s="374"/>
      <c r="L115" s="333">
        <f t="shared" si="10"/>
        <v>5450</v>
      </c>
      <c r="M115" s="333">
        <f t="shared" si="11"/>
        <v>5450</v>
      </c>
      <c r="N115" s="374"/>
      <c r="O115" s="333">
        <f t="shared" si="13"/>
        <v>5450</v>
      </c>
    </row>
    <row r="116" spans="1:15" ht="15" customHeight="1">
      <c r="A116" s="311"/>
      <c r="B116" s="312"/>
      <c r="C116" s="335"/>
      <c r="D116" s="354" t="s">
        <v>468</v>
      </c>
      <c r="E116" s="315"/>
      <c r="F116" s="700"/>
      <c r="G116" s="318"/>
      <c r="H116" s="318"/>
      <c r="I116" s="318"/>
      <c r="J116" s="374"/>
      <c r="K116" s="374"/>
      <c r="L116" s="374"/>
      <c r="M116" s="374"/>
      <c r="N116" s="374"/>
      <c r="O116" s="374"/>
    </row>
    <row r="117" spans="1:15" ht="24.75" customHeight="1">
      <c r="A117" s="311"/>
      <c r="B117" s="312"/>
      <c r="C117" s="335" t="s">
        <v>189</v>
      </c>
      <c r="D117" s="355" t="s">
        <v>909</v>
      </c>
      <c r="E117" s="324"/>
      <c r="F117" s="701"/>
      <c r="G117" s="286">
        <v>4875</v>
      </c>
      <c r="H117" s="286"/>
      <c r="I117" s="318">
        <f>SUM(G117:H117)</f>
        <v>4875</v>
      </c>
      <c r="J117" s="374"/>
      <c r="K117" s="374"/>
      <c r="L117" s="374">
        <f t="shared" si="10"/>
        <v>0</v>
      </c>
      <c r="M117" s="374">
        <f t="shared" si="11"/>
        <v>4875</v>
      </c>
      <c r="N117" s="374">
        <f t="shared" si="12"/>
        <v>0</v>
      </c>
      <c r="O117" s="374">
        <f t="shared" si="13"/>
        <v>4875</v>
      </c>
    </row>
    <row r="118" spans="1:15" ht="15" customHeight="1">
      <c r="A118" s="311"/>
      <c r="B118" s="312"/>
      <c r="C118" s="335" t="s">
        <v>124</v>
      </c>
      <c r="D118" s="348" t="s">
        <v>545</v>
      </c>
      <c r="E118" s="315"/>
      <c r="F118" s="700"/>
      <c r="G118" s="318">
        <v>852</v>
      </c>
      <c r="H118" s="318"/>
      <c r="I118" s="318">
        <f>SUM(G118:H118)</f>
        <v>852</v>
      </c>
      <c r="J118" s="374"/>
      <c r="K118" s="374"/>
      <c r="L118" s="374">
        <f t="shared" si="10"/>
        <v>0</v>
      </c>
      <c r="M118" s="374">
        <f t="shared" si="11"/>
        <v>852</v>
      </c>
      <c r="N118" s="374">
        <f t="shared" si="12"/>
        <v>0</v>
      </c>
      <c r="O118" s="374">
        <f t="shared" si="13"/>
        <v>852</v>
      </c>
    </row>
    <row r="119" spans="1:15" ht="15" customHeight="1">
      <c r="A119" s="311"/>
      <c r="B119" s="312"/>
      <c r="C119" s="335" t="s">
        <v>546</v>
      </c>
      <c r="D119" s="356" t="s">
        <v>547</v>
      </c>
      <c r="E119" s="315"/>
      <c r="F119" s="700"/>
      <c r="G119" s="318">
        <v>45664</v>
      </c>
      <c r="H119" s="318"/>
      <c r="I119" s="318">
        <f>SUM(G119:H119)</f>
        <v>45664</v>
      </c>
      <c r="J119" s="374"/>
      <c r="K119" s="374"/>
      <c r="L119" s="374">
        <f t="shared" si="10"/>
        <v>0</v>
      </c>
      <c r="M119" s="374">
        <f t="shared" si="11"/>
        <v>45664</v>
      </c>
      <c r="N119" s="374">
        <f t="shared" si="12"/>
        <v>0</v>
      </c>
      <c r="O119" s="374">
        <f t="shared" si="13"/>
        <v>45664</v>
      </c>
    </row>
    <row r="120" spans="1:15" ht="15" customHeight="1">
      <c r="A120" s="311"/>
      <c r="B120" s="312"/>
      <c r="C120" s="335" t="s">
        <v>548</v>
      </c>
      <c r="D120" s="357" t="s">
        <v>549</v>
      </c>
      <c r="E120" s="315"/>
      <c r="F120" s="700"/>
      <c r="G120" s="318">
        <v>2000</v>
      </c>
      <c r="H120" s="318"/>
      <c r="I120" s="318">
        <f>SUM(G120:H120)</f>
        <v>2000</v>
      </c>
      <c r="J120" s="374"/>
      <c r="K120" s="374"/>
      <c r="L120" s="374">
        <f t="shared" si="10"/>
        <v>0</v>
      </c>
      <c r="M120" s="374">
        <f t="shared" si="11"/>
        <v>2000</v>
      </c>
      <c r="N120" s="374">
        <f t="shared" si="12"/>
        <v>0</v>
      </c>
      <c r="O120" s="374">
        <f t="shared" si="13"/>
        <v>2000</v>
      </c>
    </row>
    <row r="121" spans="1:15" ht="12.75" customHeight="1">
      <c r="A121" s="305"/>
      <c r="B121" s="306"/>
      <c r="C121" s="307"/>
      <c r="D121" s="358" t="s">
        <v>245</v>
      </c>
      <c r="E121" s="359"/>
      <c r="F121" s="704"/>
      <c r="G121" s="310">
        <f>SUM(G35:G120)</f>
        <v>277632</v>
      </c>
      <c r="H121" s="310">
        <f>SUM(H35:H120)</f>
        <v>355893</v>
      </c>
      <c r="I121" s="310">
        <f>SUM(I35:I120)</f>
        <v>633525</v>
      </c>
      <c r="J121" s="310">
        <f aca="true" t="shared" si="14" ref="J121:O121">SUM(J35:J120)</f>
        <v>30299</v>
      </c>
      <c r="K121" s="310">
        <f t="shared" si="14"/>
        <v>248324</v>
      </c>
      <c r="L121" s="310">
        <f t="shared" si="14"/>
        <v>278623</v>
      </c>
      <c r="M121" s="310">
        <f t="shared" si="14"/>
        <v>307931</v>
      </c>
      <c r="N121" s="310">
        <f t="shared" si="14"/>
        <v>604217</v>
      </c>
      <c r="O121" s="310">
        <f t="shared" si="14"/>
        <v>912148</v>
      </c>
    </row>
    <row r="122" spans="1:15" ht="13.5" customHeight="1">
      <c r="A122" s="277">
        <v>1</v>
      </c>
      <c r="B122" s="278">
        <v>16</v>
      </c>
      <c r="C122" s="273"/>
      <c r="D122" s="360" t="s">
        <v>87</v>
      </c>
      <c r="E122" s="361"/>
      <c r="F122" s="705"/>
      <c r="G122" s="276"/>
      <c r="H122" s="362"/>
      <c r="I122" s="276"/>
      <c r="J122" s="374"/>
      <c r="K122" s="374"/>
      <c r="L122" s="374"/>
      <c r="M122" s="374"/>
      <c r="N122" s="374"/>
      <c r="O122" s="374"/>
    </row>
    <row r="123" spans="1:15" ht="13.5" customHeight="1">
      <c r="A123" s="311"/>
      <c r="B123" s="312"/>
      <c r="C123" s="317">
        <v>1</v>
      </c>
      <c r="D123" s="314" t="s">
        <v>344</v>
      </c>
      <c r="E123" s="315"/>
      <c r="F123" s="700"/>
      <c r="G123" s="318"/>
      <c r="H123" s="318"/>
      <c r="I123" s="318"/>
      <c r="J123" s="374"/>
      <c r="K123" s="374"/>
      <c r="L123" s="374"/>
      <c r="M123" s="374"/>
      <c r="N123" s="374"/>
      <c r="O123" s="374"/>
    </row>
    <row r="124" spans="1:15" ht="36" customHeight="1">
      <c r="A124" s="311"/>
      <c r="B124" s="312"/>
      <c r="C124" s="313" t="s">
        <v>260</v>
      </c>
      <c r="D124" s="364" t="s">
        <v>550</v>
      </c>
      <c r="E124" s="315"/>
      <c r="F124" s="700"/>
      <c r="G124" s="318">
        <v>12500</v>
      </c>
      <c r="H124" s="318"/>
      <c r="I124" s="318">
        <f aca="true" t="shared" si="15" ref="I124:I129">SUM(G124:H124)</f>
        <v>12500</v>
      </c>
      <c r="J124" s="374"/>
      <c r="K124" s="374"/>
      <c r="L124" s="374">
        <f t="shared" si="10"/>
        <v>0</v>
      </c>
      <c r="M124" s="374">
        <f t="shared" si="11"/>
        <v>12500</v>
      </c>
      <c r="N124" s="374">
        <f t="shared" si="12"/>
        <v>0</v>
      </c>
      <c r="O124" s="374">
        <f t="shared" si="13"/>
        <v>12500</v>
      </c>
    </row>
    <row r="125" spans="1:15" ht="24.75" customHeight="1">
      <c r="A125" s="311"/>
      <c r="B125" s="312"/>
      <c r="C125" s="313" t="s">
        <v>261</v>
      </c>
      <c r="D125" s="364" t="s">
        <v>622</v>
      </c>
      <c r="E125" s="315"/>
      <c r="F125" s="700"/>
      <c r="G125" s="318">
        <v>20000</v>
      </c>
      <c r="H125" s="318"/>
      <c r="I125" s="318">
        <f t="shared" si="15"/>
        <v>20000</v>
      </c>
      <c r="J125" s="374"/>
      <c r="K125" s="374"/>
      <c r="L125" s="374">
        <f t="shared" si="10"/>
        <v>0</v>
      </c>
      <c r="M125" s="374">
        <f t="shared" si="11"/>
        <v>20000</v>
      </c>
      <c r="N125" s="374">
        <f t="shared" si="12"/>
        <v>0</v>
      </c>
      <c r="O125" s="374">
        <f t="shared" si="13"/>
        <v>20000</v>
      </c>
    </row>
    <row r="126" spans="1:15" ht="24.75" customHeight="1">
      <c r="A126" s="311"/>
      <c r="B126" s="312"/>
      <c r="C126" s="313" t="s">
        <v>262</v>
      </c>
      <c r="D126" s="364" t="s">
        <v>623</v>
      </c>
      <c r="E126" s="315"/>
      <c r="F126" s="700"/>
      <c r="G126" s="318">
        <v>5100</v>
      </c>
      <c r="H126" s="318"/>
      <c r="I126" s="318">
        <f t="shared" si="15"/>
        <v>5100</v>
      </c>
      <c r="J126" s="374"/>
      <c r="K126" s="374"/>
      <c r="L126" s="374">
        <f t="shared" si="10"/>
        <v>0</v>
      </c>
      <c r="M126" s="374">
        <f t="shared" si="11"/>
        <v>5100</v>
      </c>
      <c r="N126" s="374">
        <f t="shared" si="12"/>
        <v>0</v>
      </c>
      <c r="O126" s="374">
        <f t="shared" si="13"/>
        <v>5100</v>
      </c>
    </row>
    <row r="127" spans="1:15" ht="13.5" customHeight="1">
      <c r="A127" s="311"/>
      <c r="B127" s="312"/>
      <c r="C127" s="313" t="s">
        <v>249</v>
      </c>
      <c r="D127" s="365" t="s">
        <v>624</v>
      </c>
      <c r="E127" s="315"/>
      <c r="F127" s="700"/>
      <c r="G127" s="318">
        <v>31000</v>
      </c>
      <c r="H127" s="318"/>
      <c r="I127" s="318">
        <f t="shared" si="15"/>
        <v>31000</v>
      </c>
      <c r="J127" s="374"/>
      <c r="K127" s="374"/>
      <c r="L127" s="374">
        <f t="shared" si="10"/>
        <v>0</v>
      </c>
      <c r="M127" s="374">
        <f t="shared" si="11"/>
        <v>31000</v>
      </c>
      <c r="N127" s="374">
        <f t="shared" si="12"/>
        <v>0</v>
      </c>
      <c r="O127" s="374">
        <f t="shared" si="13"/>
        <v>31000</v>
      </c>
    </row>
    <row r="128" spans="1:15" ht="13.5" customHeight="1">
      <c r="A128" s="311"/>
      <c r="B128" s="312"/>
      <c r="C128" s="313" t="s">
        <v>250</v>
      </c>
      <c r="D128" s="292" t="s">
        <v>627</v>
      </c>
      <c r="E128" s="315"/>
      <c r="F128" s="700"/>
      <c r="G128" s="318">
        <v>5000</v>
      </c>
      <c r="H128" s="318"/>
      <c r="I128" s="318">
        <f t="shared" si="15"/>
        <v>5000</v>
      </c>
      <c r="J128" s="374"/>
      <c r="K128" s="374"/>
      <c r="L128" s="374">
        <f t="shared" si="10"/>
        <v>0</v>
      </c>
      <c r="M128" s="374">
        <f t="shared" si="11"/>
        <v>5000</v>
      </c>
      <c r="N128" s="374">
        <f t="shared" si="12"/>
        <v>0</v>
      </c>
      <c r="O128" s="374">
        <f t="shared" si="13"/>
        <v>5000</v>
      </c>
    </row>
    <row r="129" spans="1:15" ht="13.5" customHeight="1">
      <c r="A129" s="311"/>
      <c r="B129" s="312"/>
      <c r="C129" s="313" t="s">
        <v>927</v>
      </c>
      <c r="D129" s="292" t="s">
        <v>628</v>
      </c>
      <c r="E129" s="315"/>
      <c r="F129" s="700"/>
      <c r="G129" s="318">
        <v>3000</v>
      </c>
      <c r="H129" s="318"/>
      <c r="I129" s="318">
        <f t="shared" si="15"/>
        <v>3000</v>
      </c>
      <c r="J129" s="374"/>
      <c r="K129" s="374"/>
      <c r="L129" s="374">
        <f t="shared" si="10"/>
        <v>0</v>
      </c>
      <c r="M129" s="374">
        <f t="shared" si="11"/>
        <v>3000</v>
      </c>
      <c r="N129" s="374">
        <f t="shared" si="12"/>
        <v>0</v>
      </c>
      <c r="O129" s="374">
        <f t="shared" si="13"/>
        <v>3000</v>
      </c>
    </row>
    <row r="130" spans="1:15" ht="13.5" customHeight="1">
      <c r="A130" s="311"/>
      <c r="B130" s="312"/>
      <c r="C130" s="317"/>
      <c r="D130" s="322" t="s">
        <v>468</v>
      </c>
      <c r="E130" s="315"/>
      <c r="F130" s="700"/>
      <c r="G130" s="318"/>
      <c r="H130" s="318"/>
      <c r="I130" s="318"/>
      <c r="J130" s="374"/>
      <c r="K130" s="374"/>
      <c r="L130" s="374">
        <f t="shared" si="10"/>
        <v>0</v>
      </c>
      <c r="M130" s="374">
        <f t="shared" si="11"/>
        <v>0</v>
      </c>
      <c r="N130" s="374">
        <f t="shared" si="12"/>
        <v>0</v>
      </c>
      <c r="O130" s="374">
        <f t="shared" si="13"/>
        <v>0</v>
      </c>
    </row>
    <row r="131" spans="1:15" ht="13.5" customHeight="1">
      <c r="A131" s="311"/>
      <c r="B131" s="312"/>
      <c r="C131" s="313" t="s">
        <v>130</v>
      </c>
      <c r="D131" s="366" t="s">
        <v>914</v>
      </c>
      <c r="E131" s="315"/>
      <c r="F131" s="700"/>
      <c r="G131" s="318">
        <v>236</v>
      </c>
      <c r="H131" s="318"/>
      <c r="I131" s="318">
        <f aca="true" t="shared" si="16" ref="I131:I136">SUM(G131:H131)</f>
        <v>236</v>
      </c>
      <c r="J131" s="374"/>
      <c r="K131" s="374"/>
      <c r="L131" s="374">
        <f t="shared" si="10"/>
        <v>0</v>
      </c>
      <c r="M131" s="374">
        <f t="shared" si="11"/>
        <v>236</v>
      </c>
      <c r="N131" s="374">
        <f t="shared" si="12"/>
        <v>0</v>
      </c>
      <c r="O131" s="374">
        <f t="shared" si="13"/>
        <v>236</v>
      </c>
    </row>
    <row r="132" spans="1:15" ht="13.5" customHeight="1">
      <c r="A132" s="311"/>
      <c r="B132" s="312"/>
      <c r="C132" s="313" t="s">
        <v>166</v>
      </c>
      <c r="D132" s="365" t="s">
        <v>629</v>
      </c>
      <c r="E132" s="315"/>
      <c r="F132" s="700"/>
      <c r="G132" s="318">
        <v>20414</v>
      </c>
      <c r="H132" s="318"/>
      <c r="I132" s="318">
        <f t="shared" si="16"/>
        <v>20414</v>
      </c>
      <c r="J132" s="374"/>
      <c r="K132" s="374"/>
      <c r="L132" s="374">
        <f t="shared" si="10"/>
        <v>0</v>
      </c>
      <c r="M132" s="374">
        <f t="shared" si="11"/>
        <v>20414</v>
      </c>
      <c r="N132" s="374">
        <f t="shared" si="12"/>
        <v>0</v>
      </c>
      <c r="O132" s="374">
        <f t="shared" si="13"/>
        <v>20414</v>
      </c>
    </row>
    <row r="133" spans="1:15" ht="13.5" customHeight="1">
      <c r="A133" s="311"/>
      <c r="B133" s="312"/>
      <c r="C133" s="313" t="s">
        <v>167</v>
      </c>
      <c r="D133" s="365" t="s">
        <v>630</v>
      </c>
      <c r="E133" s="315"/>
      <c r="F133" s="700"/>
      <c r="G133" s="318">
        <v>6091</v>
      </c>
      <c r="H133" s="318"/>
      <c r="I133" s="318">
        <f t="shared" si="16"/>
        <v>6091</v>
      </c>
      <c r="J133" s="374"/>
      <c r="K133" s="374"/>
      <c r="L133" s="374">
        <f t="shared" si="10"/>
        <v>0</v>
      </c>
      <c r="M133" s="374">
        <f t="shared" si="11"/>
        <v>6091</v>
      </c>
      <c r="N133" s="374">
        <f t="shared" si="12"/>
        <v>0</v>
      </c>
      <c r="O133" s="374">
        <f t="shared" si="13"/>
        <v>6091</v>
      </c>
    </row>
    <row r="134" spans="1:15" ht="15" customHeight="1">
      <c r="A134" s="319"/>
      <c r="B134" s="319"/>
      <c r="C134" s="313" t="s">
        <v>168</v>
      </c>
      <c r="D134" s="367" t="s">
        <v>4</v>
      </c>
      <c r="E134" s="368"/>
      <c r="F134" s="508"/>
      <c r="G134" s="286">
        <v>900</v>
      </c>
      <c r="H134" s="286"/>
      <c r="I134" s="286">
        <f t="shared" si="16"/>
        <v>900</v>
      </c>
      <c r="J134" s="374"/>
      <c r="K134" s="374"/>
      <c r="L134" s="374">
        <f t="shared" si="10"/>
        <v>0</v>
      </c>
      <c r="M134" s="374">
        <f t="shared" si="11"/>
        <v>900</v>
      </c>
      <c r="N134" s="374">
        <f t="shared" si="12"/>
        <v>0</v>
      </c>
      <c r="O134" s="374">
        <f t="shared" si="13"/>
        <v>900</v>
      </c>
    </row>
    <row r="135" spans="1:15" ht="15" customHeight="1">
      <c r="A135" s="319"/>
      <c r="B135" s="319"/>
      <c r="C135" s="313" t="s">
        <v>1</v>
      </c>
      <c r="D135" s="370" t="s">
        <v>10</v>
      </c>
      <c r="E135" s="371"/>
      <c r="F135" s="695"/>
      <c r="G135" s="259">
        <v>343</v>
      </c>
      <c r="H135" s="259"/>
      <c r="I135" s="259">
        <f t="shared" si="16"/>
        <v>343</v>
      </c>
      <c r="J135" s="374"/>
      <c r="K135" s="374"/>
      <c r="L135" s="374">
        <f t="shared" si="10"/>
        <v>0</v>
      </c>
      <c r="M135" s="374">
        <f t="shared" si="11"/>
        <v>343</v>
      </c>
      <c r="N135" s="374">
        <f t="shared" si="12"/>
        <v>0</v>
      </c>
      <c r="O135" s="374">
        <f t="shared" si="13"/>
        <v>343</v>
      </c>
    </row>
    <row r="136" spans="1:15" ht="15" customHeight="1">
      <c r="A136" s="319"/>
      <c r="B136" s="319"/>
      <c r="C136" s="313" t="s">
        <v>2</v>
      </c>
      <c r="D136" s="372" t="s">
        <v>912</v>
      </c>
      <c r="E136" s="373"/>
      <c r="F136" s="709"/>
      <c r="G136" s="374">
        <v>924</v>
      </c>
      <c r="H136" s="452"/>
      <c r="I136" s="374">
        <f t="shared" si="16"/>
        <v>924</v>
      </c>
      <c r="J136" s="374"/>
      <c r="K136" s="374"/>
      <c r="L136" s="374">
        <f t="shared" si="10"/>
        <v>0</v>
      </c>
      <c r="M136" s="374">
        <f t="shared" si="11"/>
        <v>924</v>
      </c>
      <c r="N136" s="374">
        <f t="shared" si="12"/>
        <v>0</v>
      </c>
      <c r="O136" s="374">
        <f t="shared" si="13"/>
        <v>924</v>
      </c>
    </row>
    <row r="137" spans="1:15" ht="13.5" customHeight="1">
      <c r="A137" s="375"/>
      <c r="B137" s="375"/>
      <c r="C137" s="325" t="s">
        <v>263</v>
      </c>
      <c r="D137" s="326" t="s">
        <v>903</v>
      </c>
      <c r="E137" s="332"/>
      <c r="F137" s="702"/>
      <c r="G137" s="333"/>
      <c r="H137" s="333"/>
      <c r="I137" s="333"/>
      <c r="J137" s="374"/>
      <c r="K137" s="374"/>
      <c r="L137" s="374"/>
      <c r="M137" s="374"/>
      <c r="N137" s="374"/>
      <c r="O137" s="374"/>
    </row>
    <row r="138" spans="1:15" ht="25.5" customHeight="1">
      <c r="A138" s="375"/>
      <c r="B138" s="375"/>
      <c r="C138" s="297" t="s">
        <v>264</v>
      </c>
      <c r="D138" s="376" t="s">
        <v>631</v>
      </c>
      <c r="E138" s="332"/>
      <c r="F138" s="702"/>
      <c r="G138" s="333">
        <v>55500</v>
      </c>
      <c r="H138" s="333"/>
      <c r="I138" s="333">
        <f>SUM(G138:H138)</f>
        <v>55500</v>
      </c>
      <c r="J138" s="374"/>
      <c r="K138" s="374"/>
      <c r="L138" s="374">
        <f t="shared" si="10"/>
        <v>0</v>
      </c>
      <c r="M138" s="374">
        <f t="shared" si="11"/>
        <v>55500</v>
      </c>
      <c r="N138" s="374">
        <f t="shared" si="12"/>
        <v>0</v>
      </c>
      <c r="O138" s="374">
        <f t="shared" si="13"/>
        <v>55500</v>
      </c>
    </row>
    <row r="139" spans="1:15" ht="13.5" customHeight="1">
      <c r="A139" s="375"/>
      <c r="B139" s="375"/>
      <c r="C139" s="297" t="s">
        <v>99</v>
      </c>
      <c r="D139" s="365" t="s">
        <v>632</v>
      </c>
      <c r="E139" s="332"/>
      <c r="F139" s="702"/>
      <c r="G139" s="333">
        <v>500</v>
      </c>
      <c r="H139" s="333"/>
      <c r="I139" s="333">
        <f>SUM(G139:H139)</f>
        <v>500</v>
      </c>
      <c r="J139" s="374"/>
      <c r="K139" s="374"/>
      <c r="L139" s="374">
        <f t="shared" si="10"/>
        <v>0</v>
      </c>
      <c r="M139" s="374">
        <f t="shared" si="11"/>
        <v>500</v>
      </c>
      <c r="N139" s="374">
        <f t="shared" si="12"/>
        <v>0</v>
      </c>
      <c r="O139" s="374">
        <f t="shared" si="13"/>
        <v>500</v>
      </c>
    </row>
    <row r="140" spans="1:15" ht="13.5" customHeight="1">
      <c r="A140" s="375"/>
      <c r="B140" s="375"/>
      <c r="C140" s="297" t="s">
        <v>913</v>
      </c>
      <c r="D140" s="377" t="s">
        <v>633</v>
      </c>
      <c r="E140" s="332"/>
      <c r="F140" s="702"/>
      <c r="G140" s="333">
        <v>1500</v>
      </c>
      <c r="H140" s="333"/>
      <c r="I140" s="333">
        <f>SUM(G140:H140)</f>
        <v>1500</v>
      </c>
      <c r="J140" s="374"/>
      <c r="K140" s="374"/>
      <c r="L140" s="374">
        <f t="shared" si="10"/>
        <v>0</v>
      </c>
      <c r="M140" s="374">
        <f t="shared" si="11"/>
        <v>1500</v>
      </c>
      <c r="N140" s="374">
        <f t="shared" si="12"/>
        <v>0</v>
      </c>
      <c r="O140" s="374">
        <f t="shared" si="13"/>
        <v>1500</v>
      </c>
    </row>
    <row r="141" spans="1:15" ht="13.5" customHeight="1">
      <c r="A141" s="375"/>
      <c r="B141" s="375"/>
      <c r="C141" s="325"/>
      <c r="D141" s="322" t="s">
        <v>468</v>
      </c>
      <c r="E141" s="332"/>
      <c r="F141" s="702"/>
      <c r="G141" s="333"/>
      <c r="H141" s="333"/>
      <c r="I141" s="333"/>
      <c r="J141" s="374"/>
      <c r="K141" s="374"/>
      <c r="L141" s="374">
        <f t="shared" si="10"/>
        <v>0</v>
      </c>
      <c r="M141" s="374">
        <f t="shared" si="11"/>
        <v>0</v>
      </c>
      <c r="N141" s="374">
        <f t="shared" si="12"/>
        <v>0</v>
      </c>
      <c r="O141" s="374">
        <f t="shared" si="13"/>
        <v>0</v>
      </c>
    </row>
    <row r="142" spans="1:15" ht="13.5" customHeight="1">
      <c r="A142" s="375"/>
      <c r="B142" s="375"/>
      <c r="C142" s="297" t="s">
        <v>169</v>
      </c>
      <c r="D142" s="378" t="s">
        <v>11</v>
      </c>
      <c r="E142" s="315"/>
      <c r="F142" s="700"/>
      <c r="G142" s="318">
        <v>400</v>
      </c>
      <c r="H142" s="318"/>
      <c r="I142" s="333">
        <f>SUM(G142:H142)</f>
        <v>400</v>
      </c>
      <c r="J142" s="374"/>
      <c r="K142" s="374"/>
      <c r="L142" s="374">
        <f t="shared" si="10"/>
        <v>0</v>
      </c>
      <c r="M142" s="374">
        <f t="shared" si="11"/>
        <v>400</v>
      </c>
      <c r="N142" s="374">
        <f t="shared" si="12"/>
        <v>0</v>
      </c>
      <c r="O142" s="374">
        <f t="shared" si="13"/>
        <v>400</v>
      </c>
    </row>
    <row r="143" spans="1:15" ht="13.5" customHeight="1">
      <c r="A143" s="375"/>
      <c r="B143" s="375"/>
      <c r="C143" s="329" t="s">
        <v>265</v>
      </c>
      <c r="D143" s="330" t="s">
        <v>196</v>
      </c>
      <c r="E143" s="332"/>
      <c r="F143" s="702"/>
      <c r="G143" s="333"/>
      <c r="H143" s="333"/>
      <c r="I143" s="333"/>
      <c r="J143" s="374"/>
      <c r="K143" s="374"/>
      <c r="L143" s="374"/>
      <c r="M143" s="374"/>
      <c r="N143" s="374"/>
      <c r="O143" s="374"/>
    </row>
    <row r="144" spans="1:15" ht="13.5" customHeight="1">
      <c r="A144" s="375"/>
      <c r="B144" s="375"/>
      <c r="C144" s="329"/>
      <c r="D144" s="322" t="s">
        <v>468</v>
      </c>
      <c r="E144" s="332"/>
      <c r="F144" s="702"/>
      <c r="G144" s="333"/>
      <c r="H144" s="333"/>
      <c r="I144" s="333"/>
      <c r="J144" s="374"/>
      <c r="K144" s="374"/>
      <c r="L144" s="374"/>
      <c r="M144" s="374"/>
      <c r="N144" s="374"/>
      <c r="O144" s="374"/>
    </row>
    <row r="145" spans="1:15" ht="15" customHeight="1">
      <c r="A145" s="375"/>
      <c r="B145" s="375"/>
      <c r="C145" s="297" t="s">
        <v>494</v>
      </c>
      <c r="D145" s="379" t="s">
        <v>634</v>
      </c>
      <c r="E145" s="380" t="s">
        <v>84</v>
      </c>
      <c r="F145" s="702"/>
      <c r="G145" s="333">
        <v>577653</v>
      </c>
      <c r="H145" s="333"/>
      <c r="I145" s="381">
        <f>SUM(G145:H145)</f>
        <v>577653</v>
      </c>
      <c r="J145" s="374"/>
      <c r="K145" s="374"/>
      <c r="L145" s="374">
        <f t="shared" si="10"/>
        <v>0</v>
      </c>
      <c r="M145" s="374">
        <f t="shared" si="11"/>
        <v>577653</v>
      </c>
      <c r="N145" s="374">
        <f t="shared" si="12"/>
        <v>0</v>
      </c>
      <c r="O145" s="374">
        <f t="shared" si="13"/>
        <v>577653</v>
      </c>
    </row>
    <row r="146" spans="1:15" ht="24.75" customHeight="1">
      <c r="A146" s="375"/>
      <c r="B146" s="375"/>
      <c r="C146" s="297" t="s">
        <v>635</v>
      </c>
      <c r="D146" s="379" t="s">
        <v>636</v>
      </c>
      <c r="E146" s="380" t="s">
        <v>84</v>
      </c>
      <c r="F146" s="702"/>
      <c r="G146" s="333">
        <v>581631</v>
      </c>
      <c r="H146" s="333"/>
      <c r="I146" s="381">
        <f>SUM(G146:H146)</f>
        <v>581631</v>
      </c>
      <c r="J146" s="374"/>
      <c r="K146" s="374"/>
      <c r="L146" s="374">
        <f t="shared" si="10"/>
        <v>0</v>
      </c>
      <c r="M146" s="374">
        <f t="shared" si="11"/>
        <v>581631</v>
      </c>
      <c r="N146" s="374">
        <f t="shared" si="12"/>
        <v>0</v>
      </c>
      <c r="O146" s="374">
        <f t="shared" si="13"/>
        <v>581631</v>
      </c>
    </row>
    <row r="147" spans="1:15" ht="12" customHeight="1">
      <c r="A147" s="329"/>
      <c r="B147" s="329"/>
      <c r="C147" s="329" t="s">
        <v>267</v>
      </c>
      <c r="D147" s="330" t="s">
        <v>272</v>
      </c>
      <c r="E147" s="382"/>
      <c r="F147" s="697"/>
      <c r="G147" s="381"/>
      <c r="H147" s="383"/>
      <c r="I147" s="381"/>
      <c r="J147" s="374"/>
      <c r="K147" s="374"/>
      <c r="L147" s="374"/>
      <c r="M147" s="374"/>
      <c r="N147" s="374"/>
      <c r="O147" s="374"/>
    </row>
    <row r="148" spans="1:15" ht="12" customHeight="1">
      <c r="A148" s="329"/>
      <c r="B148" s="329"/>
      <c r="C148" s="335" t="s">
        <v>273</v>
      </c>
      <c r="D148" s="376" t="s">
        <v>637</v>
      </c>
      <c r="E148" s="382"/>
      <c r="F148" s="697"/>
      <c r="G148" s="381">
        <v>5000</v>
      </c>
      <c r="H148" s="383"/>
      <c r="I148" s="381">
        <f aca="true" t="shared" si="17" ref="I148:I154">SUM(G148:H148)</f>
        <v>5000</v>
      </c>
      <c r="J148" s="374"/>
      <c r="K148" s="374"/>
      <c r="L148" s="374">
        <f aca="true" t="shared" si="18" ref="L148:L212">SUM(J148:K148)</f>
        <v>0</v>
      </c>
      <c r="M148" s="374">
        <f t="shared" si="11"/>
        <v>5000</v>
      </c>
      <c r="N148" s="374">
        <f t="shared" si="12"/>
        <v>0</v>
      </c>
      <c r="O148" s="374">
        <f aca="true" t="shared" si="19" ref="O148:O212">SUM(M148:N148)</f>
        <v>5000</v>
      </c>
    </row>
    <row r="149" spans="1:15" ht="12" customHeight="1">
      <c r="A149" s="329"/>
      <c r="B149" s="329"/>
      <c r="C149" s="335" t="s">
        <v>274</v>
      </c>
      <c r="D149" s="284" t="s">
        <v>638</v>
      </c>
      <c r="E149" s="382"/>
      <c r="F149" s="697"/>
      <c r="G149" s="381">
        <v>3000</v>
      </c>
      <c r="H149" s="383"/>
      <c r="I149" s="381">
        <f t="shared" si="17"/>
        <v>3000</v>
      </c>
      <c r="J149" s="374"/>
      <c r="K149" s="374"/>
      <c r="L149" s="374">
        <f t="shared" si="18"/>
        <v>0</v>
      </c>
      <c r="M149" s="374">
        <f aca="true" t="shared" si="20" ref="M149:M213">SUM(G149+J149)</f>
        <v>3000</v>
      </c>
      <c r="N149" s="374">
        <f aca="true" t="shared" si="21" ref="N149:N213">SUM(H149+K149)</f>
        <v>0</v>
      </c>
      <c r="O149" s="374">
        <f t="shared" si="19"/>
        <v>3000</v>
      </c>
    </row>
    <row r="150" spans="1:15" ht="12" customHeight="1">
      <c r="A150" s="329"/>
      <c r="B150" s="329"/>
      <c r="C150" s="335" t="s">
        <v>275</v>
      </c>
      <c r="D150" s="338" t="s">
        <v>639</v>
      </c>
      <c r="E150" s="315"/>
      <c r="F150" s="700"/>
      <c r="G150" s="318">
        <v>5000</v>
      </c>
      <c r="H150" s="318"/>
      <c r="I150" s="318">
        <f t="shared" si="17"/>
        <v>5000</v>
      </c>
      <c r="J150" s="374"/>
      <c r="K150" s="374"/>
      <c r="L150" s="374">
        <f t="shared" si="18"/>
        <v>0</v>
      </c>
      <c r="M150" s="374">
        <f t="shared" si="20"/>
        <v>5000</v>
      </c>
      <c r="N150" s="374">
        <f t="shared" si="21"/>
        <v>0</v>
      </c>
      <c r="O150" s="374">
        <f t="shared" si="19"/>
        <v>5000</v>
      </c>
    </row>
    <row r="151" spans="1:15" ht="12" customHeight="1">
      <c r="A151" s="329"/>
      <c r="B151" s="329"/>
      <c r="C151" s="335" t="s">
        <v>276</v>
      </c>
      <c r="D151" s="327" t="s">
        <v>640</v>
      </c>
      <c r="E151" s="315"/>
      <c r="F151" s="700"/>
      <c r="G151" s="318">
        <v>18000</v>
      </c>
      <c r="H151" s="318"/>
      <c r="I151" s="318">
        <f t="shared" si="17"/>
        <v>18000</v>
      </c>
      <c r="J151" s="374"/>
      <c r="K151" s="374"/>
      <c r="L151" s="374">
        <f t="shared" si="18"/>
        <v>0</v>
      </c>
      <c r="M151" s="374">
        <f t="shared" si="20"/>
        <v>18000</v>
      </c>
      <c r="N151" s="374">
        <f t="shared" si="21"/>
        <v>0</v>
      </c>
      <c r="O151" s="374">
        <f t="shared" si="19"/>
        <v>18000</v>
      </c>
    </row>
    <row r="152" spans="1:15" ht="12" customHeight="1">
      <c r="A152" s="329"/>
      <c r="B152" s="329"/>
      <c r="C152" s="335" t="s">
        <v>277</v>
      </c>
      <c r="D152" s="338" t="s">
        <v>641</v>
      </c>
      <c r="E152" s="315"/>
      <c r="F152" s="700"/>
      <c r="G152" s="318">
        <v>2500</v>
      </c>
      <c r="H152" s="318"/>
      <c r="I152" s="318">
        <f t="shared" si="17"/>
        <v>2500</v>
      </c>
      <c r="J152" s="374"/>
      <c r="K152" s="374"/>
      <c r="L152" s="374">
        <f t="shared" si="18"/>
        <v>0</v>
      </c>
      <c r="M152" s="374">
        <f t="shared" si="20"/>
        <v>2500</v>
      </c>
      <c r="N152" s="374">
        <f t="shared" si="21"/>
        <v>0</v>
      </c>
      <c r="O152" s="374">
        <f t="shared" si="19"/>
        <v>2500</v>
      </c>
    </row>
    <row r="153" spans="1:15" ht="12" customHeight="1">
      <c r="A153" s="329"/>
      <c r="B153" s="329"/>
      <c r="C153" s="335" t="s">
        <v>278</v>
      </c>
      <c r="D153" s="338" t="s">
        <v>642</v>
      </c>
      <c r="E153" s="315"/>
      <c r="F153" s="700" t="s">
        <v>346</v>
      </c>
      <c r="G153" s="318">
        <v>4000</v>
      </c>
      <c r="H153" s="318"/>
      <c r="I153" s="318">
        <f t="shared" si="17"/>
        <v>4000</v>
      </c>
      <c r="J153" s="374">
        <v>-4000</v>
      </c>
      <c r="K153" s="374">
        <v>4000</v>
      </c>
      <c r="L153" s="374">
        <f t="shared" si="18"/>
        <v>0</v>
      </c>
      <c r="M153" s="374">
        <f t="shared" si="20"/>
        <v>0</v>
      </c>
      <c r="N153" s="374">
        <f t="shared" si="21"/>
        <v>4000</v>
      </c>
      <c r="O153" s="374">
        <f t="shared" si="19"/>
        <v>4000</v>
      </c>
    </row>
    <row r="154" spans="1:15" ht="12" customHeight="1">
      <c r="A154" s="329"/>
      <c r="B154" s="329"/>
      <c r="C154" s="335" t="s">
        <v>279</v>
      </c>
      <c r="D154" s="350" t="s">
        <v>643</v>
      </c>
      <c r="E154" s="315"/>
      <c r="F154" s="700"/>
      <c r="G154" s="318">
        <v>10700</v>
      </c>
      <c r="H154" s="318"/>
      <c r="I154" s="318">
        <f t="shared" si="17"/>
        <v>10700</v>
      </c>
      <c r="J154" s="374"/>
      <c r="K154" s="374"/>
      <c r="L154" s="374">
        <f t="shared" si="18"/>
        <v>0</v>
      </c>
      <c r="M154" s="374">
        <f t="shared" si="20"/>
        <v>10700</v>
      </c>
      <c r="N154" s="374">
        <f t="shared" si="21"/>
        <v>0</v>
      </c>
      <c r="O154" s="374">
        <f t="shared" si="19"/>
        <v>10700</v>
      </c>
    </row>
    <row r="155" spans="1:15" ht="12" customHeight="1">
      <c r="A155" s="329"/>
      <c r="B155" s="329"/>
      <c r="C155" s="335" t="s">
        <v>301</v>
      </c>
      <c r="D155" s="327" t="s">
        <v>883</v>
      </c>
      <c r="E155" s="315"/>
      <c r="F155" s="700" t="s">
        <v>126</v>
      </c>
      <c r="G155" s="318"/>
      <c r="H155" s="318"/>
      <c r="I155" s="318"/>
      <c r="J155" s="374">
        <v>4000</v>
      </c>
      <c r="K155" s="374"/>
      <c r="L155" s="374">
        <f t="shared" si="18"/>
        <v>4000</v>
      </c>
      <c r="M155" s="374">
        <f t="shared" si="20"/>
        <v>4000</v>
      </c>
      <c r="N155" s="374"/>
      <c r="O155" s="374">
        <f t="shared" si="19"/>
        <v>4000</v>
      </c>
    </row>
    <row r="156" spans="1:15" ht="12" customHeight="1">
      <c r="A156" s="329"/>
      <c r="B156" s="329"/>
      <c r="C156" s="329"/>
      <c r="D156" s="322" t="s">
        <v>468</v>
      </c>
      <c r="E156" s="382"/>
      <c r="F156" s="697"/>
      <c r="G156" s="381"/>
      <c r="H156" s="383"/>
      <c r="I156" s="381"/>
      <c r="J156" s="374"/>
      <c r="K156" s="374"/>
      <c r="L156" s="374">
        <f t="shared" si="18"/>
        <v>0</v>
      </c>
      <c r="M156" s="374">
        <f t="shared" si="20"/>
        <v>0</v>
      </c>
      <c r="N156" s="374">
        <f t="shared" si="21"/>
        <v>0</v>
      </c>
      <c r="O156" s="374">
        <f t="shared" si="19"/>
        <v>0</v>
      </c>
    </row>
    <row r="157" spans="1:15" ht="12" customHeight="1">
      <c r="A157" s="329"/>
      <c r="B157" s="329"/>
      <c r="C157" s="384" t="s">
        <v>170</v>
      </c>
      <c r="D157" s="355" t="s">
        <v>644</v>
      </c>
      <c r="E157" s="382"/>
      <c r="F157" s="697" t="s">
        <v>346</v>
      </c>
      <c r="G157" s="381">
        <v>10000</v>
      </c>
      <c r="H157" s="383"/>
      <c r="I157" s="381">
        <f aca="true" t="shared" si="22" ref="I157:I163">SUM(G157:H157)</f>
        <v>10000</v>
      </c>
      <c r="J157" s="374">
        <v>3510</v>
      </c>
      <c r="K157" s="374"/>
      <c r="L157" s="374">
        <f t="shared" si="18"/>
        <v>3510</v>
      </c>
      <c r="M157" s="374">
        <f t="shared" si="20"/>
        <v>13510</v>
      </c>
      <c r="N157" s="374">
        <f t="shared" si="21"/>
        <v>0</v>
      </c>
      <c r="O157" s="374">
        <f t="shared" si="19"/>
        <v>13510</v>
      </c>
    </row>
    <row r="158" spans="1:15" ht="12" customHeight="1">
      <c r="A158" s="329"/>
      <c r="B158" s="329"/>
      <c r="C158" s="384" t="s">
        <v>171</v>
      </c>
      <c r="D158" s="379" t="s">
        <v>15</v>
      </c>
      <c r="E158" s="382"/>
      <c r="F158" s="697" t="s">
        <v>346</v>
      </c>
      <c r="G158" s="381">
        <v>28586</v>
      </c>
      <c r="H158" s="383"/>
      <c r="I158" s="381">
        <f t="shared" si="22"/>
        <v>28586</v>
      </c>
      <c r="J158" s="374">
        <v>-3510</v>
      </c>
      <c r="K158" s="374"/>
      <c r="L158" s="374">
        <f t="shared" si="18"/>
        <v>-3510</v>
      </c>
      <c r="M158" s="374">
        <f t="shared" si="20"/>
        <v>25076</v>
      </c>
      <c r="N158" s="374">
        <f t="shared" si="21"/>
        <v>0</v>
      </c>
      <c r="O158" s="374">
        <f t="shared" si="19"/>
        <v>25076</v>
      </c>
    </row>
    <row r="159" spans="1:15" ht="21.75" customHeight="1">
      <c r="A159" s="329"/>
      <c r="B159" s="329"/>
      <c r="C159" s="384" t="s">
        <v>172</v>
      </c>
      <c r="D159" s="385" t="s">
        <v>645</v>
      </c>
      <c r="E159" s="382"/>
      <c r="F159" s="697" t="s">
        <v>126</v>
      </c>
      <c r="G159" s="381"/>
      <c r="H159" s="381">
        <v>10000</v>
      </c>
      <c r="I159" s="381">
        <f t="shared" si="22"/>
        <v>10000</v>
      </c>
      <c r="J159" s="374"/>
      <c r="K159" s="374">
        <v>2100</v>
      </c>
      <c r="L159" s="374">
        <f t="shared" si="18"/>
        <v>2100</v>
      </c>
      <c r="M159" s="374">
        <f t="shared" si="20"/>
        <v>0</v>
      </c>
      <c r="N159" s="374">
        <f t="shared" si="21"/>
        <v>12100</v>
      </c>
      <c r="O159" s="374">
        <f t="shared" si="19"/>
        <v>12100</v>
      </c>
    </row>
    <row r="160" spans="1:15" ht="12" customHeight="1">
      <c r="A160" s="329"/>
      <c r="B160" s="329"/>
      <c r="C160" s="384" t="s">
        <v>173</v>
      </c>
      <c r="D160" s="386" t="s">
        <v>13</v>
      </c>
      <c r="E160" s="382"/>
      <c r="F160" s="697"/>
      <c r="G160" s="381">
        <v>30000</v>
      </c>
      <c r="H160" s="383"/>
      <c r="I160" s="381">
        <f t="shared" si="22"/>
        <v>30000</v>
      </c>
      <c r="J160" s="374"/>
      <c r="K160" s="374"/>
      <c r="L160" s="374">
        <f t="shared" si="18"/>
        <v>0</v>
      </c>
      <c r="M160" s="374">
        <f t="shared" si="20"/>
        <v>30000</v>
      </c>
      <c r="N160" s="374">
        <f t="shared" si="21"/>
        <v>0</v>
      </c>
      <c r="O160" s="374">
        <f t="shared" si="19"/>
        <v>30000</v>
      </c>
    </row>
    <row r="161" spans="1:15" ht="12" customHeight="1">
      <c r="A161" s="329"/>
      <c r="B161" s="329"/>
      <c r="C161" s="384" t="s">
        <v>174</v>
      </c>
      <c r="D161" s="387" t="s">
        <v>14</v>
      </c>
      <c r="E161" s="382"/>
      <c r="F161" s="697"/>
      <c r="G161" s="381">
        <v>21384</v>
      </c>
      <c r="H161" s="383"/>
      <c r="I161" s="381">
        <f t="shared" si="22"/>
        <v>21384</v>
      </c>
      <c r="J161" s="374"/>
      <c r="K161" s="374"/>
      <c r="L161" s="374">
        <f t="shared" si="18"/>
        <v>0</v>
      </c>
      <c r="M161" s="374">
        <f t="shared" si="20"/>
        <v>21384</v>
      </c>
      <c r="N161" s="374">
        <f t="shared" si="21"/>
        <v>0</v>
      </c>
      <c r="O161" s="374">
        <f t="shared" si="19"/>
        <v>21384</v>
      </c>
    </row>
    <row r="162" spans="1:15" ht="12" customHeight="1">
      <c r="A162" s="329"/>
      <c r="B162" s="329"/>
      <c r="C162" s="384" t="s">
        <v>175</v>
      </c>
      <c r="D162" s="372" t="s">
        <v>12</v>
      </c>
      <c r="E162" s="382"/>
      <c r="F162" s="697"/>
      <c r="G162" s="381">
        <v>1519</v>
      </c>
      <c r="H162" s="383"/>
      <c r="I162" s="381">
        <f t="shared" si="22"/>
        <v>1519</v>
      </c>
      <c r="J162" s="374"/>
      <c r="K162" s="374"/>
      <c r="L162" s="374">
        <f t="shared" si="18"/>
        <v>0</v>
      </c>
      <c r="M162" s="374">
        <f t="shared" si="20"/>
        <v>1519</v>
      </c>
      <c r="N162" s="374">
        <f t="shared" si="21"/>
        <v>0</v>
      </c>
      <c r="O162" s="374">
        <f t="shared" si="19"/>
        <v>1519</v>
      </c>
    </row>
    <row r="163" spans="1:15" ht="12" customHeight="1">
      <c r="A163" s="329"/>
      <c r="B163" s="329"/>
      <c r="C163" s="384" t="s">
        <v>176</v>
      </c>
      <c r="D163" s="388" t="s">
        <v>646</v>
      </c>
      <c r="E163" s="382"/>
      <c r="F163" s="697"/>
      <c r="G163" s="381">
        <v>17418</v>
      </c>
      <c r="H163" s="383"/>
      <c r="I163" s="381">
        <f t="shared" si="22"/>
        <v>17418</v>
      </c>
      <c r="J163" s="374"/>
      <c r="K163" s="374"/>
      <c r="L163" s="374">
        <f t="shared" si="18"/>
        <v>0</v>
      </c>
      <c r="M163" s="374">
        <f t="shared" si="20"/>
        <v>17418</v>
      </c>
      <c r="N163" s="374">
        <f t="shared" si="21"/>
        <v>0</v>
      </c>
      <c r="O163" s="374">
        <f t="shared" si="19"/>
        <v>17418</v>
      </c>
    </row>
    <row r="164" spans="1:15" ht="13.5" customHeight="1">
      <c r="A164" s="329"/>
      <c r="B164" s="329"/>
      <c r="C164" s="329" t="s">
        <v>268</v>
      </c>
      <c r="D164" s="330" t="s">
        <v>197</v>
      </c>
      <c r="E164" s="389"/>
      <c r="F164" s="397"/>
      <c r="G164" s="381"/>
      <c r="H164" s="383"/>
      <c r="I164" s="381"/>
      <c r="J164" s="374"/>
      <c r="K164" s="374"/>
      <c r="L164" s="374"/>
      <c r="M164" s="374"/>
      <c r="N164" s="374"/>
      <c r="O164" s="374"/>
    </row>
    <row r="165" spans="1:15" ht="13.5" customHeight="1">
      <c r="A165" s="329"/>
      <c r="B165" s="329"/>
      <c r="C165" s="329"/>
      <c r="D165" s="322" t="s">
        <v>468</v>
      </c>
      <c r="E165" s="389"/>
      <c r="F165" s="397"/>
      <c r="G165" s="381"/>
      <c r="H165" s="383"/>
      <c r="I165" s="381"/>
      <c r="J165" s="374"/>
      <c r="K165" s="374"/>
      <c r="L165" s="374"/>
      <c r="M165" s="374"/>
      <c r="N165" s="374"/>
      <c r="O165" s="374"/>
    </row>
    <row r="166" spans="1:15" ht="13.5" customHeight="1">
      <c r="A166" s="329"/>
      <c r="B166" s="329"/>
      <c r="C166" s="335" t="s">
        <v>469</v>
      </c>
      <c r="D166" s="390" t="s">
        <v>647</v>
      </c>
      <c r="E166" s="315"/>
      <c r="F166" s="700"/>
      <c r="G166" s="318">
        <v>3836</v>
      </c>
      <c r="H166" s="318"/>
      <c r="I166" s="318">
        <f>SUM(G166:H166)</f>
        <v>3836</v>
      </c>
      <c r="J166" s="374"/>
      <c r="K166" s="374"/>
      <c r="L166" s="374">
        <f t="shared" si="18"/>
        <v>0</v>
      </c>
      <c r="M166" s="374">
        <f t="shared" si="20"/>
        <v>3836</v>
      </c>
      <c r="N166" s="374">
        <f t="shared" si="21"/>
        <v>0</v>
      </c>
      <c r="O166" s="374">
        <f t="shared" si="19"/>
        <v>3836</v>
      </c>
    </row>
    <row r="167" spans="1:15" ht="13.5" customHeight="1">
      <c r="A167" s="329"/>
      <c r="B167" s="329"/>
      <c r="C167" s="335" t="s">
        <v>471</v>
      </c>
      <c r="D167" s="391" t="s">
        <v>120</v>
      </c>
      <c r="E167" s="315"/>
      <c r="F167" s="700"/>
      <c r="G167" s="318">
        <v>4000</v>
      </c>
      <c r="H167" s="318"/>
      <c r="I167" s="318">
        <f>SUM(G167:H167)</f>
        <v>4000</v>
      </c>
      <c r="J167" s="374"/>
      <c r="K167" s="374"/>
      <c r="L167" s="374">
        <f t="shared" si="18"/>
        <v>0</v>
      </c>
      <c r="M167" s="374">
        <f t="shared" si="20"/>
        <v>4000</v>
      </c>
      <c r="N167" s="374">
        <f t="shared" si="21"/>
        <v>0</v>
      </c>
      <c r="O167" s="374">
        <f t="shared" si="19"/>
        <v>4000</v>
      </c>
    </row>
    <row r="168" spans="1:15" ht="13.5" customHeight="1">
      <c r="A168" s="329"/>
      <c r="B168" s="329"/>
      <c r="C168" s="335" t="s">
        <v>472</v>
      </c>
      <c r="D168" s="392" t="s">
        <v>648</v>
      </c>
      <c r="E168" s="315"/>
      <c r="F168" s="700"/>
      <c r="G168" s="318">
        <v>2500</v>
      </c>
      <c r="H168" s="318"/>
      <c r="I168" s="318">
        <f>SUM(G168:H168)</f>
        <v>2500</v>
      </c>
      <c r="J168" s="374"/>
      <c r="K168" s="374"/>
      <c r="L168" s="374">
        <f t="shared" si="18"/>
        <v>0</v>
      </c>
      <c r="M168" s="374">
        <f t="shared" si="20"/>
        <v>2500</v>
      </c>
      <c r="N168" s="374">
        <f t="shared" si="21"/>
        <v>0</v>
      </c>
      <c r="O168" s="374">
        <f t="shared" si="19"/>
        <v>2500</v>
      </c>
    </row>
    <row r="169" spans="1:15" ht="12.75" customHeight="1">
      <c r="A169" s="329"/>
      <c r="B169" s="329"/>
      <c r="C169" s="329" t="s">
        <v>269</v>
      </c>
      <c r="D169" s="330" t="s">
        <v>198</v>
      </c>
      <c r="E169" s="382"/>
      <c r="F169" s="697"/>
      <c r="G169" s="381"/>
      <c r="H169" s="383"/>
      <c r="I169" s="318"/>
      <c r="J169" s="374"/>
      <c r="K169" s="374"/>
      <c r="L169" s="374"/>
      <c r="M169" s="374"/>
      <c r="N169" s="374"/>
      <c r="O169" s="374"/>
    </row>
    <row r="170" spans="1:15" ht="12.75" customHeight="1">
      <c r="A170" s="329"/>
      <c r="B170" s="329"/>
      <c r="C170" s="335" t="s">
        <v>315</v>
      </c>
      <c r="D170" s="391" t="s">
        <v>177</v>
      </c>
      <c r="E170" s="389"/>
      <c r="F170" s="397" t="s">
        <v>126</v>
      </c>
      <c r="G170" s="381">
        <v>10000</v>
      </c>
      <c r="H170" s="381"/>
      <c r="I170" s="318">
        <f>SUM(G170:H170)</f>
        <v>10000</v>
      </c>
      <c r="J170" s="374">
        <v>191</v>
      </c>
      <c r="K170" s="374"/>
      <c r="L170" s="374">
        <f t="shared" si="18"/>
        <v>191</v>
      </c>
      <c r="M170" s="374">
        <f t="shared" si="20"/>
        <v>10191</v>
      </c>
      <c r="N170" s="374">
        <f t="shared" si="21"/>
        <v>0</v>
      </c>
      <c r="O170" s="374">
        <f t="shared" si="19"/>
        <v>10191</v>
      </c>
    </row>
    <row r="171" spans="1:15" ht="12.75" customHeight="1">
      <c r="A171" s="329"/>
      <c r="B171" s="329"/>
      <c r="C171" s="335"/>
      <c r="D171" s="322" t="s">
        <v>649</v>
      </c>
      <c r="E171" s="389"/>
      <c r="F171" s="397"/>
      <c r="G171" s="381"/>
      <c r="H171" s="381"/>
      <c r="I171" s="318"/>
      <c r="J171" s="374"/>
      <c r="K171" s="374"/>
      <c r="L171" s="374">
        <f t="shared" si="18"/>
        <v>0</v>
      </c>
      <c r="M171" s="374">
        <f t="shared" si="20"/>
        <v>0</v>
      </c>
      <c r="N171" s="374">
        <f t="shared" si="21"/>
        <v>0</v>
      </c>
      <c r="O171" s="374">
        <f t="shared" si="19"/>
        <v>0</v>
      </c>
    </row>
    <row r="172" spans="1:15" ht="12.75" customHeight="1">
      <c r="A172" s="329"/>
      <c r="B172" s="329"/>
      <c r="C172" s="335" t="s">
        <v>178</v>
      </c>
      <c r="D172" s="393" t="s">
        <v>650</v>
      </c>
      <c r="E172" s="389"/>
      <c r="F172" s="397"/>
      <c r="G172" s="381">
        <v>1000</v>
      </c>
      <c r="H172" s="381"/>
      <c r="I172" s="318">
        <f aca="true" t="shared" si="23" ref="I172:I196">SUM(G172:H172)</f>
        <v>1000</v>
      </c>
      <c r="J172" s="374"/>
      <c r="K172" s="374"/>
      <c r="L172" s="374">
        <f t="shared" si="18"/>
        <v>0</v>
      </c>
      <c r="M172" s="374">
        <f t="shared" si="20"/>
        <v>1000</v>
      </c>
      <c r="N172" s="374">
        <f t="shared" si="21"/>
        <v>0</v>
      </c>
      <c r="O172" s="374">
        <f t="shared" si="19"/>
        <v>1000</v>
      </c>
    </row>
    <row r="173" spans="1:15" ht="24.75" customHeight="1">
      <c r="A173" s="329"/>
      <c r="B173" s="329"/>
      <c r="C173" s="335" t="s">
        <v>79</v>
      </c>
      <c r="D173" s="394" t="s">
        <v>651</v>
      </c>
      <c r="E173" s="389"/>
      <c r="F173" s="397"/>
      <c r="G173" s="381">
        <v>1500</v>
      </c>
      <c r="H173" s="381"/>
      <c r="I173" s="318">
        <f t="shared" si="23"/>
        <v>1500</v>
      </c>
      <c r="J173" s="374"/>
      <c r="K173" s="374"/>
      <c r="L173" s="374">
        <f t="shared" si="18"/>
        <v>0</v>
      </c>
      <c r="M173" s="374">
        <f t="shared" si="20"/>
        <v>1500</v>
      </c>
      <c r="N173" s="374">
        <f t="shared" si="21"/>
        <v>0</v>
      </c>
      <c r="O173" s="374">
        <f t="shared" si="19"/>
        <v>1500</v>
      </c>
    </row>
    <row r="174" spans="1:15" ht="12.75" customHeight="1">
      <c r="A174" s="329"/>
      <c r="B174" s="329"/>
      <c r="C174" s="335" t="s">
        <v>652</v>
      </c>
      <c r="D174" s="393" t="s">
        <v>653</v>
      </c>
      <c r="E174" s="389"/>
      <c r="F174" s="397" t="s">
        <v>126</v>
      </c>
      <c r="G174" s="381">
        <v>2266</v>
      </c>
      <c r="H174" s="381"/>
      <c r="I174" s="318">
        <f t="shared" si="23"/>
        <v>2266</v>
      </c>
      <c r="J174" s="374">
        <v>20</v>
      </c>
      <c r="K174" s="374"/>
      <c r="L174" s="374">
        <f t="shared" si="18"/>
        <v>20</v>
      </c>
      <c r="M174" s="374">
        <f t="shared" si="20"/>
        <v>2286</v>
      </c>
      <c r="N174" s="374">
        <f t="shared" si="21"/>
        <v>0</v>
      </c>
      <c r="O174" s="374">
        <f t="shared" si="19"/>
        <v>2286</v>
      </c>
    </row>
    <row r="175" spans="1:15" ht="12.75" customHeight="1">
      <c r="A175" s="329"/>
      <c r="B175" s="329"/>
      <c r="C175" s="335" t="s">
        <v>654</v>
      </c>
      <c r="D175" s="393" t="s">
        <v>655</v>
      </c>
      <c r="E175" s="389"/>
      <c r="F175" s="397"/>
      <c r="G175" s="381">
        <v>2500</v>
      </c>
      <c r="H175" s="381"/>
      <c r="I175" s="318">
        <f t="shared" si="23"/>
        <v>2500</v>
      </c>
      <c r="J175" s="374"/>
      <c r="K175" s="374"/>
      <c r="L175" s="374">
        <f t="shared" si="18"/>
        <v>0</v>
      </c>
      <c r="M175" s="374">
        <f t="shared" si="20"/>
        <v>2500</v>
      </c>
      <c r="N175" s="374">
        <f t="shared" si="21"/>
        <v>0</v>
      </c>
      <c r="O175" s="374">
        <f t="shared" si="19"/>
        <v>2500</v>
      </c>
    </row>
    <row r="176" spans="1:15" ht="15" customHeight="1">
      <c r="A176" s="329"/>
      <c r="B176" s="329"/>
      <c r="C176" s="335" t="s">
        <v>656</v>
      </c>
      <c r="D176" s="395" t="s">
        <v>657</v>
      </c>
      <c r="E176" s="389"/>
      <c r="F176" s="397"/>
      <c r="G176" s="381">
        <v>950</v>
      </c>
      <c r="H176" s="381"/>
      <c r="I176" s="318">
        <f t="shared" si="23"/>
        <v>950</v>
      </c>
      <c r="J176" s="374"/>
      <c r="K176" s="374"/>
      <c r="L176" s="374">
        <f t="shared" si="18"/>
        <v>0</v>
      </c>
      <c r="M176" s="374">
        <f t="shared" si="20"/>
        <v>950</v>
      </c>
      <c r="N176" s="374">
        <f t="shared" si="21"/>
        <v>0</v>
      </c>
      <c r="O176" s="374">
        <f t="shared" si="19"/>
        <v>950</v>
      </c>
    </row>
    <row r="177" spans="1:15" ht="27" customHeight="1">
      <c r="A177" s="329"/>
      <c r="B177" s="329"/>
      <c r="C177" s="335" t="s">
        <v>316</v>
      </c>
      <c r="D177" s="396" t="s">
        <v>658</v>
      </c>
      <c r="E177" s="397" t="s">
        <v>84</v>
      </c>
      <c r="F177" s="397"/>
      <c r="G177" s="381">
        <v>118996</v>
      </c>
      <c r="H177" s="381"/>
      <c r="I177" s="381">
        <f t="shared" si="23"/>
        <v>118996</v>
      </c>
      <c r="J177" s="374"/>
      <c r="K177" s="374"/>
      <c r="L177" s="374">
        <f t="shared" si="18"/>
        <v>0</v>
      </c>
      <c r="M177" s="374">
        <f t="shared" si="20"/>
        <v>118996</v>
      </c>
      <c r="N177" s="374">
        <f t="shared" si="21"/>
        <v>0</v>
      </c>
      <c r="O177" s="374">
        <f t="shared" si="19"/>
        <v>118996</v>
      </c>
    </row>
    <row r="178" spans="1:15" ht="15" customHeight="1">
      <c r="A178" s="329"/>
      <c r="B178" s="329"/>
      <c r="C178" s="335" t="s">
        <v>317</v>
      </c>
      <c r="D178" s="350" t="s">
        <v>121</v>
      </c>
      <c r="E178" s="389"/>
      <c r="F178" s="397"/>
      <c r="G178" s="381"/>
      <c r="H178" s="381">
        <v>17500</v>
      </c>
      <c r="I178" s="381">
        <f t="shared" si="23"/>
        <v>17500</v>
      </c>
      <c r="J178" s="374"/>
      <c r="K178" s="374"/>
      <c r="L178" s="374">
        <f t="shared" si="18"/>
        <v>0</v>
      </c>
      <c r="M178" s="374">
        <f t="shared" si="20"/>
        <v>0</v>
      </c>
      <c r="N178" s="374">
        <f t="shared" si="21"/>
        <v>17500</v>
      </c>
      <c r="O178" s="374">
        <f t="shared" si="19"/>
        <v>17500</v>
      </c>
    </row>
    <row r="179" spans="1:15" ht="15" customHeight="1">
      <c r="A179" s="329"/>
      <c r="B179" s="329"/>
      <c r="C179" s="335" t="s">
        <v>137</v>
      </c>
      <c r="D179" s="398" t="s">
        <v>659</v>
      </c>
      <c r="E179" s="397" t="s">
        <v>84</v>
      </c>
      <c r="F179" s="397"/>
      <c r="G179" s="381">
        <v>115790</v>
      </c>
      <c r="H179" s="381"/>
      <c r="I179" s="381">
        <f t="shared" si="23"/>
        <v>115790</v>
      </c>
      <c r="J179" s="374"/>
      <c r="K179" s="374"/>
      <c r="L179" s="374">
        <f t="shared" si="18"/>
        <v>0</v>
      </c>
      <c r="M179" s="374">
        <f t="shared" si="20"/>
        <v>115790</v>
      </c>
      <c r="N179" s="374">
        <f t="shared" si="21"/>
        <v>0</v>
      </c>
      <c r="O179" s="374">
        <f t="shared" si="19"/>
        <v>115790</v>
      </c>
    </row>
    <row r="180" spans="1:15" ht="15" customHeight="1">
      <c r="A180" s="329"/>
      <c r="B180" s="329"/>
      <c r="C180" s="335" t="s">
        <v>138</v>
      </c>
      <c r="D180" s="377" t="s">
        <v>660</v>
      </c>
      <c r="E180" s="397" t="s">
        <v>84</v>
      </c>
      <c r="F180" s="397"/>
      <c r="G180" s="381">
        <v>126316</v>
      </c>
      <c r="H180" s="381"/>
      <c r="I180" s="381">
        <f t="shared" si="23"/>
        <v>126316</v>
      </c>
      <c r="J180" s="374"/>
      <c r="K180" s="374"/>
      <c r="L180" s="374">
        <f t="shared" si="18"/>
        <v>0</v>
      </c>
      <c r="M180" s="374">
        <f t="shared" si="20"/>
        <v>126316</v>
      </c>
      <c r="N180" s="374">
        <f t="shared" si="21"/>
        <v>0</v>
      </c>
      <c r="O180" s="374">
        <f t="shared" si="19"/>
        <v>126316</v>
      </c>
    </row>
    <row r="181" spans="1:15" ht="15" customHeight="1">
      <c r="A181" s="329"/>
      <c r="B181" s="329"/>
      <c r="C181" s="335" t="s">
        <v>179</v>
      </c>
      <c r="D181" s="377" t="s">
        <v>661</v>
      </c>
      <c r="E181" s="397" t="s">
        <v>84</v>
      </c>
      <c r="F181" s="397"/>
      <c r="G181" s="381">
        <v>73684</v>
      </c>
      <c r="H181" s="381"/>
      <c r="I181" s="381">
        <f t="shared" si="23"/>
        <v>73684</v>
      </c>
      <c r="J181" s="374"/>
      <c r="K181" s="374"/>
      <c r="L181" s="374">
        <f t="shared" si="18"/>
        <v>0</v>
      </c>
      <c r="M181" s="374">
        <f t="shared" si="20"/>
        <v>73684</v>
      </c>
      <c r="N181" s="374">
        <f t="shared" si="21"/>
        <v>0</v>
      </c>
      <c r="O181" s="374">
        <f t="shared" si="19"/>
        <v>73684</v>
      </c>
    </row>
    <row r="182" spans="1:15" ht="15" customHeight="1">
      <c r="A182" s="329"/>
      <c r="B182" s="329"/>
      <c r="C182" s="335" t="s">
        <v>180</v>
      </c>
      <c r="D182" s="391" t="s">
        <v>194</v>
      </c>
      <c r="E182" s="389"/>
      <c r="F182" s="397"/>
      <c r="G182" s="381">
        <v>8768</v>
      </c>
      <c r="H182" s="381"/>
      <c r="I182" s="381">
        <f t="shared" si="23"/>
        <v>8768</v>
      </c>
      <c r="J182" s="374"/>
      <c r="K182" s="374"/>
      <c r="L182" s="374">
        <f t="shared" si="18"/>
        <v>0</v>
      </c>
      <c r="M182" s="374">
        <f t="shared" si="20"/>
        <v>8768</v>
      </c>
      <c r="N182" s="374">
        <f t="shared" si="21"/>
        <v>0</v>
      </c>
      <c r="O182" s="374">
        <f t="shared" si="19"/>
        <v>8768</v>
      </c>
    </row>
    <row r="183" spans="1:15" ht="15" customHeight="1">
      <c r="A183" s="329"/>
      <c r="B183" s="329"/>
      <c r="C183" s="335" t="s">
        <v>144</v>
      </c>
      <c r="D183" s="366" t="s">
        <v>16</v>
      </c>
      <c r="E183" s="389"/>
      <c r="F183" s="397"/>
      <c r="G183" s="381">
        <v>37500</v>
      </c>
      <c r="H183" s="381"/>
      <c r="I183" s="381">
        <f t="shared" si="23"/>
        <v>37500</v>
      </c>
      <c r="J183" s="374"/>
      <c r="K183" s="374"/>
      <c r="L183" s="374">
        <f t="shared" si="18"/>
        <v>0</v>
      </c>
      <c r="M183" s="374">
        <f t="shared" si="20"/>
        <v>37500</v>
      </c>
      <c r="N183" s="374">
        <f t="shared" si="21"/>
        <v>0</v>
      </c>
      <c r="O183" s="374">
        <f t="shared" si="19"/>
        <v>37500</v>
      </c>
    </row>
    <row r="184" spans="1:15" ht="15" customHeight="1">
      <c r="A184" s="329"/>
      <c r="B184" s="329"/>
      <c r="C184" s="335" t="s">
        <v>164</v>
      </c>
      <c r="D184" s="350" t="s">
        <v>18</v>
      </c>
      <c r="E184" s="389"/>
      <c r="F184" s="397"/>
      <c r="G184" s="381">
        <v>3000</v>
      </c>
      <c r="H184" s="381"/>
      <c r="I184" s="381">
        <f t="shared" si="23"/>
        <v>3000</v>
      </c>
      <c r="J184" s="374"/>
      <c r="K184" s="374"/>
      <c r="L184" s="374">
        <f t="shared" si="18"/>
        <v>0</v>
      </c>
      <c r="M184" s="374">
        <f t="shared" si="20"/>
        <v>3000</v>
      </c>
      <c r="N184" s="374">
        <f t="shared" si="21"/>
        <v>0</v>
      </c>
      <c r="O184" s="374">
        <f t="shared" si="19"/>
        <v>3000</v>
      </c>
    </row>
    <row r="185" spans="1:15" ht="15" customHeight="1">
      <c r="A185" s="329"/>
      <c r="B185" s="329"/>
      <c r="C185" s="335" t="s">
        <v>19</v>
      </c>
      <c r="D185" s="350" t="s">
        <v>662</v>
      </c>
      <c r="E185" s="389"/>
      <c r="F185" s="397"/>
      <c r="G185" s="381">
        <v>4880</v>
      </c>
      <c r="H185" s="381"/>
      <c r="I185" s="381">
        <f t="shared" si="23"/>
        <v>4880</v>
      </c>
      <c r="J185" s="374"/>
      <c r="K185" s="374"/>
      <c r="L185" s="374">
        <f t="shared" si="18"/>
        <v>0</v>
      </c>
      <c r="M185" s="374">
        <f t="shared" si="20"/>
        <v>4880</v>
      </c>
      <c r="N185" s="374">
        <f t="shared" si="21"/>
        <v>0</v>
      </c>
      <c r="O185" s="374">
        <f t="shared" si="19"/>
        <v>4880</v>
      </c>
    </row>
    <row r="186" spans="1:15" ht="15" customHeight="1">
      <c r="A186" s="329"/>
      <c r="B186" s="329"/>
      <c r="C186" s="335" t="s">
        <v>663</v>
      </c>
      <c r="D186" s="399" t="s">
        <v>22</v>
      </c>
      <c r="E186" s="389"/>
      <c r="F186" s="397"/>
      <c r="G186" s="381">
        <v>11555</v>
      </c>
      <c r="H186" s="381"/>
      <c r="I186" s="381">
        <f t="shared" si="23"/>
        <v>11555</v>
      </c>
      <c r="J186" s="374"/>
      <c r="K186" s="374"/>
      <c r="L186" s="374">
        <f t="shared" si="18"/>
        <v>0</v>
      </c>
      <c r="M186" s="374">
        <f t="shared" si="20"/>
        <v>11555</v>
      </c>
      <c r="N186" s="374">
        <f t="shared" si="21"/>
        <v>0</v>
      </c>
      <c r="O186" s="374">
        <f t="shared" si="19"/>
        <v>11555</v>
      </c>
    </row>
    <row r="187" spans="1:15" ht="15" customHeight="1">
      <c r="A187" s="329"/>
      <c r="B187" s="329"/>
      <c r="C187" s="335" t="s">
        <v>21</v>
      </c>
      <c r="D187" s="399" t="s">
        <v>664</v>
      </c>
      <c r="E187" s="397"/>
      <c r="F187" s="397" t="s">
        <v>126</v>
      </c>
      <c r="G187" s="381">
        <v>30000</v>
      </c>
      <c r="H187" s="381"/>
      <c r="I187" s="381">
        <f t="shared" si="23"/>
        <v>30000</v>
      </c>
      <c r="J187" s="374">
        <v>29000</v>
      </c>
      <c r="K187" s="374"/>
      <c r="L187" s="374">
        <f t="shared" si="18"/>
        <v>29000</v>
      </c>
      <c r="M187" s="374">
        <f t="shared" si="20"/>
        <v>59000</v>
      </c>
      <c r="N187" s="374">
        <f t="shared" si="21"/>
        <v>0</v>
      </c>
      <c r="O187" s="374">
        <f t="shared" si="19"/>
        <v>59000</v>
      </c>
    </row>
    <row r="188" spans="1:15" ht="15" customHeight="1">
      <c r="A188" s="329"/>
      <c r="B188" s="329"/>
      <c r="C188" s="335" t="s">
        <v>665</v>
      </c>
      <c r="D188" s="366" t="s">
        <v>666</v>
      </c>
      <c r="E188" s="389"/>
      <c r="F188" s="397"/>
      <c r="G188" s="381">
        <v>33420</v>
      </c>
      <c r="H188" s="381"/>
      <c r="I188" s="381">
        <f t="shared" si="23"/>
        <v>33420</v>
      </c>
      <c r="J188" s="374"/>
      <c r="K188" s="374"/>
      <c r="L188" s="374">
        <f t="shared" si="18"/>
        <v>0</v>
      </c>
      <c r="M188" s="374">
        <f t="shared" si="20"/>
        <v>33420</v>
      </c>
      <c r="N188" s="374">
        <f t="shared" si="21"/>
        <v>0</v>
      </c>
      <c r="O188" s="374">
        <f t="shared" si="19"/>
        <v>33420</v>
      </c>
    </row>
    <row r="189" spans="1:15" ht="15" customHeight="1">
      <c r="A189" s="329"/>
      <c r="B189" s="329"/>
      <c r="C189" s="335" t="s">
        <v>23</v>
      </c>
      <c r="D189" s="357" t="s">
        <v>667</v>
      </c>
      <c r="E189" s="389"/>
      <c r="F189" s="397"/>
      <c r="G189" s="381">
        <v>2500</v>
      </c>
      <c r="H189" s="381"/>
      <c r="I189" s="381">
        <f t="shared" si="23"/>
        <v>2500</v>
      </c>
      <c r="J189" s="374"/>
      <c r="K189" s="374"/>
      <c r="L189" s="374">
        <f t="shared" si="18"/>
        <v>0</v>
      </c>
      <c r="M189" s="374">
        <f t="shared" si="20"/>
        <v>2500</v>
      </c>
      <c r="N189" s="374">
        <f t="shared" si="21"/>
        <v>0</v>
      </c>
      <c r="O189" s="374">
        <f t="shared" si="19"/>
        <v>2500</v>
      </c>
    </row>
    <row r="190" spans="1:15" ht="15" customHeight="1">
      <c r="A190" s="329"/>
      <c r="B190" s="329"/>
      <c r="C190" s="335" t="s">
        <v>24</v>
      </c>
      <c r="D190" s="357" t="s">
        <v>668</v>
      </c>
      <c r="E190" s="389"/>
      <c r="F190" s="397"/>
      <c r="G190" s="381">
        <v>10000</v>
      </c>
      <c r="H190" s="381"/>
      <c r="I190" s="381">
        <f t="shared" si="23"/>
        <v>10000</v>
      </c>
      <c r="J190" s="374"/>
      <c r="K190" s="374"/>
      <c r="L190" s="374">
        <f t="shared" si="18"/>
        <v>0</v>
      </c>
      <c r="M190" s="374">
        <f t="shared" si="20"/>
        <v>10000</v>
      </c>
      <c r="N190" s="374">
        <f t="shared" si="21"/>
        <v>0</v>
      </c>
      <c r="O190" s="374">
        <f t="shared" si="19"/>
        <v>10000</v>
      </c>
    </row>
    <row r="191" spans="1:15" ht="24.75" customHeight="1">
      <c r="A191" s="329"/>
      <c r="B191" s="329"/>
      <c r="C191" s="335" t="s">
        <v>25</v>
      </c>
      <c r="D191" s="357" t="s">
        <v>669</v>
      </c>
      <c r="E191" s="389"/>
      <c r="F191" s="397"/>
      <c r="G191" s="381">
        <v>20000</v>
      </c>
      <c r="H191" s="381"/>
      <c r="I191" s="381">
        <f t="shared" si="23"/>
        <v>20000</v>
      </c>
      <c r="J191" s="374"/>
      <c r="K191" s="374"/>
      <c r="L191" s="374">
        <f t="shared" si="18"/>
        <v>0</v>
      </c>
      <c r="M191" s="374">
        <f t="shared" si="20"/>
        <v>20000</v>
      </c>
      <c r="N191" s="374">
        <f t="shared" si="21"/>
        <v>0</v>
      </c>
      <c r="O191" s="374">
        <f t="shared" si="19"/>
        <v>20000</v>
      </c>
    </row>
    <row r="192" spans="1:15" ht="15" customHeight="1">
      <c r="A192" s="329"/>
      <c r="B192" s="329"/>
      <c r="C192" s="335" t="s">
        <v>27</v>
      </c>
      <c r="D192" s="400" t="s">
        <v>670</v>
      </c>
      <c r="E192" s="389"/>
      <c r="F192" s="397"/>
      <c r="G192" s="381">
        <v>5000</v>
      </c>
      <c r="H192" s="381"/>
      <c r="I192" s="381">
        <f t="shared" si="23"/>
        <v>5000</v>
      </c>
      <c r="J192" s="374"/>
      <c r="K192" s="374"/>
      <c r="L192" s="374">
        <f t="shared" si="18"/>
        <v>0</v>
      </c>
      <c r="M192" s="374">
        <f t="shared" si="20"/>
        <v>5000</v>
      </c>
      <c r="N192" s="374">
        <f t="shared" si="21"/>
        <v>0</v>
      </c>
      <c r="O192" s="374">
        <f t="shared" si="19"/>
        <v>5000</v>
      </c>
    </row>
    <row r="193" spans="1:15" ht="12.75" customHeight="1">
      <c r="A193" s="329"/>
      <c r="B193" s="329"/>
      <c r="C193" s="335" t="s">
        <v>29</v>
      </c>
      <c r="D193" s="401" t="s">
        <v>671</v>
      </c>
      <c r="E193" s="389"/>
      <c r="F193" s="397"/>
      <c r="G193" s="381">
        <v>6000</v>
      </c>
      <c r="H193" s="381"/>
      <c r="I193" s="381">
        <f t="shared" si="23"/>
        <v>6000</v>
      </c>
      <c r="J193" s="374"/>
      <c r="K193" s="374"/>
      <c r="L193" s="374">
        <f t="shared" si="18"/>
        <v>0</v>
      </c>
      <c r="M193" s="374">
        <f t="shared" si="20"/>
        <v>6000</v>
      </c>
      <c r="N193" s="374">
        <f t="shared" si="21"/>
        <v>0</v>
      </c>
      <c r="O193" s="374">
        <f t="shared" si="19"/>
        <v>6000</v>
      </c>
    </row>
    <row r="194" spans="1:15" ht="12.75" customHeight="1">
      <c r="A194" s="329"/>
      <c r="B194" s="329"/>
      <c r="C194" s="335" t="s">
        <v>30</v>
      </c>
      <c r="D194" s="401" t="s">
        <v>672</v>
      </c>
      <c r="E194" s="389"/>
      <c r="F194" s="397"/>
      <c r="G194" s="381">
        <v>2000</v>
      </c>
      <c r="H194" s="381"/>
      <c r="I194" s="381">
        <f t="shared" si="23"/>
        <v>2000</v>
      </c>
      <c r="J194" s="374"/>
      <c r="K194" s="374"/>
      <c r="L194" s="374">
        <f t="shared" si="18"/>
        <v>0</v>
      </c>
      <c r="M194" s="374">
        <f t="shared" si="20"/>
        <v>2000</v>
      </c>
      <c r="N194" s="374">
        <f t="shared" si="21"/>
        <v>0</v>
      </c>
      <c r="O194" s="374">
        <f t="shared" si="19"/>
        <v>2000</v>
      </c>
    </row>
    <row r="195" spans="1:15" ht="12.75" customHeight="1">
      <c r="A195" s="329"/>
      <c r="B195" s="329"/>
      <c r="C195" s="335" t="s">
        <v>673</v>
      </c>
      <c r="D195" s="401" t="s">
        <v>674</v>
      </c>
      <c r="E195" s="389"/>
      <c r="F195" s="397"/>
      <c r="G195" s="381">
        <v>500000</v>
      </c>
      <c r="H195" s="381"/>
      <c r="I195" s="381">
        <f t="shared" si="23"/>
        <v>500000</v>
      </c>
      <c r="J195" s="374"/>
      <c r="K195" s="374"/>
      <c r="L195" s="374">
        <f t="shared" si="18"/>
        <v>0</v>
      </c>
      <c r="M195" s="374">
        <f t="shared" si="20"/>
        <v>500000</v>
      </c>
      <c r="N195" s="374">
        <f t="shared" si="21"/>
        <v>0</v>
      </c>
      <c r="O195" s="374">
        <f t="shared" si="19"/>
        <v>500000</v>
      </c>
    </row>
    <row r="196" spans="1:15" ht="12.75" customHeight="1">
      <c r="A196" s="329"/>
      <c r="B196" s="329"/>
      <c r="C196" s="335" t="s">
        <v>675</v>
      </c>
      <c r="D196" s="401" t="s">
        <v>676</v>
      </c>
      <c r="E196" s="389"/>
      <c r="F196" s="397" t="s">
        <v>126</v>
      </c>
      <c r="G196" s="381">
        <v>39561</v>
      </c>
      <c r="H196" s="381"/>
      <c r="I196" s="381">
        <f t="shared" si="23"/>
        <v>39561</v>
      </c>
      <c r="J196" s="374">
        <v>-14561</v>
      </c>
      <c r="K196" s="374"/>
      <c r="L196" s="374">
        <f t="shared" si="18"/>
        <v>-14561</v>
      </c>
      <c r="M196" s="374">
        <f t="shared" si="20"/>
        <v>25000</v>
      </c>
      <c r="N196" s="374">
        <f t="shared" si="21"/>
        <v>0</v>
      </c>
      <c r="O196" s="374">
        <f t="shared" si="19"/>
        <v>25000</v>
      </c>
    </row>
    <row r="197" spans="1:15" ht="15" customHeight="1">
      <c r="A197" s="329"/>
      <c r="B197" s="329"/>
      <c r="C197" s="335"/>
      <c r="D197" s="322" t="s">
        <v>468</v>
      </c>
      <c r="E197" s="389"/>
      <c r="F197" s="397"/>
      <c r="G197" s="381"/>
      <c r="H197" s="381"/>
      <c r="I197" s="381"/>
      <c r="J197" s="374"/>
      <c r="K197" s="374"/>
      <c r="L197" s="374"/>
      <c r="M197" s="374"/>
      <c r="N197" s="374"/>
      <c r="O197" s="374"/>
    </row>
    <row r="198" spans="1:15" ht="15" customHeight="1">
      <c r="A198" s="329"/>
      <c r="B198" s="329"/>
      <c r="C198" s="335" t="s">
        <v>181</v>
      </c>
      <c r="D198" s="395" t="s">
        <v>17</v>
      </c>
      <c r="E198" s="389"/>
      <c r="F198" s="397" t="s">
        <v>126</v>
      </c>
      <c r="G198" s="381">
        <v>22000</v>
      </c>
      <c r="H198" s="381"/>
      <c r="I198" s="381">
        <f aca="true" t="shared" si="24" ref="I198:I212">SUM(G198:H198)</f>
        <v>22000</v>
      </c>
      <c r="J198" s="374">
        <v>-11000</v>
      </c>
      <c r="K198" s="374"/>
      <c r="L198" s="374">
        <f t="shared" si="18"/>
        <v>-11000</v>
      </c>
      <c r="M198" s="374">
        <f t="shared" si="20"/>
        <v>11000</v>
      </c>
      <c r="N198" s="374">
        <f t="shared" si="21"/>
        <v>0</v>
      </c>
      <c r="O198" s="374">
        <f t="shared" si="19"/>
        <v>11000</v>
      </c>
    </row>
    <row r="199" spans="1:15" ht="24.75" customHeight="1">
      <c r="A199" s="329"/>
      <c r="B199" s="329"/>
      <c r="C199" s="335" t="s">
        <v>182</v>
      </c>
      <c r="D199" s="356" t="s">
        <v>26</v>
      </c>
      <c r="E199" s="397" t="s">
        <v>84</v>
      </c>
      <c r="F199" s="397"/>
      <c r="G199" s="381">
        <v>75000</v>
      </c>
      <c r="H199" s="381"/>
      <c r="I199" s="381">
        <f t="shared" si="24"/>
        <v>75000</v>
      </c>
      <c r="J199" s="333"/>
      <c r="K199" s="333"/>
      <c r="L199" s="333">
        <f t="shared" si="18"/>
        <v>0</v>
      </c>
      <c r="M199" s="333">
        <f t="shared" si="20"/>
        <v>75000</v>
      </c>
      <c r="N199" s="333">
        <f t="shared" si="21"/>
        <v>0</v>
      </c>
      <c r="O199" s="333">
        <f t="shared" si="19"/>
        <v>75000</v>
      </c>
    </row>
    <row r="200" spans="1:15" ht="24.75" customHeight="1">
      <c r="A200" s="329"/>
      <c r="B200" s="329"/>
      <c r="C200" s="335" t="s">
        <v>183</v>
      </c>
      <c r="D200" s="356" t="s">
        <v>28</v>
      </c>
      <c r="E200" s="397" t="s">
        <v>84</v>
      </c>
      <c r="F200" s="397"/>
      <c r="G200" s="381">
        <v>60000</v>
      </c>
      <c r="H200" s="381"/>
      <c r="I200" s="381">
        <f t="shared" si="24"/>
        <v>60000</v>
      </c>
      <c r="J200" s="333"/>
      <c r="K200" s="333"/>
      <c r="L200" s="333">
        <f t="shared" si="18"/>
        <v>0</v>
      </c>
      <c r="M200" s="333">
        <f t="shared" si="20"/>
        <v>60000</v>
      </c>
      <c r="N200" s="333">
        <f t="shared" si="21"/>
        <v>0</v>
      </c>
      <c r="O200" s="333">
        <f t="shared" si="19"/>
        <v>60000</v>
      </c>
    </row>
    <row r="201" spans="1:15" ht="15" customHeight="1">
      <c r="A201" s="329"/>
      <c r="B201" s="329"/>
      <c r="C201" s="335" t="s">
        <v>184</v>
      </c>
      <c r="D201" s="302" t="s">
        <v>31</v>
      </c>
      <c r="E201" s="389"/>
      <c r="F201" s="397"/>
      <c r="G201" s="381">
        <v>2950</v>
      </c>
      <c r="H201" s="381"/>
      <c r="I201" s="381">
        <f t="shared" si="24"/>
        <v>2950</v>
      </c>
      <c r="J201" s="333"/>
      <c r="K201" s="333"/>
      <c r="L201" s="333">
        <f t="shared" si="18"/>
        <v>0</v>
      </c>
      <c r="M201" s="333">
        <f t="shared" si="20"/>
        <v>2950</v>
      </c>
      <c r="N201" s="333">
        <f t="shared" si="21"/>
        <v>0</v>
      </c>
      <c r="O201" s="333">
        <f t="shared" si="19"/>
        <v>2950</v>
      </c>
    </row>
    <row r="202" spans="1:15" ht="24.75" customHeight="1">
      <c r="A202" s="329"/>
      <c r="B202" s="329"/>
      <c r="C202" s="335" t="s">
        <v>185</v>
      </c>
      <c r="D202" s="402" t="s">
        <v>350</v>
      </c>
      <c r="E202" s="389"/>
      <c r="F202" s="397"/>
      <c r="G202" s="265">
        <v>259762</v>
      </c>
      <c r="H202" s="265"/>
      <c r="I202" s="265">
        <f t="shared" si="24"/>
        <v>259762</v>
      </c>
      <c r="J202" s="333"/>
      <c r="K202" s="333"/>
      <c r="L202" s="333">
        <f t="shared" si="18"/>
        <v>0</v>
      </c>
      <c r="M202" s="333">
        <f t="shared" si="20"/>
        <v>259762</v>
      </c>
      <c r="N202" s="333">
        <f t="shared" si="21"/>
        <v>0</v>
      </c>
      <c r="O202" s="333">
        <f t="shared" si="19"/>
        <v>259762</v>
      </c>
    </row>
    <row r="203" spans="1:15" ht="24.75" customHeight="1">
      <c r="A203" s="329"/>
      <c r="B203" s="329"/>
      <c r="C203" s="335" t="s">
        <v>186</v>
      </c>
      <c r="D203" s="402" t="s">
        <v>351</v>
      </c>
      <c r="E203" s="389"/>
      <c r="F203" s="397"/>
      <c r="G203" s="265">
        <v>340423</v>
      </c>
      <c r="H203" s="265"/>
      <c r="I203" s="265">
        <f t="shared" si="24"/>
        <v>340423</v>
      </c>
      <c r="J203" s="333"/>
      <c r="K203" s="333"/>
      <c r="L203" s="333">
        <f t="shared" si="18"/>
        <v>0</v>
      </c>
      <c r="M203" s="333">
        <f t="shared" si="20"/>
        <v>340423</v>
      </c>
      <c r="N203" s="333">
        <f t="shared" si="21"/>
        <v>0</v>
      </c>
      <c r="O203" s="333">
        <f t="shared" si="19"/>
        <v>340423</v>
      </c>
    </row>
    <row r="204" spans="1:15" ht="24.75" customHeight="1">
      <c r="A204" s="329"/>
      <c r="B204" s="329"/>
      <c r="C204" s="335" t="s">
        <v>677</v>
      </c>
      <c r="D204" s="403" t="s">
        <v>101</v>
      </c>
      <c r="E204" s="389"/>
      <c r="F204" s="397"/>
      <c r="G204" s="265">
        <v>282579</v>
      </c>
      <c r="H204" s="265"/>
      <c r="I204" s="265">
        <f t="shared" si="24"/>
        <v>282579</v>
      </c>
      <c r="J204" s="333"/>
      <c r="K204" s="333"/>
      <c r="L204" s="333">
        <f t="shared" si="18"/>
        <v>0</v>
      </c>
      <c r="M204" s="333">
        <f t="shared" si="20"/>
        <v>282579</v>
      </c>
      <c r="N204" s="333">
        <f t="shared" si="21"/>
        <v>0</v>
      </c>
      <c r="O204" s="333">
        <f t="shared" si="19"/>
        <v>282579</v>
      </c>
    </row>
    <row r="205" spans="1:15" ht="24.75" customHeight="1">
      <c r="A205" s="329"/>
      <c r="B205" s="329"/>
      <c r="C205" s="335" t="s">
        <v>678</v>
      </c>
      <c r="D205" s="404" t="s">
        <v>679</v>
      </c>
      <c r="E205" s="389"/>
      <c r="F205" s="397"/>
      <c r="G205" s="265">
        <v>39614</v>
      </c>
      <c r="H205" s="265"/>
      <c r="I205" s="265">
        <f t="shared" si="24"/>
        <v>39614</v>
      </c>
      <c r="J205" s="333"/>
      <c r="K205" s="333"/>
      <c r="L205" s="333">
        <f t="shared" si="18"/>
        <v>0</v>
      </c>
      <c r="M205" s="333">
        <f t="shared" si="20"/>
        <v>39614</v>
      </c>
      <c r="N205" s="333">
        <f t="shared" si="21"/>
        <v>0</v>
      </c>
      <c r="O205" s="333">
        <f t="shared" si="19"/>
        <v>39614</v>
      </c>
    </row>
    <row r="206" spans="1:15" ht="24.75" customHeight="1">
      <c r="A206" s="329"/>
      <c r="B206" s="329"/>
      <c r="C206" s="335" t="s">
        <v>680</v>
      </c>
      <c r="D206" s="405" t="s">
        <v>681</v>
      </c>
      <c r="E206" s="389"/>
      <c r="F206" s="397" t="s">
        <v>346</v>
      </c>
      <c r="G206" s="265">
        <v>626698</v>
      </c>
      <c r="H206" s="265"/>
      <c r="I206" s="265">
        <f t="shared" si="24"/>
        <v>626698</v>
      </c>
      <c r="J206" s="333">
        <v>1269</v>
      </c>
      <c r="K206" s="333"/>
      <c r="L206" s="333">
        <f t="shared" si="18"/>
        <v>1269</v>
      </c>
      <c r="M206" s="333">
        <f t="shared" si="20"/>
        <v>627967</v>
      </c>
      <c r="N206" s="333">
        <f t="shared" si="21"/>
        <v>0</v>
      </c>
      <c r="O206" s="333">
        <f t="shared" si="19"/>
        <v>627967</v>
      </c>
    </row>
    <row r="207" spans="1:15" ht="15" customHeight="1">
      <c r="A207" s="329"/>
      <c r="B207" s="329"/>
      <c r="C207" s="335" t="s">
        <v>682</v>
      </c>
      <c r="D207" s="405" t="s">
        <v>683</v>
      </c>
      <c r="E207" s="389"/>
      <c r="F207" s="397" t="s">
        <v>126</v>
      </c>
      <c r="G207" s="265">
        <v>14439</v>
      </c>
      <c r="H207" s="265"/>
      <c r="I207" s="265">
        <f t="shared" si="24"/>
        <v>14439</v>
      </c>
      <c r="J207" s="374">
        <v>-14439</v>
      </c>
      <c r="K207" s="374"/>
      <c r="L207" s="374">
        <f t="shared" si="18"/>
        <v>-14439</v>
      </c>
      <c r="M207" s="374">
        <f t="shared" si="20"/>
        <v>0</v>
      </c>
      <c r="N207" s="374">
        <f t="shared" si="21"/>
        <v>0</v>
      </c>
      <c r="O207" s="374">
        <f t="shared" si="19"/>
        <v>0</v>
      </c>
    </row>
    <row r="208" spans="1:15" ht="15" customHeight="1">
      <c r="A208" s="329"/>
      <c r="B208" s="329"/>
      <c r="C208" s="335" t="s">
        <v>684</v>
      </c>
      <c r="D208" s="399" t="s">
        <v>685</v>
      </c>
      <c r="E208" s="397" t="s">
        <v>84</v>
      </c>
      <c r="F208" s="397"/>
      <c r="G208" s="381">
        <v>32432</v>
      </c>
      <c r="H208" s="381"/>
      <c r="I208" s="381">
        <f t="shared" si="24"/>
        <v>32432</v>
      </c>
      <c r="J208" s="374"/>
      <c r="K208" s="374"/>
      <c r="L208" s="374">
        <f t="shared" si="18"/>
        <v>0</v>
      </c>
      <c r="M208" s="374">
        <f t="shared" si="20"/>
        <v>32432</v>
      </c>
      <c r="N208" s="374">
        <f t="shared" si="21"/>
        <v>0</v>
      </c>
      <c r="O208" s="374">
        <f t="shared" si="19"/>
        <v>32432</v>
      </c>
    </row>
    <row r="209" spans="1:15" ht="24.75" customHeight="1">
      <c r="A209" s="329"/>
      <c r="B209" s="329"/>
      <c r="C209" s="335" t="s">
        <v>686</v>
      </c>
      <c r="D209" s="402" t="s">
        <v>687</v>
      </c>
      <c r="E209" s="389"/>
      <c r="F209" s="397"/>
      <c r="G209" s="265">
        <v>335334</v>
      </c>
      <c r="H209" s="265"/>
      <c r="I209" s="265">
        <f t="shared" si="24"/>
        <v>335334</v>
      </c>
      <c r="J209" s="374"/>
      <c r="K209" s="374"/>
      <c r="L209" s="374">
        <f t="shared" si="18"/>
        <v>0</v>
      </c>
      <c r="M209" s="374">
        <f t="shared" si="20"/>
        <v>335334</v>
      </c>
      <c r="N209" s="374">
        <f t="shared" si="21"/>
        <v>0</v>
      </c>
      <c r="O209" s="374">
        <f t="shared" si="19"/>
        <v>335334</v>
      </c>
    </row>
    <row r="210" spans="1:15" ht="15" customHeight="1">
      <c r="A210" s="329"/>
      <c r="B210" s="329"/>
      <c r="C210" s="335" t="s">
        <v>688</v>
      </c>
      <c r="D210" s="406" t="s">
        <v>123</v>
      </c>
      <c r="E210" s="389"/>
      <c r="F210" s="397" t="s">
        <v>346</v>
      </c>
      <c r="G210" s="265">
        <v>14855</v>
      </c>
      <c r="H210" s="265"/>
      <c r="I210" s="265">
        <f t="shared" si="24"/>
        <v>14855</v>
      </c>
      <c r="J210" s="374">
        <v>-1269</v>
      </c>
      <c r="K210" s="374"/>
      <c r="L210" s="374">
        <f t="shared" si="18"/>
        <v>-1269</v>
      </c>
      <c r="M210" s="374">
        <f t="shared" si="20"/>
        <v>13586</v>
      </c>
      <c r="N210" s="374">
        <f t="shared" si="21"/>
        <v>0</v>
      </c>
      <c r="O210" s="374">
        <f t="shared" si="19"/>
        <v>13586</v>
      </c>
    </row>
    <row r="211" spans="1:15" ht="15" customHeight="1">
      <c r="A211" s="329"/>
      <c r="B211" s="329"/>
      <c r="C211" s="335" t="s">
        <v>689</v>
      </c>
      <c r="D211" s="407" t="s">
        <v>1022</v>
      </c>
      <c r="E211" s="389"/>
      <c r="F211" s="397"/>
      <c r="G211" s="265">
        <v>9000</v>
      </c>
      <c r="H211" s="265"/>
      <c r="I211" s="265">
        <f t="shared" si="24"/>
        <v>9000</v>
      </c>
      <c r="J211" s="374"/>
      <c r="K211" s="374"/>
      <c r="L211" s="374">
        <f t="shared" si="18"/>
        <v>0</v>
      </c>
      <c r="M211" s="374">
        <f t="shared" si="20"/>
        <v>9000</v>
      </c>
      <c r="N211" s="374">
        <f t="shared" si="21"/>
        <v>0</v>
      </c>
      <c r="O211" s="374">
        <f t="shared" si="19"/>
        <v>9000</v>
      </c>
    </row>
    <row r="212" spans="1:15" ht="15" customHeight="1">
      <c r="A212" s="329"/>
      <c r="B212" s="329"/>
      <c r="C212" s="335" t="s">
        <v>690</v>
      </c>
      <c r="D212" s="408" t="s">
        <v>20</v>
      </c>
      <c r="E212" s="389"/>
      <c r="F212" s="397"/>
      <c r="G212" s="265">
        <v>1366</v>
      </c>
      <c r="H212" s="265"/>
      <c r="I212" s="265">
        <f t="shared" si="24"/>
        <v>1366</v>
      </c>
      <c r="J212" s="374"/>
      <c r="K212" s="374"/>
      <c r="L212" s="374">
        <f t="shared" si="18"/>
        <v>0</v>
      </c>
      <c r="M212" s="374">
        <f t="shared" si="20"/>
        <v>1366</v>
      </c>
      <c r="N212" s="374">
        <f t="shared" si="21"/>
        <v>0</v>
      </c>
      <c r="O212" s="374">
        <f t="shared" si="19"/>
        <v>1366</v>
      </c>
    </row>
    <row r="213" spans="1:15" ht="15" customHeight="1">
      <c r="A213" s="329"/>
      <c r="B213" s="329"/>
      <c r="C213" s="329" t="s">
        <v>318</v>
      </c>
      <c r="D213" s="330" t="s">
        <v>187</v>
      </c>
      <c r="E213" s="315"/>
      <c r="F213" s="700"/>
      <c r="G213" s="318"/>
      <c r="H213" s="318"/>
      <c r="I213" s="318"/>
      <c r="J213" s="374"/>
      <c r="K213" s="374"/>
      <c r="L213" s="374">
        <f aca="true" t="shared" si="25" ref="L213:L258">SUM(J213:K213)</f>
        <v>0</v>
      </c>
      <c r="M213" s="374">
        <f t="shared" si="20"/>
        <v>0</v>
      </c>
      <c r="N213" s="374">
        <f t="shared" si="21"/>
        <v>0</v>
      </c>
      <c r="O213" s="374">
        <f aca="true" t="shared" si="26" ref="O213:O258">SUM(M213:N213)</f>
        <v>0</v>
      </c>
    </row>
    <row r="214" spans="1:15" ht="15" customHeight="1">
      <c r="A214" s="329"/>
      <c r="B214" s="329"/>
      <c r="C214" s="329" t="s">
        <v>102</v>
      </c>
      <c r="D214" s="357" t="s">
        <v>691</v>
      </c>
      <c r="E214" s="315"/>
      <c r="F214" s="700"/>
      <c r="G214" s="318">
        <v>35000</v>
      </c>
      <c r="H214" s="318"/>
      <c r="I214" s="318">
        <f>SUM(G214:H214)</f>
        <v>35000</v>
      </c>
      <c r="J214" s="374"/>
      <c r="K214" s="374"/>
      <c r="L214" s="374">
        <f t="shared" si="25"/>
        <v>0</v>
      </c>
      <c r="M214" s="374">
        <f aca="true" t="shared" si="27" ref="M214:M258">SUM(G214+J214)</f>
        <v>35000</v>
      </c>
      <c r="N214" s="374">
        <f aca="true" t="shared" si="28" ref="N214:N258">SUM(H214+K214)</f>
        <v>0</v>
      </c>
      <c r="O214" s="374">
        <f t="shared" si="26"/>
        <v>35000</v>
      </c>
    </row>
    <row r="215" spans="1:15" ht="15" customHeight="1">
      <c r="A215" s="329"/>
      <c r="B215" s="329"/>
      <c r="C215" s="335"/>
      <c r="D215" s="322" t="s">
        <v>468</v>
      </c>
      <c r="E215" s="315"/>
      <c r="F215" s="700"/>
      <c r="G215" s="318"/>
      <c r="H215" s="318"/>
      <c r="I215" s="318">
        <f>SUM(G215:H215)</f>
        <v>0</v>
      </c>
      <c r="J215" s="374"/>
      <c r="K215" s="374"/>
      <c r="L215" s="374">
        <f t="shared" si="25"/>
        <v>0</v>
      </c>
      <c r="M215" s="374">
        <f t="shared" si="27"/>
        <v>0</v>
      </c>
      <c r="N215" s="374">
        <f t="shared" si="28"/>
        <v>0</v>
      </c>
      <c r="O215" s="374">
        <f t="shared" si="26"/>
        <v>0</v>
      </c>
    </row>
    <row r="216" spans="1:15" ht="24.75" customHeight="1">
      <c r="A216" s="329"/>
      <c r="B216" s="329"/>
      <c r="C216" s="335" t="s">
        <v>1023</v>
      </c>
      <c r="D216" s="403" t="s">
        <v>103</v>
      </c>
      <c r="E216" s="315"/>
      <c r="F216" s="700"/>
      <c r="G216" s="318">
        <v>754396</v>
      </c>
      <c r="H216" s="318"/>
      <c r="I216" s="318">
        <f>SUM(G216:H216)</f>
        <v>754396</v>
      </c>
      <c r="J216" s="333"/>
      <c r="K216" s="333"/>
      <c r="L216" s="333">
        <f t="shared" si="25"/>
        <v>0</v>
      </c>
      <c r="M216" s="333">
        <f t="shared" si="27"/>
        <v>754396</v>
      </c>
      <c r="N216" s="333">
        <f t="shared" si="28"/>
        <v>0</v>
      </c>
      <c r="O216" s="333">
        <f t="shared" si="26"/>
        <v>754396</v>
      </c>
    </row>
    <row r="217" spans="1:15" ht="36" customHeight="1">
      <c r="A217" s="329"/>
      <c r="B217" s="329"/>
      <c r="C217" s="335" t="s">
        <v>692</v>
      </c>
      <c r="D217" s="404" t="s">
        <v>756</v>
      </c>
      <c r="E217" s="409"/>
      <c r="F217" s="696"/>
      <c r="G217" s="259">
        <v>25000</v>
      </c>
      <c r="H217" s="259"/>
      <c r="I217" s="259">
        <v>25000</v>
      </c>
      <c r="J217" s="333">
        <v>313532</v>
      </c>
      <c r="K217" s="333"/>
      <c r="L217" s="333">
        <f t="shared" si="25"/>
        <v>313532</v>
      </c>
      <c r="M217" s="333">
        <f t="shared" si="27"/>
        <v>338532</v>
      </c>
      <c r="N217" s="333">
        <f t="shared" si="28"/>
        <v>0</v>
      </c>
      <c r="O217" s="333">
        <f t="shared" si="26"/>
        <v>338532</v>
      </c>
    </row>
    <row r="218" spans="1:15" ht="15" customHeight="1">
      <c r="A218" s="329"/>
      <c r="B218" s="329"/>
      <c r="C218" s="329" t="s">
        <v>319</v>
      </c>
      <c r="D218" s="337" t="s">
        <v>320</v>
      </c>
      <c r="E218" s="315"/>
      <c r="F218" s="700"/>
      <c r="G218" s="318"/>
      <c r="H218" s="318"/>
      <c r="I218" s="318"/>
      <c r="J218" s="374"/>
      <c r="K218" s="374"/>
      <c r="L218" s="374"/>
      <c r="M218" s="374"/>
      <c r="N218" s="374"/>
      <c r="O218" s="374"/>
    </row>
    <row r="219" spans="1:15" ht="15" customHeight="1">
      <c r="A219" s="329"/>
      <c r="B219" s="329"/>
      <c r="C219" s="313"/>
      <c r="D219" s="354" t="s">
        <v>468</v>
      </c>
      <c r="E219" s="315"/>
      <c r="F219" s="700"/>
      <c r="G219" s="318"/>
      <c r="H219" s="318"/>
      <c r="I219" s="318"/>
      <c r="J219" s="374"/>
      <c r="K219" s="374"/>
      <c r="L219" s="374"/>
      <c r="M219" s="374"/>
      <c r="N219" s="374"/>
      <c r="O219" s="374"/>
    </row>
    <row r="220" spans="1:15" ht="24.75" customHeight="1">
      <c r="A220" s="329"/>
      <c r="B220" s="329"/>
      <c r="C220" s="313" t="s">
        <v>693</v>
      </c>
      <c r="D220" s="410" t="s">
        <v>6</v>
      </c>
      <c r="E220" s="315"/>
      <c r="F220" s="700"/>
      <c r="G220" s="318">
        <v>940</v>
      </c>
      <c r="H220" s="318"/>
      <c r="I220" s="318">
        <f>SUM(G220:H220)</f>
        <v>940</v>
      </c>
      <c r="J220" s="374"/>
      <c r="K220" s="374"/>
      <c r="L220" s="374">
        <f t="shared" si="25"/>
        <v>0</v>
      </c>
      <c r="M220" s="374">
        <f t="shared" si="27"/>
        <v>940</v>
      </c>
      <c r="N220" s="374">
        <f t="shared" si="28"/>
        <v>0</v>
      </c>
      <c r="O220" s="374">
        <f t="shared" si="26"/>
        <v>940</v>
      </c>
    </row>
    <row r="221" spans="1:15" ht="13.5">
      <c r="A221" s="329"/>
      <c r="B221" s="329"/>
      <c r="C221" s="329" t="s">
        <v>321</v>
      </c>
      <c r="D221" s="330" t="s">
        <v>322</v>
      </c>
      <c r="E221" s="382"/>
      <c r="F221" s="697"/>
      <c r="G221" s="381"/>
      <c r="H221" s="383"/>
      <c r="I221" s="381"/>
      <c r="J221" s="374"/>
      <c r="K221" s="374"/>
      <c r="L221" s="374">
        <f t="shared" si="25"/>
        <v>0</v>
      </c>
      <c r="M221" s="374">
        <f t="shared" si="27"/>
        <v>0</v>
      </c>
      <c r="N221" s="374">
        <f t="shared" si="28"/>
        <v>0</v>
      </c>
      <c r="O221" s="374">
        <f t="shared" si="26"/>
        <v>0</v>
      </c>
    </row>
    <row r="222" spans="1:15" ht="13.5">
      <c r="A222" s="329"/>
      <c r="B222" s="329"/>
      <c r="C222" s="335" t="s">
        <v>323</v>
      </c>
      <c r="D222" s="391" t="s">
        <v>188</v>
      </c>
      <c r="E222" s="411"/>
      <c r="F222" s="697"/>
      <c r="G222" s="381">
        <v>20000</v>
      </c>
      <c r="H222" s="383"/>
      <c r="I222" s="381">
        <f aca="true" t="shared" si="29" ref="I222:I227">SUM(G222:H222)</f>
        <v>20000</v>
      </c>
      <c r="J222" s="374"/>
      <c r="K222" s="374"/>
      <c r="L222" s="374">
        <f t="shared" si="25"/>
        <v>0</v>
      </c>
      <c r="M222" s="374">
        <f t="shared" si="27"/>
        <v>20000</v>
      </c>
      <c r="N222" s="374">
        <f t="shared" si="28"/>
        <v>0</v>
      </c>
      <c r="O222" s="374">
        <f t="shared" si="26"/>
        <v>20000</v>
      </c>
    </row>
    <row r="223" spans="1:15" ht="13.5">
      <c r="A223" s="329"/>
      <c r="B223" s="329"/>
      <c r="C223" s="335" t="s">
        <v>324</v>
      </c>
      <c r="D223" s="412" t="s">
        <v>694</v>
      </c>
      <c r="E223" s="411"/>
      <c r="F223" s="697"/>
      <c r="G223" s="381">
        <v>1600</v>
      </c>
      <c r="H223" s="383"/>
      <c r="I223" s="381">
        <f t="shared" si="29"/>
        <v>1600</v>
      </c>
      <c r="J223" s="374"/>
      <c r="K223" s="374"/>
      <c r="L223" s="374">
        <f t="shared" si="25"/>
        <v>0</v>
      </c>
      <c r="M223" s="374">
        <f t="shared" si="27"/>
        <v>1600</v>
      </c>
      <c r="N223" s="374">
        <f t="shared" si="28"/>
        <v>0</v>
      </c>
      <c r="O223" s="374">
        <f t="shared" si="26"/>
        <v>1600</v>
      </c>
    </row>
    <row r="224" spans="1:15" ht="24">
      <c r="A224" s="329"/>
      <c r="B224" s="329"/>
      <c r="C224" s="335" t="s">
        <v>325</v>
      </c>
      <c r="D224" s="364" t="s">
        <v>695</v>
      </c>
      <c r="E224" s="411"/>
      <c r="F224" s="697"/>
      <c r="G224" s="381">
        <v>1000</v>
      </c>
      <c r="H224" s="383"/>
      <c r="I224" s="381">
        <f t="shared" si="29"/>
        <v>1000</v>
      </c>
      <c r="J224" s="374"/>
      <c r="K224" s="374"/>
      <c r="L224" s="374">
        <f t="shared" si="25"/>
        <v>0</v>
      </c>
      <c r="M224" s="374">
        <f t="shared" si="27"/>
        <v>1000</v>
      </c>
      <c r="N224" s="374">
        <f t="shared" si="28"/>
        <v>0</v>
      </c>
      <c r="O224" s="374">
        <f t="shared" si="26"/>
        <v>1000</v>
      </c>
    </row>
    <row r="225" spans="1:15" ht="13.5">
      <c r="A225" s="329"/>
      <c r="B225" s="329"/>
      <c r="C225" s="335" t="s">
        <v>326</v>
      </c>
      <c r="D225" s="364" t="s">
        <v>696</v>
      </c>
      <c r="E225" s="411"/>
      <c r="F225" s="697"/>
      <c r="G225" s="381">
        <v>55000</v>
      </c>
      <c r="H225" s="383"/>
      <c r="I225" s="381">
        <f t="shared" si="29"/>
        <v>55000</v>
      </c>
      <c r="J225" s="374"/>
      <c r="K225" s="374"/>
      <c r="L225" s="374">
        <f t="shared" si="25"/>
        <v>0</v>
      </c>
      <c r="M225" s="374">
        <f t="shared" si="27"/>
        <v>55000</v>
      </c>
      <c r="N225" s="374">
        <f t="shared" si="28"/>
        <v>0</v>
      </c>
      <c r="O225" s="374">
        <f t="shared" si="26"/>
        <v>55000</v>
      </c>
    </row>
    <row r="226" spans="1:15" ht="13.5">
      <c r="A226" s="329"/>
      <c r="B226" s="329"/>
      <c r="C226" s="335" t="s">
        <v>910</v>
      </c>
      <c r="D226" s="377" t="s">
        <v>697</v>
      </c>
      <c r="E226" s="411"/>
      <c r="F226" s="697"/>
      <c r="G226" s="381">
        <v>5000</v>
      </c>
      <c r="H226" s="383"/>
      <c r="I226" s="381">
        <f t="shared" si="29"/>
        <v>5000</v>
      </c>
      <c r="J226" s="374"/>
      <c r="K226" s="374"/>
      <c r="L226" s="374">
        <f t="shared" si="25"/>
        <v>0</v>
      </c>
      <c r="M226" s="374">
        <f t="shared" si="27"/>
        <v>5000</v>
      </c>
      <c r="N226" s="374">
        <f t="shared" si="28"/>
        <v>0</v>
      </c>
      <c r="O226" s="374">
        <f t="shared" si="26"/>
        <v>5000</v>
      </c>
    </row>
    <row r="227" spans="1:15" ht="13.5">
      <c r="A227" s="329"/>
      <c r="B227" s="329"/>
      <c r="C227" s="335" t="s">
        <v>911</v>
      </c>
      <c r="D227" s="292" t="s">
        <v>698</v>
      </c>
      <c r="E227" s="352"/>
      <c r="F227" s="703"/>
      <c r="G227" s="318">
        <v>1000</v>
      </c>
      <c r="H227" s="318"/>
      <c r="I227" s="318">
        <f t="shared" si="29"/>
        <v>1000</v>
      </c>
      <c r="J227" s="374"/>
      <c r="K227" s="374"/>
      <c r="L227" s="374">
        <f t="shared" si="25"/>
        <v>0</v>
      </c>
      <c r="M227" s="374">
        <f t="shared" si="27"/>
        <v>1000</v>
      </c>
      <c r="N227" s="374">
        <f t="shared" si="28"/>
        <v>0</v>
      </c>
      <c r="O227" s="374">
        <f t="shared" si="26"/>
        <v>1000</v>
      </c>
    </row>
    <row r="228" spans="1:15" ht="13.5">
      <c r="A228" s="329"/>
      <c r="B228" s="329"/>
      <c r="C228" s="335" t="s">
        <v>1132</v>
      </c>
      <c r="D228" s="41" t="s">
        <v>1133</v>
      </c>
      <c r="E228" s="352"/>
      <c r="F228" s="703" t="s">
        <v>126</v>
      </c>
      <c r="G228" s="318"/>
      <c r="H228" s="318"/>
      <c r="I228" s="318"/>
      <c r="J228" s="374">
        <v>5000</v>
      </c>
      <c r="K228" s="374"/>
      <c r="L228" s="374">
        <f t="shared" si="25"/>
        <v>5000</v>
      </c>
      <c r="M228" s="374">
        <f t="shared" si="27"/>
        <v>5000</v>
      </c>
      <c r="N228" s="374"/>
      <c r="O228" s="374">
        <f t="shared" si="26"/>
        <v>5000</v>
      </c>
    </row>
    <row r="229" spans="1:15" ht="13.5">
      <c r="A229" s="329"/>
      <c r="B229" s="329"/>
      <c r="C229" s="335"/>
      <c r="D229" s="322" t="s">
        <v>468</v>
      </c>
      <c r="E229" s="411"/>
      <c r="F229" s="697"/>
      <c r="G229" s="381"/>
      <c r="H229" s="383"/>
      <c r="I229" s="381"/>
      <c r="J229" s="374"/>
      <c r="K229" s="374"/>
      <c r="L229" s="374"/>
      <c r="M229" s="374"/>
      <c r="N229" s="374"/>
      <c r="O229" s="374"/>
    </row>
    <row r="230" spans="1:15" ht="13.5">
      <c r="A230" s="329"/>
      <c r="B230" s="329"/>
      <c r="C230" s="335" t="s">
        <v>189</v>
      </c>
      <c r="D230" s="370" t="s">
        <v>32</v>
      </c>
      <c r="E230" s="411"/>
      <c r="F230" s="697" t="s">
        <v>346</v>
      </c>
      <c r="G230" s="381">
        <v>8033</v>
      </c>
      <c r="H230" s="381"/>
      <c r="I230" s="381">
        <v>8033</v>
      </c>
      <c r="J230" s="374"/>
      <c r="K230" s="374">
        <v>268</v>
      </c>
      <c r="L230" s="374">
        <f t="shared" si="25"/>
        <v>268</v>
      </c>
      <c r="M230" s="374">
        <f t="shared" si="27"/>
        <v>8033</v>
      </c>
      <c r="N230" s="374">
        <f t="shared" si="28"/>
        <v>268</v>
      </c>
      <c r="O230" s="374">
        <f t="shared" si="26"/>
        <v>8301</v>
      </c>
    </row>
    <row r="231" spans="1:15" ht="13.5">
      <c r="A231" s="413"/>
      <c r="B231" s="413"/>
      <c r="C231" s="307"/>
      <c r="D231" s="308" t="s">
        <v>90</v>
      </c>
      <c r="E231" s="309"/>
      <c r="F231" s="699"/>
      <c r="G231" s="414">
        <f>SUM(G124:G230)</f>
        <v>5680742</v>
      </c>
      <c r="H231" s="414">
        <f>SUM(H124:H230)</f>
        <v>27500</v>
      </c>
      <c r="I231" s="414">
        <f>SUM(I124:I230)</f>
        <v>5708242</v>
      </c>
      <c r="J231" s="414">
        <f aca="true" t="shared" si="30" ref="J231:O231">SUM(J124:J230)</f>
        <v>307743</v>
      </c>
      <c r="K231" s="414">
        <f t="shared" si="30"/>
        <v>6368</v>
      </c>
      <c r="L231" s="414">
        <f t="shared" si="30"/>
        <v>314111</v>
      </c>
      <c r="M231" s="414">
        <f t="shared" si="30"/>
        <v>5988485</v>
      </c>
      <c r="N231" s="414">
        <f t="shared" si="30"/>
        <v>33868</v>
      </c>
      <c r="O231" s="414">
        <f t="shared" si="30"/>
        <v>6022353</v>
      </c>
    </row>
    <row r="232" spans="1:15" ht="13.5">
      <c r="A232" s="415">
        <v>1</v>
      </c>
      <c r="B232" s="415">
        <v>17</v>
      </c>
      <c r="C232" s="313"/>
      <c r="D232" s="416" t="s">
        <v>699</v>
      </c>
      <c r="E232" s="417"/>
      <c r="F232" s="695"/>
      <c r="G232" s="363"/>
      <c r="H232" s="363"/>
      <c r="I232" s="363"/>
      <c r="J232" s="374"/>
      <c r="K232" s="374"/>
      <c r="L232" s="374"/>
      <c r="M232" s="374"/>
      <c r="N232" s="374"/>
      <c r="O232" s="374"/>
    </row>
    <row r="233" spans="1:15" ht="13.5">
      <c r="A233" s="415"/>
      <c r="B233" s="415"/>
      <c r="C233" s="313" t="s">
        <v>195</v>
      </c>
      <c r="D233" s="418" t="s">
        <v>700</v>
      </c>
      <c r="E233" s="417"/>
      <c r="F233" s="695"/>
      <c r="G233" s="259">
        <v>171958</v>
      </c>
      <c r="H233" s="259"/>
      <c r="I233" s="259">
        <f>SUM(G233:H233)</f>
        <v>171958</v>
      </c>
      <c r="J233" s="374"/>
      <c r="K233" s="374"/>
      <c r="L233" s="374">
        <f t="shared" si="25"/>
        <v>0</v>
      </c>
      <c r="M233" s="374">
        <f t="shared" si="27"/>
        <v>171958</v>
      </c>
      <c r="N233" s="374">
        <f t="shared" si="28"/>
        <v>0</v>
      </c>
      <c r="O233" s="374">
        <f t="shared" si="26"/>
        <v>171958</v>
      </c>
    </row>
    <row r="234" spans="1:15" ht="13.5">
      <c r="A234" s="415"/>
      <c r="B234" s="415"/>
      <c r="C234" s="313" t="s">
        <v>263</v>
      </c>
      <c r="D234" s="418" t="s">
        <v>1105</v>
      </c>
      <c r="E234" s="417"/>
      <c r="F234" s="695" t="s">
        <v>126</v>
      </c>
      <c r="G234" s="259"/>
      <c r="H234" s="259"/>
      <c r="I234" s="259"/>
      <c r="J234" s="374">
        <v>260</v>
      </c>
      <c r="K234" s="374"/>
      <c r="L234" s="374">
        <f t="shared" si="25"/>
        <v>260</v>
      </c>
      <c r="M234" s="374">
        <f t="shared" si="27"/>
        <v>260</v>
      </c>
      <c r="N234" s="374"/>
      <c r="O234" s="374">
        <f t="shared" si="26"/>
        <v>260</v>
      </c>
    </row>
    <row r="235" spans="1:15" ht="13.5" customHeight="1">
      <c r="A235" s="319"/>
      <c r="B235" s="319"/>
      <c r="C235" s="313"/>
      <c r="D235" s="322" t="s">
        <v>468</v>
      </c>
      <c r="E235" s="411"/>
      <c r="F235" s="697"/>
      <c r="G235" s="381"/>
      <c r="H235" s="381"/>
      <c r="I235" s="381"/>
      <c r="J235" s="374"/>
      <c r="K235" s="374"/>
      <c r="L235" s="374">
        <f t="shared" si="25"/>
        <v>0</v>
      </c>
      <c r="M235" s="374">
        <f t="shared" si="27"/>
        <v>0</v>
      </c>
      <c r="N235" s="374">
        <f t="shared" si="28"/>
        <v>0</v>
      </c>
      <c r="O235" s="374">
        <f t="shared" si="26"/>
        <v>0</v>
      </c>
    </row>
    <row r="236" spans="1:15" ht="24.75" customHeight="1">
      <c r="A236" s="319"/>
      <c r="B236" s="319"/>
      <c r="C236" s="313" t="s">
        <v>70</v>
      </c>
      <c r="D236" s="419" t="s">
        <v>125</v>
      </c>
      <c r="E236" s="411"/>
      <c r="F236" s="697"/>
      <c r="G236" s="381">
        <v>63299</v>
      </c>
      <c r="H236" s="381"/>
      <c r="I236" s="381">
        <f>SUM(G236:H236)</f>
        <v>63299</v>
      </c>
      <c r="J236" s="374"/>
      <c r="K236" s="374"/>
      <c r="L236" s="374">
        <f t="shared" si="25"/>
        <v>0</v>
      </c>
      <c r="M236" s="374">
        <f t="shared" si="27"/>
        <v>63299</v>
      </c>
      <c r="N236" s="374">
        <f t="shared" si="28"/>
        <v>0</v>
      </c>
      <c r="O236" s="374">
        <f t="shared" si="26"/>
        <v>63299</v>
      </c>
    </row>
    <row r="237" spans="1:15" ht="15" customHeight="1">
      <c r="A237" s="319"/>
      <c r="B237" s="319"/>
      <c r="C237" s="313" t="s">
        <v>71</v>
      </c>
      <c r="D237" s="395" t="s">
        <v>127</v>
      </c>
      <c r="E237" s="411"/>
      <c r="F237" s="697"/>
      <c r="G237" s="381">
        <v>30000</v>
      </c>
      <c r="H237" s="381"/>
      <c r="I237" s="381">
        <v>30000</v>
      </c>
      <c r="J237" s="374"/>
      <c r="K237" s="374"/>
      <c r="L237" s="374">
        <f t="shared" si="25"/>
        <v>0</v>
      </c>
      <c r="M237" s="374">
        <f t="shared" si="27"/>
        <v>30000</v>
      </c>
      <c r="N237" s="374">
        <f t="shared" si="28"/>
        <v>0</v>
      </c>
      <c r="O237" s="374">
        <f t="shared" si="26"/>
        <v>30000</v>
      </c>
    </row>
    <row r="238" spans="1:15" ht="15" customHeight="1">
      <c r="A238" s="319"/>
      <c r="B238" s="319"/>
      <c r="C238" s="313" t="s">
        <v>72</v>
      </c>
      <c r="D238" s="419" t="s">
        <v>33</v>
      </c>
      <c r="E238" s="411"/>
      <c r="F238" s="697"/>
      <c r="G238" s="381">
        <v>80626</v>
      </c>
      <c r="H238" s="381"/>
      <c r="I238" s="381">
        <v>80626</v>
      </c>
      <c r="J238" s="374"/>
      <c r="K238" s="374"/>
      <c r="L238" s="374">
        <f t="shared" si="25"/>
        <v>0</v>
      </c>
      <c r="M238" s="374">
        <f t="shared" si="27"/>
        <v>80626</v>
      </c>
      <c r="N238" s="374">
        <f t="shared" si="28"/>
        <v>0</v>
      </c>
      <c r="O238" s="374">
        <f t="shared" si="26"/>
        <v>80626</v>
      </c>
    </row>
    <row r="239" spans="1:15" ht="24.75" customHeight="1">
      <c r="A239" s="319"/>
      <c r="B239" s="319"/>
      <c r="C239" s="313" t="s">
        <v>701</v>
      </c>
      <c r="D239" s="419" t="s">
        <v>702</v>
      </c>
      <c r="E239" s="411"/>
      <c r="F239" s="697"/>
      <c r="G239" s="381">
        <v>103100</v>
      </c>
      <c r="H239" s="381"/>
      <c r="I239" s="381">
        <v>103100</v>
      </c>
      <c r="J239" s="374"/>
      <c r="K239" s="374"/>
      <c r="L239" s="374">
        <f t="shared" si="25"/>
        <v>0</v>
      </c>
      <c r="M239" s="374">
        <f t="shared" si="27"/>
        <v>103100</v>
      </c>
      <c r="N239" s="374">
        <f t="shared" si="28"/>
        <v>0</v>
      </c>
      <c r="O239" s="374">
        <f t="shared" si="26"/>
        <v>103100</v>
      </c>
    </row>
    <row r="240" spans="1:15" ht="15" customHeight="1">
      <c r="A240" s="319"/>
      <c r="B240" s="319"/>
      <c r="C240" s="313" t="s">
        <v>703</v>
      </c>
      <c r="D240" s="420" t="s">
        <v>704</v>
      </c>
      <c r="E240" s="411"/>
      <c r="F240" s="697" t="s">
        <v>126</v>
      </c>
      <c r="G240" s="381"/>
      <c r="H240" s="381">
        <v>300</v>
      </c>
      <c r="I240" s="381">
        <v>300</v>
      </c>
      <c r="J240" s="374">
        <v>300</v>
      </c>
      <c r="K240" s="374">
        <v>-300</v>
      </c>
      <c r="L240" s="374">
        <f t="shared" si="25"/>
        <v>0</v>
      </c>
      <c r="M240" s="374">
        <f t="shared" si="27"/>
        <v>300</v>
      </c>
      <c r="N240" s="374">
        <f t="shared" si="28"/>
        <v>0</v>
      </c>
      <c r="O240" s="374">
        <f t="shared" si="26"/>
        <v>300</v>
      </c>
    </row>
    <row r="241" spans="1:15" ht="12" customHeight="1">
      <c r="A241" s="413"/>
      <c r="B241" s="413"/>
      <c r="C241" s="307"/>
      <c r="D241" s="308" t="s">
        <v>77</v>
      </c>
      <c r="E241" s="309"/>
      <c r="F241" s="699"/>
      <c r="G241" s="414">
        <f>SUM(G233:G240)</f>
        <v>448983</v>
      </c>
      <c r="H241" s="414">
        <f>SUM(H233:H240)</f>
        <v>300</v>
      </c>
      <c r="I241" s="414">
        <f>SUM(I233:I240)</f>
        <v>449283</v>
      </c>
      <c r="J241" s="414">
        <f aca="true" t="shared" si="31" ref="J241:O241">SUM(J233:J240)</f>
        <v>560</v>
      </c>
      <c r="K241" s="414">
        <f t="shared" si="31"/>
        <v>-300</v>
      </c>
      <c r="L241" s="414">
        <f t="shared" si="31"/>
        <v>260</v>
      </c>
      <c r="M241" s="414">
        <f t="shared" si="31"/>
        <v>449543</v>
      </c>
      <c r="N241" s="414">
        <f t="shared" si="31"/>
        <v>0</v>
      </c>
      <c r="O241" s="414">
        <f t="shared" si="31"/>
        <v>449543</v>
      </c>
    </row>
    <row r="242" spans="1:15" ht="12" customHeight="1">
      <c r="A242" s="272">
        <v>1</v>
      </c>
      <c r="B242" s="272">
        <v>18</v>
      </c>
      <c r="C242" s="273"/>
      <c r="D242" s="421" t="s">
        <v>34</v>
      </c>
      <c r="E242" s="422"/>
      <c r="F242" s="698"/>
      <c r="G242" s="362"/>
      <c r="H242" s="362"/>
      <c r="I242" s="362"/>
      <c r="J242" s="374"/>
      <c r="K242" s="374"/>
      <c r="L242" s="374"/>
      <c r="M242" s="374"/>
      <c r="N242" s="374"/>
      <c r="O242" s="374"/>
    </row>
    <row r="243" spans="1:15" ht="12" customHeight="1">
      <c r="A243" s="272"/>
      <c r="B243" s="272"/>
      <c r="C243" s="273" t="s">
        <v>195</v>
      </c>
      <c r="D243" s="322" t="s">
        <v>705</v>
      </c>
      <c r="E243" s="422"/>
      <c r="F243" s="698"/>
      <c r="G243" s="276">
        <v>500</v>
      </c>
      <c r="H243" s="276"/>
      <c r="I243" s="276">
        <v>500</v>
      </c>
      <c r="J243" s="374"/>
      <c r="K243" s="374"/>
      <c r="L243" s="374">
        <f t="shared" si="25"/>
        <v>0</v>
      </c>
      <c r="M243" s="374">
        <f t="shared" si="27"/>
        <v>500</v>
      </c>
      <c r="N243" s="374">
        <f t="shared" si="28"/>
        <v>0</v>
      </c>
      <c r="O243" s="374">
        <f t="shared" si="26"/>
        <v>500</v>
      </c>
    </row>
    <row r="244" spans="1:15" ht="12" customHeight="1">
      <c r="A244" s="423"/>
      <c r="B244" s="423"/>
      <c r="C244" s="307"/>
      <c r="D244" s="308" t="s">
        <v>35</v>
      </c>
      <c r="E244" s="309"/>
      <c r="F244" s="699"/>
      <c r="G244" s="414">
        <f>SUM(G243)</f>
        <v>500</v>
      </c>
      <c r="H244" s="414"/>
      <c r="I244" s="414">
        <f>SUM(I243)</f>
        <v>500</v>
      </c>
      <c r="J244" s="414">
        <f aca="true" t="shared" si="32" ref="J244:O244">SUM(J243)</f>
        <v>0</v>
      </c>
      <c r="K244" s="414">
        <f t="shared" si="32"/>
        <v>0</v>
      </c>
      <c r="L244" s="414">
        <f t="shared" si="32"/>
        <v>0</v>
      </c>
      <c r="M244" s="414">
        <f t="shared" si="32"/>
        <v>500</v>
      </c>
      <c r="N244" s="414">
        <f t="shared" si="32"/>
        <v>0</v>
      </c>
      <c r="O244" s="414">
        <f t="shared" si="32"/>
        <v>500</v>
      </c>
    </row>
    <row r="245" spans="1:15" ht="12" customHeight="1">
      <c r="A245" s="415">
        <v>1</v>
      </c>
      <c r="B245" s="415">
        <v>19</v>
      </c>
      <c r="C245" s="313"/>
      <c r="D245" s="416" t="s">
        <v>334</v>
      </c>
      <c r="E245" s="417"/>
      <c r="F245" s="695"/>
      <c r="G245" s="363"/>
      <c r="H245" s="363"/>
      <c r="I245" s="363"/>
      <c r="J245" s="374"/>
      <c r="K245" s="374"/>
      <c r="L245" s="374"/>
      <c r="M245" s="374"/>
      <c r="N245" s="374"/>
      <c r="O245" s="374"/>
    </row>
    <row r="246" spans="1:15" ht="12" customHeight="1">
      <c r="A246" s="415"/>
      <c r="B246" s="415"/>
      <c r="C246" s="313" t="s">
        <v>195</v>
      </c>
      <c r="D246" s="775" t="s">
        <v>1125</v>
      </c>
      <c r="E246" s="776"/>
      <c r="F246" s="695" t="s">
        <v>126</v>
      </c>
      <c r="G246" s="363"/>
      <c r="H246" s="363"/>
      <c r="I246" s="363"/>
      <c r="J246" s="374"/>
      <c r="K246" s="374">
        <v>7550</v>
      </c>
      <c r="L246" s="374">
        <v>7550</v>
      </c>
      <c r="M246" s="374"/>
      <c r="N246" s="374">
        <v>7550</v>
      </c>
      <c r="O246" s="374">
        <v>7550</v>
      </c>
    </row>
    <row r="247" spans="1:15" ht="12" customHeight="1">
      <c r="A247" s="415"/>
      <c r="B247" s="415"/>
      <c r="C247" s="313"/>
      <c r="D247" s="322" t="s">
        <v>468</v>
      </c>
      <c r="E247" s="417"/>
      <c r="F247" s="695"/>
      <c r="G247" s="363"/>
      <c r="H247" s="259"/>
      <c r="I247" s="259"/>
      <c r="J247" s="374"/>
      <c r="K247" s="374"/>
      <c r="L247" s="374"/>
      <c r="M247" s="374"/>
      <c r="N247" s="374"/>
      <c r="O247" s="374"/>
    </row>
    <row r="248" spans="1:15" ht="15" customHeight="1">
      <c r="A248" s="415"/>
      <c r="B248" s="415"/>
      <c r="C248" s="313" t="s">
        <v>129</v>
      </c>
      <c r="D248" s="424" t="s">
        <v>706</v>
      </c>
      <c r="E248" s="417"/>
      <c r="F248" s="695"/>
      <c r="G248" s="259"/>
      <c r="H248" s="259">
        <v>1500</v>
      </c>
      <c r="I248" s="259">
        <f>SUM(H248)</f>
        <v>1500</v>
      </c>
      <c r="J248" s="374"/>
      <c r="K248" s="374"/>
      <c r="L248" s="374">
        <f t="shared" si="25"/>
        <v>0</v>
      </c>
      <c r="M248" s="374">
        <f t="shared" si="27"/>
        <v>0</v>
      </c>
      <c r="N248" s="374">
        <f t="shared" si="28"/>
        <v>1500</v>
      </c>
      <c r="O248" s="374">
        <f t="shared" si="26"/>
        <v>1500</v>
      </c>
    </row>
    <row r="249" spans="1:15" ht="24.75" customHeight="1">
      <c r="A249" s="415"/>
      <c r="B249" s="415"/>
      <c r="C249" s="313" t="s">
        <v>166</v>
      </c>
      <c r="D249" s="425" t="s">
        <v>36</v>
      </c>
      <c r="E249" s="417"/>
      <c r="F249" s="695"/>
      <c r="G249" s="259"/>
      <c r="H249" s="259">
        <v>3660</v>
      </c>
      <c r="I249" s="259">
        <f>SUM(H249)</f>
        <v>3660</v>
      </c>
      <c r="J249" s="374"/>
      <c r="K249" s="374"/>
      <c r="L249" s="374">
        <f t="shared" si="25"/>
        <v>0</v>
      </c>
      <c r="M249" s="374">
        <f t="shared" si="27"/>
        <v>0</v>
      </c>
      <c r="N249" s="374">
        <f t="shared" si="28"/>
        <v>3660</v>
      </c>
      <c r="O249" s="374">
        <f t="shared" si="26"/>
        <v>3660</v>
      </c>
    </row>
    <row r="250" spans="1:15" ht="12" customHeight="1">
      <c r="A250" s="423"/>
      <c r="B250" s="423"/>
      <c r="C250" s="307"/>
      <c r="D250" s="308" t="s">
        <v>335</v>
      </c>
      <c r="E250" s="309"/>
      <c r="F250" s="699"/>
      <c r="G250" s="414">
        <f>SUM(G246:G249)</f>
        <v>0</v>
      </c>
      <c r="H250" s="414">
        <f aca="true" t="shared" si="33" ref="H250:O250">SUM(H246:H249)</f>
        <v>5160</v>
      </c>
      <c r="I250" s="414">
        <f t="shared" si="33"/>
        <v>5160</v>
      </c>
      <c r="J250" s="414">
        <f t="shared" si="33"/>
        <v>0</v>
      </c>
      <c r="K250" s="414">
        <f t="shared" si="33"/>
        <v>7550</v>
      </c>
      <c r="L250" s="414">
        <f t="shared" si="33"/>
        <v>7550</v>
      </c>
      <c r="M250" s="414">
        <f t="shared" si="33"/>
        <v>0</v>
      </c>
      <c r="N250" s="414">
        <f t="shared" si="33"/>
        <v>12710</v>
      </c>
      <c r="O250" s="414">
        <f t="shared" si="33"/>
        <v>12710</v>
      </c>
    </row>
    <row r="251" spans="1:15" ht="12" customHeight="1">
      <c r="A251" s="415">
        <v>1</v>
      </c>
      <c r="B251" s="415">
        <v>22</v>
      </c>
      <c r="C251" s="313"/>
      <c r="D251" s="416" t="s">
        <v>1034</v>
      </c>
      <c r="E251" s="417"/>
      <c r="F251" s="695"/>
      <c r="G251" s="259"/>
      <c r="H251" s="259"/>
      <c r="I251" s="259"/>
      <c r="J251" s="374"/>
      <c r="K251" s="374"/>
      <c r="L251" s="374"/>
      <c r="M251" s="374"/>
      <c r="N251" s="374"/>
      <c r="O251" s="374"/>
    </row>
    <row r="252" spans="1:15" ht="15" customHeight="1">
      <c r="A252" s="415"/>
      <c r="B252" s="415"/>
      <c r="C252" s="313" t="s">
        <v>195</v>
      </c>
      <c r="D252" s="395" t="s">
        <v>365</v>
      </c>
      <c r="E252" s="389"/>
      <c r="F252" s="397" t="s">
        <v>126</v>
      </c>
      <c r="G252" s="381"/>
      <c r="H252" s="381"/>
      <c r="I252" s="381"/>
      <c r="J252" s="374">
        <v>250</v>
      </c>
      <c r="K252" s="374"/>
      <c r="L252" s="374">
        <f t="shared" si="25"/>
        <v>250</v>
      </c>
      <c r="M252" s="374">
        <f t="shared" si="27"/>
        <v>250</v>
      </c>
      <c r="N252" s="374">
        <f t="shared" si="28"/>
        <v>0</v>
      </c>
      <c r="O252" s="374">
        <f t="shared" si="26"/>
        <v>250</v>
      </c>
    </row>
    <row r="253" spans="1:15" ht="12" customHeight="1">
      <c r="A253" s="423"/>
      <c r="B253" s="423"/>
      <c r="C253" s="307"/>
      <c r="D253" s="308" t="s">
        <v>1035</v>
      </c>
      <c r="E253" s="309"/>
      <c r="F253" s="699"/>
      <c r="G253" s="414">
        <f>SUM(G252)</f>
        <v>0</v>
      </c>
      <c r="H253" s="414"/>
      <c r="I253" s="414">
        <f>SUM(I252)</f>
        <v>0</v>
      </c>
      <c r="J253" s="414">
        <f aca="true" t="shared" si="34" ref="J253:O253">SUM(J252)</f>
        <v>250</v>
      </c>
      <c r="K253" s="414">
        <f t="shared" si="34"/>
        <v>0</v>
      </c>
      <c r="L253" s="414">
        <f t="shared" si="34"/>
        <v>250</v>
      </c>
      <c r="M253" s="414">
        <f t="shared" si="34"/>
        <v>250</v>
      </c>
      <c r="N253" s="414">
        <f t="shared" si="34"/>
        <v>0</v>
      </c>
      <c r="O253" s="414">
        <f t="shared" si="34"/>
        <v>250</v>
      </c>
    </row>
    <row r="254" spans="1:15" ht="13.5">
      <c r="A254" s="426">
        <v>1</v>
      </c>
      <c r="B254" s="426">
        <v>3</v>
      </c>
      <c r="C254" s="297"/>
      <c r="D254" s="326" t="s">
        <v>80</v>
      </c>
      <c r="E254" s="332"/>
      <c r="F254" s="702"/>
      <c r="G254" s="333"/>
      <c r="H254" s="333"/>
      <c r="I254" s="333"/>
      <c r="J254" s="374"/>
      <c r="K254" s="374"/>
      <c r="L254" s="374">
        <f t="shared" si="25"/>
        <v>0</v>
      </c>
      <c r="M254" s="374">
        <f t="shared" si="27"/>
        <v>0</v>
      </c>
      <c r="N254" s="374">
        <f t="shared" si="28"/>
        <v>0</v>
      </c>
      <c r="O254" s="374">
        <f t="shared" si="26"/>
        <v>0</v>
      </c>
    </row>
    <row r="255" spans="1:15" ht="13.5">
      <c r="A255" s="426"/>
      <c r="B255" s="426"/>
      <c r="C255" s="297"/>
      <c r="D255" s="427"/>
      <c r="E255" s="332"/>
      <c r="F255" s="702"/>
      <c r="G255" s="333"/>
      <c r="H255" s="333"/>
      <c r="I255" s="333"/>
      <c r="J255" s="374"/>
      <c r="K255" s="374"/>
      <c r="L255" s="374"/>
      <c r="M255" s="374"/>
      <c r="N255" s="374"/>
      <c r="O255" s="374"/>
    </row>
    <row r="256" spans="1:15" ht="12" customHeight="1">
      <c r="A256" s="428"/>
      <c r="B256" s="428"/>
      <c r="C256" s="423"/>
      <c r="D256" s="429" t="s">
        <v>81</v>
      </c>
      <c r="E256" s="430"/>
      <c r="F256" s="706"/>
      <c r="G256" s="431">
        <f>SUM(G255:G255)</f>
        <v>0</v>
      </c>
      <c r="H256" s="431">
        <f>SUM(H255:H255)</f>
        <v>0</v>
      </c>
      <c r="I256" s="431">
        <f>SUM(I255:I255)</f>
        <v>0</v>
      </c>
      <c r="J256" s="431">
        <f aca="true" t="shared" si="35" ref="J256:O256">SUM(J255:J255)</f>
        <v>0</v>
      </c>
      <c r="K256" s="431">
        <f t="shared" si="35"/>
        <v>0</v>
      </c>
      <c r="L256" s="431">
        <f t="shared" si="35"/>
        <v>0</v>
      </c>
      <c r="M256" s="431">
        <f t="shared" si="35"/>
        <v>0</v>
      </c>
      <c r="N256" s="431">
        <f t="shared" si="35"/>
        <v>0</v>
      </c>
      <c r="O256" s="431">
        <f t="shared" si="35"/>
        <v>0</v>
      </c>
    </row>
    <row r="257" spans="1:15" ht="13.5">
      <c r="A257" s="432"/>
      <c r="B257" s="432"/>
      <c r="C257" s="433"/>
      <c r="D257" s="434" t="s">
        <v>37</v>
      </c>
      <c r="E257" s="430"/>
      <c r="F257" s="706"/>
      <c r="G257" s="431">
        <f>SUM(G7+G32+G121+G231+G241+G244+G250+G253+G256)</f>
        <v>6763452</v>
      </c>
      <c r="H257" s="431">
        <f>SUM(H7+H32+H121+H231+H241+H244+H250+H253+H256)</f>
        <v>472599</v>
      </c>
      <c r="I257" s="431">
        <f>SUM(I7+I32+I121+I231+I241+I244+I250+I253+I256)</f>
        <v>7236051</v>
      </c>
      <c r="J257" s="431">
        <f aca="true" t="shared" si="36" ref="J257:O257">SUM(J7+J32+J121+J231+J241+J244+J250+J253+J256)</f>
        <v>381452</v>
      </c>
      <c r="K257" s="431">
        <f t="shared" si="36"/>
        <v>278142</v>
      </c>
      <c r="L257" s="431">
        <f t="shared" si="36"/>
        <v>659594</v>
      </c>
      <c r="M257" s="431">
        <f t="shared" si="36"/>
        <v>7144904</v>
      </c>
      <c r="N257" s="431">
        <f t="shared" si="36"/>
        <v>750741</v>
      </c>
      <c r="O257" s="431">
        <f t="shared" si="36"/>
        <v>7895645</v>
      </c>
    </row>
    <row r="258" spans="1:15" ht="12.75">
      <c r="A258" s="435">
        <v>2</v>
      </c>
      <c r="B258" s="436">
        <v>2</v>
      </c>
      <c r="C258" s="437"/>
      <c r="D258" s="274" t="s">
        <v>114</v>
      </c>
      <c r="E258" s="438"/>
      <c r="F258" s="438"/>
      <c r="G258" s="374">
        <v>37447</v>
      </c>
      <c r="H258" s="374"/>
      <c r="I258" s="374">
        <f>SUM(G258:H258)</f>
        <v>37447</v>
      </c>
      <c r="J258" s="374">
        <f>'táj.2.'!H20</f>
        <v>73182</v>
      </c>
      <c r="K258" s="374">
        <f>'táj.2.'!J20</f>
        <v>0</v>
      </c>
      <c r="L258" s="374">
        <f t="shared" si="25"/>
        <v>73182</v>
      </c>
      <c r="M258" s="374">
        <f t="shared" si="27"/>
        <v>110629</v>
      </c>
      <c r="N258" s="374">
        <f t="shared" si="28"/>
        <v>0</v>
      </c>
      <c r="O258" s="374">
        <f t="shared" si="26"/>
        <v>110629</v>
      </c>
    </row>
    <row r="259" spans="1:15" ht="13.5">
      <c r="A259" s="432"/>
      <c r="B259" s="432"/>
      <c r="C259" s="433"/>
      <c r="D259" s="429" t="s">
        <v>83</v>
      </c>
      <c r="E259" s="430"/>
      <c r="F259" s="706"/>
      <c r="G259" s="431">
        <f>SUM(G257:G258)</f>
        <v>6800899</v>
      </c>
      <c r="H259" s="431">
        <f>SUM(H257:H258)</f>
        <v>472599</v>
      </c>
      <c r="I259" s="431">
        <f>SUM(I257:I258)</f>
        <v>7273498</v>
      </c>
      <c r="J259" s="431">
        <f aca="true" t="shared" si="37" ref="J259:O259">SUM(J257:J258)</f>
        <v>454634</v>
      </c>
      <c r="K259" s="431">
        <f t="shared" si="37"/>
        <v>278142</v>
      </c>
      <c r="L259" s="431">
        <f t="shared" si="37"/>
        <v>732776</v>
      </c>
      <c r="M259" s="431">
        <f t="shared" si="37"/>
        <v>7255533</v>
      </c>
      <c r="N259" s="431">
        <f t="shared" si="37"/>
        <v>750741</v>
      </c>
      <c r="O259" s="431">
        <f t="shared" si="37"/>
        <v>8006274</v>
      </c>
    </row>
    <row r="260" spans="1:12" ht="15" customHeight="1">
      <c r="A260" s="439" t="s">
        <v>38</v>
      </c>
      <c r="B260" s="440"/>
      <c r="C260" s="440"/>
      <c r="D260" s="440"/>
      <c r="E260" s="440"/>
      <c r="F260" s="440"/>
      <c r="G260" s="440"/>
      <c r="H260" s="440"/>
      <c r="I260" s="440"/>
      <c r="L260" s="446"/>
    </row>
    <row r="261" spans="1:9" ht="12.75">
      <c r="A261" s="439"/>
      <c r="B261" s="439"/>
      <c r="C261" s="439"/>
      <c r="D261" s="439"/>
      <c r="E261" s="440"/>
      <c r="F261" s="440"/>
      <c r="G261" s="440"/>
      <c r="H261" s="440"/>
      <c r="I261" s="440"/>
    </row>
    <row r="262" spans="1:9" ht="12.75">
      <c r="A262" s="440"/>
      <c r="B262" s="440"/>
      <c r="C262" s="440"/>
      <c r="D262" s="440"/>
      <c r="E262" s="440"/>
      <c r="F262" s="440"/>
      <c r="G262" s="440"/>
      <c r="H262" s="440"/>
      <c r="I262" s="440"/>
    </row>
    <row r="263" spans="1:9" ht="12.75">
      <c r="A263" s="440"/>
      <c r="B263" s="440"/>
      <c r="C263" s="440"/>
      <c r="D263" s="440"/>
      <c r="E263" s="440"/>
      <c r="F263" s="440"/>
      <c r="G263" s="440"/>
      <c r="H263" s="440"/>
      <c r="I263" s="440"/>
    </row>
    <row r="264" spans="1:9" ht="12.75">
      <c r="A264" s="440"/>
      <c r="B264" s="440"/>
      <c r="C264" s="440"/>
      <c r="D264" s="440"/>
      <c r="E264" s="440"/>
      <c r="F264" s="440"/>
      <c r="G264" s="440"/>
      <c r="H264" s="440"/>
      <c r="I264" s="440"/>
    </row>
    <row r="265" spans="1:9" ht="13.5">
      <c r="A265" s="440"/>
      <c r="B265" s="440"/>
      <c r="C265" s="440"/>
      <c r="D265" s="440"/>
      <c r="E265" s="440"/>
      <c r="F265" s="440"/>
      <c r="G265" s="440"/>
      <c r="H265" s="440"/>
      <c r="I265" s="441"/>
    </row>
    <row r="266" spans="1:9" ht="13.5">
      <c r="A266" s="440"/>
      <c r="B266" s="440"/>
      <c r="C266" s="440"/>
      <c r="D266" s="440"/>
      <c r="E266" s="440"/>
      <c r="F266" s="440"/>
      <c r="G266" s="440"/>
      <c r="H266" s="440"/>
      <c r="I266" s="441"/>
    </row>
    <row r="267" spans="1:9" ht="12.75">
      <c r="A267" s="440"/>
      <c r="B267" s="440"/>
      <c r="C267" s="440"/>
      <c r="D267" s="440"/>
      <c r="E267" s="440"/>
      <c r="F267" s="440"/>
      <c r="G267" s="440"/>
      <c r="H267" s="440"/>
      <c r="I267" s="440"/>
    </row>
    <row r="268" spans="1:9" ht="12.75">
      <c r="A268" s="440"/>
      <c r="B268" s="440"/>
      <c r="C268" s="440"/>
      <c r="D268" s="440"/>
      <c r="E268" s="440"/>
      <c r="F268" s="440"/>
      <c r="G268" s="440"/>
      <c r="H268" s="440"/>
      <c r="I268" s="440"/>
    </row>
    <row r="269" spans="1:9" ht="12.75">
      <c r="A269" s="440"/>
      <c r="B269" s="440"/>
      <c r="C269" s="440"/>
      <c r="D269" s="440"/>
      <c r="E269" s="440"/>
      <c r="F269" s="440"/>
      <c r="G269" s="440"/>
      <c r="H269" s="440"/>
      <c r="I269" s="440"/>
    </row>
    <row r="270" spans="1:9" ht="12.75">
      <c r="A270" s="440"/>
      <c r="B270" s="440"/>
      <c r="C270" s="440"/>
      <c r="D270" s="440"/>
      <c r="E270" s="440"/>
      <c r="F270" s="440"/>
      <c r="G270" s="440"/>
      <c r="H270" s="440"/>
      <c r="I270" s="440"/>
    </row>
    <row r="271" spans="1:9" ht="12.75">
      <c r="A271" s="440"/>
      <c r="B271" s="440"/>
      <c r="C271" s="440"/>
      <c r="D271" s="440"/>
      <c r="E271" s="440"/>
      <c r="F271" s="440"/>
      <c r="G271" s="440"/>
      <c r="H271" s="440"/>
      <c r="I271" s="440"/>
    </row>
    <row r="272" spans="1:9" ht="12.75">
      <c r="A272" s="440"/>
      <c r="B272" s="440"/>
      <c r="C272" s="440"/>
      <c r="D272" s="440"/>
      <c r="E272" s="440"/>
      <c r="F272" s="440"/>
      <c r="G272" s="440"/>
      <c r="H272" s="440"/>
      <c r="I272" s="440"/>
    </row>
    <row r="273" spans="1:9" ht="12.75">
      <c r="A273" s="440"/>
      <c r="B273" s="440"/>
      <c r="C273" s="440"/>
      <c r="D273" s="440"/>
      <c r="E273" s="440"/>
      <c r="F273" s="440"/>
      <c r="G273" s="440"/>
      <c r="H273" s="440"/>
      <c r="I273" s="440"/>
    </row>
    <row r="274" spans="1:9" ht="12.75">
      <c r="A274" s="440"/>
      <c r="B274" s="440"/>
      <c r="C274" s="440"/>
      <c r="D274" s="440"/>
      <c r="E274" s="440"/>
      <c r="F274" s="440"/>
      <c r="G274" s="440"/>
      <c r="H274" s="440"/>
      <c r="I274" s="440"/>
    </row>
    <row r="275" spans="1:9" ht="12.75">
      <c r="A275" s="440"/>
      <c r="B275" s="440"/>
      <c r="C275" s="440"/>
      <c r="D275" s="440"/>
      <c r="E275" s="440"/>
      <c r="F275" s="440"/>
      <c r="G275" s="440"/>
      <c r="H275" s="440"/>
      <c r="I275" s="440"/>
    </row>
    <row r="276" spans="1:9" ht="12.75">
      <c r="A276" s="440"/>
      <c r="B276" s="440"/>
      <c r="C276" s="440"/>
      <c r="D276" s="440"/>
      <c r="E276" s="440"/>
      <c r="F276" s="440"/>
      <c r="G276" s="440"/>
      <c r="H276" s="440"/>
      <c r="I276" s="440"/>
    </row>
    <row r="277" spans="1:9" ht="12.75">
      <c r="A277" s="440"/>
      <c r="B277" s="440"/>
      <c r="C277" s="440"/>
      <c r="D277" s="440"/>
      <c r="E277" s="440"/>
      <c r="F277" s="440"/>
      <c r="G277" s="440"/>
      <c r="H277" s="440"/>
      <c r="I277" s="440"/>
    </row>
    <row r="278" spans="1:9" ht="12.75">
      <c r="A278" s="440"/>
      <c r="B278" s="440"/>
      <c r="C278" s="440"/>
      <c r="D278" s="440"/>
      <c r="E278" s="440"/>
      <c r="F278" s="440"/>
      <c r="G278" s="440"/>
      <c r="H278" s="440"/>
      <c r="I278" s="440"/>
    </row>
    <row r="279" spans="1:9" ht="12.75">
      <c r="A279" s="440"/>
      <c r="B279" s="440"/>
      <c r="C279" s="440"/>
      <c r="D279" s="440"/>
      <c r="E279" s="440"/>
      <c r="F279" s="440"/>
      <c r="G279" s="440"/>
      <c r="H279" s="440"/>
      <c r="I279" s="440"/>
    </row>
    <row r="280" spans="1:9" ht="12.75">
      <c r="A280" s="440"/>
      <c r="B280" s="440"/>
      <c r="C280" s="440"/>
      <c r="D280" s="440"/>
      <c r="E280" s="440"/>
      <c r="F280" s="440"/>
      <c r="G280" s="440"/>
      <c r="H280" s="440"/>
      <c r="I280" s="440"/>
    </row>
    <row r="281" spans="1:9" ht="12.75">
      <c r="A281" s="440"/>
      <c r="B281" s="440"/>
      <c r="C281" s="440"/>
      <c r="D281" s="440"/>
      <c r="E281" s="440"/>
      <c r="F281" s="440"/>
      <c r="G281" s="440"/>
      <c r="H281" s="440"/>
      <c r="I281" s="440"/>
    </row>
    <row r="282" spans="1:9" ht="12.75">
      <c r="A282" s="440"/>
      <c r="B282" s="440"/>
      <c r="C282" s="440"/>
      <c r="D282" s="440"/>
      <c r="E282" s="440"/>
      <c r="F282" s="440"/>
      <c r="G282" s="440"/>
      <c r="H282" s="440"/>
      <c r="I282" s="440"/>
    </row>
  </sheetData>
  <sheetProtection selectLockedCells="1" selectUnlockedCells="1"/>
  <mergeCells count="9">
    <mergeCell ref="M1:O1"/>
    <mergeCell ref="F1:F2"/>
    <mergeCell ref="A1:A2"/>
    <mergeCell ref="B1:B2"/>
    <mergeCell ref="C1:C2"/>
    <mergeCell ref="D246:E246"/>
    <mergeCell ref="D1:E2"/>
    <mergeCell ref="G1:I1"/>
    <mergeCell ref="J1:L1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1">
      <pane ySplit="3" topLeftCell="A178" activePane="bottomLeft" state="frozen"/>
      <selection pane="topLeft" activeCell="A1" sqref="A1"/>
      <selection pane="bottomLeft" activeCell="L151" sqref="L151"/>
    </sheetView>
  </sheetViews>
  <sheetFormatPr defaultColWidth="9.00390625" defaultRowHeight="12.75"/>
  <cols>
    <col min="1" max="1" width="5.875" style="469" customWidth="1"/>
    <col min="2" max="2" width="7.375" style="469" customWidth="1"/>
    <col min="3" max="3" width="7.50390625" style="469" customWidth="1"/>
    <col min="4" max="4" width="56.00390625" style="469" customWidth="1"/>
    <col min="5" max="5" width="3.125" style="469" customWidth="1"/>
    <col min="6" max="6" width="5.125" style="469" customWidth="1"/>
    <col min="7" max="7" width="11.375" style="469" customWidth="1"/>
    <col min="8" max="9" width="10.50390625" style="469" customWidth="1"/>
    <col min="10" max="10" width="9.375" style="469" customWidth="1"/>
    <col min="11" max="11" width="12.00390625" style="469" customWidth="1"/>
    <col min="12" max="12" width="10.375" style="469" customWidth="1"/>
    <col min="13" max="13" width="12.875" style="469" customWidth="1"/>
    <col min="14" max="14" width="13.00390625" style="469" customWidth="1"/>
    <col min="15" max="15" width="12.00390625" style="469" customWidth="1"/>
    <col min="16" max="16384" width="9.375" style="469" customWidth="1"/>
  </cols>
  <sheetData>
    <row r="1" spans="1:15" s="459" customFormat="1" ht="25.5" customHeight="1">
      <c r="A1" s="455"/>
      <c r="B1" s="456"/>
      <c r="C1" s="456"/>
      <c r="D1" s="457"/>
      <c r="E1" s="458"/>
      <c r="F1" s="789" t="s">
        <v>711</v>
      </c>
      <c r="G1" s="788" t="s">
        <v>894</v>
      </c>
      <c r="H1" s="788"/>
      <c r="I1" s="788"/>
      <c r="J1" s="783" t="s">
        <v>353</v>
      </c>
      <c r="K1" s="784"/>
      <c r="L1" s="785"/>
      <c r="M1" s="783" t="s">
        <v>710</v>
      </c>
      <c r="N1" s="784"/>
      <c r="O1" s="785"/>
    </row>
    <row r="2" spans="1:15" s="459" customFormat="1" ht="80.25" customHeight="1" thickBot="1">
      <c r="A2" s="460" t="s">
        <v>91</v>
      </c>
      <c r="B2" s="461" t="s">
        <v>92</v>
      </c>
      <c r="C2" s="461" t="s">
        <v>93</v>
      </c>
      <c r="D2" s="462" t="s">
        <v>94</v>
      </c>
      <c r="E2" s="463"/>
      <c r="F2" s="790"/>
      <c r="G2" s="464" t="s">
        <v>95</v>
      </c>
      <c r="H2" s="464" t="s">
        <v>712</v>
      </c>
      <c r="I2" s="569" t="s">
        <v>96</v>
      </c>
      <c r="J2" s="464" t="s">
        <v>95</v>
      </c>
      <c r="K2" s="464" t="s">
        <v>712</v>
      </c>
      <c r="L2" s="569" t="s">
        <v>96</v>
      </c>
      <c r="M2" s="464" t="s">
        <v>95</v>
      </c>
      <c r="N2" s="464" t="s">
        <v>712</v>
      </c>
      <c r="O2" s="578" t="s">
        <v>96</v>
      </c>
    </row>
    <row r="3" spans="1:15" ht="12.75" customHeight="1">
      <c r="A3" s="465"/>
      <c r="B3" s="465"/>
      <c r="C3" s="465"/>
      <c r="D3" s="466" t="s">
        <v>113</v>
      </c>
      <c r="E3" s="467"/>
      <c r="F3" s="568"/>
      <c r="G3" s="468"/>
      <c r="H3" s="468"/>
      <c r="I3" s="550"/>
      <c r="J3" s="576"/>
      <c r="K3" s="577"/>
      <c r="L3" s="577"/>
      <c r="M3" s="577"/>
      <c r="N3" s="577"/>
      <c r="O3" s="577"/>
    </row>
    <row r="4" spans="1:15" ht="15.75" customHeight="1">
      <c r="A4" s="470" t="s">
        <v>195</v>
      </c>
      <c r="B4" s="470">
        <v>13</v>
      </c>
      <c r="C4" s="470"/>
      <c r="D4" s="262" t="s">
        <v>1027</v>
      </c>
      <c r="E4" s="368"/>
      <c r="F4" s="368"/>
      <c r="G4" s="287"/>
      <c r="H4" s="287"/>
      <c r="I4" s="288"/>
      <c r="J4" s="577"/>
      <c r="K4" s="577"/>
      <c r="L4" s="577"/>
      <c r="M4" s="577"/>
      <c r="N4" s="577"/>
      <c r="O4" s="577"/>
    </row>
    <row r="5" spans="1:15" ht="15.75" customHeight="1">
      <c r="A5" s="470"/>
      <c r="B5" s="470"/>
      <c r="C5" s="279" t="s">
        <v>195</v>
      </c>
      <c r="D5" s="471" t="s">
        <v>106</v>
      </c>
      <c r="E5" s="472"/>
      <c r="F5" s="472"/>
      <c r="G5" s="287"/>
      <c r="H5" s="287"/>
      <c r="I5" s="288"/>
      <c r="J5" s="577"/>
      <c r="K5" s="577"/>
      <c r="L5" s="577"/>
      <c r="M5" s="577"/>
      <c r="N5" s="577"/>
      <c r="O5" s="577"/>
    </row>
    <row r="6" spans="1:15" ht="15.75" customHeight="1">
      <c r="A6" s="470"/>
      <c r="B6" s="470"/>
      <c r="C6" s="283" t="s">
        <v>260</v>
      </c>
      <c r="D6" s="473" t="s">
        <v>713</v>
      </c>
      <c r="E6" s="472"/>
      <c r="F6" s="472"/>
      <c r="G6" s="287"/>
      <c r="H6" s="287"/>
      <c r="I6" s="288"/>
      <c r="J6" s="577"/>
      <c r="K6" s="577"/>
      <c r="L6" s="577"/>
      <c r="M6" s="577"/>
      <c r="N6" s="577"/>
      <c r="O6" s="577"/>
    </row>
    <row r="7" spans="1:15" ht="27.75" customHeight="1">
      <c r="A7" s="470"/>
      <c r="B7" s="470"/>
      <c r="C7" s="474" t="s">
        <v>714</v>
      </c>
      <c r="D7" s="284" t="s">
        <v>715</v>
      </c>
      <c r="E7" s="368"/>
      <c r="F7" s="368"/>
      <c r="G7" s="286">
        <v>10000</v>
      </c>
      <c r="H7" s="286"/>
      <c r="I7" s="369">
        <f aca="true" t="shared" si="0" ref="I7:I15">SUM(G7:H7)</f>
        <v>10000</v>
      </c>
      <c r="J7" s="580"/>
      <c r="K7" s="580"/>
      <c r="L7" s="580">
        <f>SUM(J7:K7)</f>
        <v>0</v>
      </c>
      <c r="M7" s="580">
        <f>SUM(G7+J7)</f>
        <v>10000</v>
      </c>
      <c r="N7" s="580">
        <f>SUM(H7+K7)</f>
        <v>0</v>
      </c>
      <c r="O7" s="580">
        <f>SUM(M7:N7)</f>
        <v>10000</v>
      </c>
    </row>
    <row r="8" spans="1:15" ht="15" customHeight="1">
      <c r="A8" s="470"/>
      <c r="B8" s="470"/>
      <c r="C8" s="283" t="s">
        <v>716</v>
      </c>
      <c r="D8" s="475" t="s">
        <v>717</v>
      </c>
      <c r="E8" s="368"/>
      <c r="F8" s="368"/>
      <c r="G8" s="286">
        <v>15000</v>
      </c>
      <c r="H8" s="286"/>
      <c r="I8" s="369">
        <f t="shared" si="0"/>
        <v>15000</v>
      </c>
      <c r="J8" s="580"/>
      <c r="K8" s="580"/>
      <c r="L8" s="580">
        <f aca="true" t="shared" si="1" ref="L8:L71">SUM(J8:K8)</f>
        <v>0</v>
      </c>
      <c r="M8" s="580">
        <f aca="true" t="shared" si="2" ref="M8:M71">SUM(G8+J8)</f>
        <v>15000</v>
      </c>
      <c r="N8" s="580">
        <f aca="true" t="shared" si="3" ref="N8:N71">SUM(H8+K8)</f>
        <v>0</v>
      </c>
      <c r="O8" s="580">
        <f aca="true" t="shared" si="4" ref="O8:O71">SUM(M8:N8)</f>
        <v>15000</v>
      </c>
    </row>
    <row r="9" spans="1:15" ht="15" customHeight="1">
      <c r="A9" s="470"/>
      <c r="B9" s="470"/>
      <c r="C9" s="283" t="s">
        <v>718</v>
      </c>
      <c r="D9" s="476" t="s">
        <v>719</v>
      </c>
      <c r="E9" s="368"/>
      <c r="F9" s="368"/>
      <c r="G9" s="286">
        <v>1000</v>
      </c>
      <c r="H9" s="286"/>
      <c r="I9" s="369">
        <f t="shared" si="0"/>
        <v>1000</v>
      </c>
      <c r="J9" s="580"/>
      <c r="K9" s="580"/>
      <c r="L9" s="580">
        <f t="shared" si="1"/>
        <v>0</v>
      </c>
      <c r="M9" s="580">
        <f t="shared" si="2"/>
        <v>1000</v>
      </c>
      <c r="N9" s="580">
        <f t="shared" si="3"/>
        <v>0</v>
      </c>
      <c r="O9" s="580">
        <f t="shared" si="4"/>
        <v>1000</v>
      </c>
    </row>
    <row r="10" spans="1:15" ht="15" customHeight="1">
      <c r="A10" s="470"/>
      <c r="B10" s="470"/>
      <c r="C10" s="474" t="s">
        <v>720</v>
      </c>
      <c r="D10" s="477" t="s">
        <v>721</v>
      </c>
      <c r="E10" s="368"/>
      <c r="F10" s="368"/>
      <c r="G10" s="286">
        <v>500</v>
      </c>
      <c r="H10" s="286"/>
      <c r="I10" s="369">
        <f t="shared" si="0"/>
        <v>500</v>
      </c>
      <c r="J10" s="580"/>
      <c r="K10" s="580"/>
      <c r="L10" s="580">
        <f t="shared" si="1"/>
        <v>0</v>
      </c>
      <c r="M10" s="580">
        <f t="shared" si="2"/>
        <v>500</v>
      </c>
      <c r="N10" s="580">
        <f t="shared" si="3"/>
        <v>0</v>
      </c>
      <c r="O10" s="580">
        <f t="shared" si="4"/>
        <v>500</v>
      </c>
    </row>
    <row r="11" spans="1:15" ht="15" customHeight="1">
      <c r="A11" s="470"/>
      <c r="B11" s="470"/>
      <c r="C11" s="283" t="s">
        <v>722</v>
      </c>
      <c r="D11" s="476" t="s">
        <v>723</v>
      </c>
      <c r="E11" s="368"/>
      <c r="F11" s="368"/>
      <c r="G11" s="286">
        <v>8500</v>
      </c>
      <c r="H11" s="286"/>
      <c r="I11" s="369">
        <f t="shared" si="0"/>
        <v>8500</v>
      </c>
      <c r="J11" s="580"/>
      <c r="K11" s="580"/>
      <c r="L11" s="580">
        <f t="shared" si="1"/>
        <v>0</v>
      </c>
      <c r="M11" s="580">
        <f t="shared" si="2"/>
        <v>8500</v>
      </c>
      <c r="N11" s="580">
        <f t="shared" si="3"/>
        <v>0</v>
      </c>
      <c r="O11" s="580">
        <f t="shared" si="4"/>
        <v>8500</v>
      </c>
    </row>
    <row r="12" spans="1:15" ht="15" customHeight="1">
      <c r="A12" s="470"/>
      <c r="B12" s="470"/>
      <c r="C12" s="283" t="s">
        <v>724</v>
      </c>
      <c r="D12" s="476" t="s">
        <v>725</v>
      </c>
      <c r="E12" s="368"/>
      <c r="F12" s="368"/>
      <c r="G12" s="286">
        <v>2000</v>
      </c>
      <c r="H12" s="286"/>
      <c r="I12" s="369">
        <f t="shared" si="0"/>
        <v>2000</v>
      </c>
      <c r="J12" s="580"/>
      <c r="K12" s="580"/>
      <c r="L12" s="580">
        <f t="shared" si="1"/>
        <v>0</v>
      </c>
      <c r="M12" s="580">
        <f t="shared" si="2"/>
        <v>2000</v>
      </c>
      <c r="N12" s="580">
        <f t="shared" si="3"/>
        <v>0</v>
      </c>
      <c r="O12" s="580">
        <f t="shared" si="4"/>
        <v>2000</v>
      </c>
    </row>
    <row r="13" spans="1:15" ht="15" customHeight="1">
      <c r="A13" s="470"/>
      <c r="B13" s="470"/>
      <c r="C13" s="474" t="s">
        <v>726</v>
      </c>
      <c r="D13" s="478" t="s">
        <v>727</v>
      </c>
      <c r="E13" s="368"/>
      <c r="F13" s="368"/>
      <c r="G13" s="286">
        <v>2000</v>
      </c>
      <c r="H13" s="286"/>
      <c r="I13" s="369">
        <f t="shared" si="0"/>
        <v>2000</v>
      </c>
      <c r="J13" s="580"/>
      <c r="K13" s="580"/>
      <c r="L13" s="580">
        <f t="shared" si="1"/>
        <v>0</v>
      </c>
      <c r="M13" s="580">
        <f t="shared" si="2"/>
        <v>2000</v>
      </c>
      <c r="N13" s="580">
        <f t="shared" si="3"/>
        <v>0</v>
      </c>
      <c r="O13" s="580">
        <f t="shared" si="4"/>
        <v>2000</v>
      </c>
    </row>
    <row r="14" spans="1:15" ht="15" customHeight="1">
      <c r="A14" s="470"/>
      <c r="B14" s="470"/>
      <c r="C14" s="283" t="s">
        <v>728</v>
      </c>
      <c r="D14" s="478" t="s">
        <v>729</v>
      </c>
      <c r="E14" s="368"/>
      <c r="F14" s="368"/>
      <c r="G14" s="286">
        <v>2000</v>
      </c>
      <c r="H14" s="286"/>
      <c r="I14" s="369">
        <f t="shared" si="0"/>
        <v>2000</v>
      </c>
      <c r="J14" s="580"/>
      <c r="K14" s="580"/>
      <c r="L14" s="580">
        <f t="shared" si="1"/>
        <v>0</v>
      </c>
      <c r="M14" s="580">
        <f t="shared" si="2"/>
        <v>2000</v>
      </c>
      <c r="N14" s="580">
        <f t="shared" si="3"/>
        <v>0</v>
      </c>
      <c r="O14" s="580">
        <f t="shared" si="4"/>
        <v>2000</v>
      </c>
    </row>
    <row r="15" spans="1:15" ht="15" customHeight="1">
      <c r="A15" s="470"/>
      <c r="B15" s="470"/>
      <c r="C15" s="283" t="s">
        <v>730</v>
      </c>
      <c r="D15" s="262" t="s">
        <v>731</v>
      </c>
      <c r="E15" s="368"/>
      <c r="F15" s="368"/>
      <c r="G15" s="286">
        <v>1000</v>
      </c>
      <c r="H15" s="286"/>
      <c r="I15" s="369">
        <f t="shared" si="0"/>
        <v>1000</v>
      </c>
      <c r="J15" s="580"/>
      <c r="K15" s="580"/>
      <c r="L15" s="580">
        <f t="shared" si="1"/>
        <v>0</v>
      </c>
      <c r="M15" s="580">
        <f t="shared" si="2"/>
        <v>1000</v>
      </c>
      <c r="N15" s="580">
        <f t="shared" si="3"/>
        <v>0</v>
      </c>
      <c r="O15" s="580">
        <f t="shared" si="4"/>
        <v>1000</v>
      </c>
    </row>
    <row r="16" spans="1:15" ht="15" customHeight="1">
      <c r="A16" s="470"/>
      <c r="B16" s="470"/>
      <c r="C16" s="281" t="s">
        <v>450</v>
      </c>
      <c r="D16" s="282" t="s">
        <v>451</v>
      </c>
      <c r="E16" s="479"/>
      <c r="F16" s="479"/>
      <c r="G16" s="286"/>
      <c r="H16" s="286"/>
      <c r="I16" s="369"/>
      <c r="J16" s="580"/>
      <c r="K16" s="580"/>
      <c r="L16" s="580"/>
      <c r="M16" s="580"/>
      <c r="N16" s="580"/>
      <c r="O16" s="580"/>
    </row>
    <row r="17" spans="1:15" ht="15" customHeight="1">
      <c r="A17" s="470"/>
      <c r="B17" s="470"/>
      <c r="C17" s="283" t="s">
        <v>732</v>
      </c>
      <c r="D17" s="480" t="s">
        <v>733</v>
      </c>
      <c r="E17" s="479"/>
      <c r="F17" s="479"/>
      <c r="G17" s="286">
        <v>20000</v>
      </c>
      <c r="H17" s="286"/>
      <c r="I17" s="369">
        <f aca="true" t="shared" si="5" ref="I17:I23">SUM(G17:H17)</f>
        <v>20000</v>
      </c>
      <c r="J17" s="580"/>
      <c r="K17" s="580"/>
      <c r="L17" s="580">
        <f t="shared" si="1"/>
        <v>0</v>
      </c>
      <c r="M17" s="580">
        <f t="shared" si="2"/>
        <v>20000</v>
      </c>
      <c r="N17" s="580">
        <f t="shared" si="3"/>
        <v>0</v>
      </c>
      <c r="O17" s="580">
        <f t="shared" si="4"/>
        <v>20000</v>
      </c>
    </row>
    <row r="18" spans="1:15" ht="15" customHeight="1">
      <c r="A18" s="470"/>
      <c r="B18" s="470"/>
      <c r="C18" s="283" t="s">
        <v>734</v>
      </c>
      <c r="D18" s="481" t="s">
        <v>735</v>
      </c>
      <c r="E18" s="368"/>
      <c r="F18" s="368"/>
      <c r="G18" s="286">
        <v>2000</v>
      </c>
      <c r="H18" s="286"/>
      <c r="I18" s="369">
        <f t="shared" si="5"/>
        <v>2000</v>
      </c>
      <c r="J18" s="580"/>
      <c r="K18" s="580"/>
      <c r="L18" s="580">
        <f t="shared" si="1"/>
        <v>0</v>
      </c>
      <c r="M18" s="580">
        <f t="shared" si="2"/>
        <v>2000</v>
      </c>
      <c r="N18" s="580">
        <f t="shared" si="3"/>
        <v>0</v>
      </c>
      <c r="O18" s="580">
        <f t="shared" si="4"/>
        <v>2000</v>
      </c>
    </row>
    <row r="19" spans="1:15" ht="15" customHeight="1">
      <c r="A19" s="470"/>
      <c r="B19" s="470"/>
      <c r="C19" s="283" t="s">
        <v>736</v>
      </c>
      <c r="D19" s="482" t="s">
        <v>737</v>
      </c>
      <c r="E19" s="368"/>
      <c r="F19" s="368"/>
      <c r="G19" s="286">
        <v>6000</v>
      </c>
      <c r="H19" s="286"/>
      <c r="I19" s="369">
        <f t="shared" si="5"/>
        <v>6000</v>
      </c>
      <c r="J19" s="580"/>
      <c r="K19" s="580"/>
      <c r="L19" s="580">
        <f t="shared" si="1"/>
        <v>0</v>
      </c>
      <c r="M19" s="580">
        <f t="shared" si="2"/>
        <v>6000</v>
      </c>
      <c r="N19" s="580">
        <f t="shared" si="3"/>
        <v>0</v>
      </c>
      <c r="O19" s="580">
        <f t="shared" si="4"/>
        <v>6000</v>
      </c>
    </row>
    <row r="20" spans="1:15" ht="15" customHeight="1">
      <c r="A20" s="470"/>
      <c r="B20" s="470"/>
      <c r="C20" s="283" t="s">
        <v>738</v>
      </c>
      <c r="D20" s="482" t="s">
        <v>739</v>
      </c>
      <c r="E20" s="368"/>
      <c r="F20" s="368"/>
      <c r="G20" s="286">
        <v>1000</v>
      </c>
      <c r="H20" s="286"/>
      <c r="I20" s="369">
        <f t="shared" si="5"/>
        <v>1000</v>
      </c>
      <c r="J20" s="580"/>
      <c r="K20" s="580"/>
      <c r="L20" s="580">
        <f t="shared" si="1"/>
        <v>0</v>
      </c>
      <c r="M20" s="580">
        <f t="shared" si="2"/>
        <v>1000</v>
      </c>
      <c r="N20" s="580">
        <f t="shared" si="3"/>
        <v>0</v>
      </c>
      <c r="O20" s="580">
        <f t="shared" si="4"/>
        <v>1000</v>
      </c>
    </row>
    <row r="21" spans="1:15" ht="15" customHeight="1">
      <c r="A21" s="470"/>
      <c r="B21" s="470"/>
      <c r="C21" s="283" t="s">
        <v>740</v>
      </c>
      <c r="D21" s="482" t="s">
        <v>741</v>
      </c>
      <c r="E21" s="368"/>
      <c r="F21" s="368"/>
      <c r="G21" s="286">
        <v>1000</v>
      </c>
      <c r="H21" s="286"/>
      <c r="I21" s="369">
        <f t="shared" si="5"/>
        <v>1000</v>
      </c>
      <c r="J21" s="580"/>
      <c r="K21" s="580"/>
      <c r="L21" s="580">
        <f t="shared" si="1"/>
        <v>0</v>
      </c>
      <c r="M21" s="580">
        <f t="shared" si="2"/>
        <v>1000</v>
      </c>
      <c r="N21" s="580">
        <f t="shared" si="3"/>
        <v>0</v>
      </c>
      <c r="O21" s="580">
        <f t="shared" si="4"/>
        <v>1000</v>
      </c>
    </row>
    <row r="22" spans="1:15" ht="15" customHeight="1">
      <c r="A22" s="470"/>
      <c r="B22" s="470"/>
      <c r="C22" s="283" t="s">
        <v>742</v>
      </c>
      <c r="D22" s="482" t="s">
        <v>743</v>
      </c>
      <c r="E22" s="368"/>
      <c r="F22" s="368"/>
      <c r="G22" s="286">
        <v>1000</v>
      </c>
      <c r="H22" s="286"/>
      <c r="I22" s="369">
        <f t="shared" si="5"/>
        <v>1000</v>
      </c>
      <c r="J22" s="580"/>
      <c r="K22" s="580"/>
      <c r="L22" s="580">
        <f t="shared" si="1"/>
        <v>0</v>
      </c>
      <c r="M22" s="580">
        <f t="shared" si="2"/>
        <v>1000</v>
      </c>
      <c r="N22" s="580">
        <f t="shared" si="3"/>
        <v>0</v>
      </c>
      <c r="O22" s="580">
        <f t="shared" si="4"/>
        <v>1000</v>
      </c>
    </row>
    <row r="23" spans="1:15" ht="15" customHeight="1">
      <c r="A23" s="470"/>
      <c r="B23" s="470"/>
      <c r="C23" s="283" t="s">
        <v>742</v>
      </c>
      <c r="D23" s="346" t="s">
        <v>744</v>
      </c>
      <c r="E23" s="483"/>
      <c r="F23" s="483"/>
      <c r="G23" s="318">
        <v>2000</v>
      </c>
      <c r="H23" s="318"/>
      <c r="I23" s="369">
        <f t="shared" si="5"/>
        <v>2000</v>
      </c>
      <c r="J23" s="580"/>
      <c r="K23" s="580"/>
      <c r="L23" s="580">
        <f t="shared" si="1"/>
        <v>0</v>
      </c>
      <c r="M23" s="580">
        <f t="shared" si="2"/>
        <v>2000</v>
      </c>
      <c r="N23" s="580">
        <f t="shared" si="3"/>
        <v>0</v>
      </c>
      <c r="O23" s="580">
        <f t="shared" si="4"/>
        <v>2000</v>
      </c>
    </row>
    <row r="24" spans="1:15" ht="18" customHeight="1">
      <c r="A24" s="470"/>
      <c r="B24" s="470"/>
      <c r="C24" s="281" t="s">
        <v>262</v>
      </c>
      <c r="D24" s="476" t="s">
        <v>889</v>
      </c>
      <c r="E24" s="479"/>
      <c r="F24" s="479"/>
      <c r="G24" s="286"/>
      <c r="H24" s="286"/>
      <c r="I24" s="369"/>
      <c r="J24" s="580"/>
      <c r="K24" s="580"/>
      <c r="L24" s="580"/>
      <c r="M24" s="580"/>
      <c r="N24" s="580"/>
      <c r="O24" s="580"/>
    </row>
    <row r="25" spans="1:15" ht="24.75" customHeight="1">
      <c r="A25" s="470"/>
      <c r="B25" s="470"/>
      <c r="C25" s="283" t="s">
        <v>745</v>
      </c>
      <c r="D25" s="284" t="s">
        <v>746</v>
      </c>
      <c r="E25" s="368"/>
      <c r="F25" s="508" t="s">
        <v>346</v>
      </c>
      <c r="G25" s="286">
        <v>3900</v>
      </c>
      <c r="H25" s="286"/>
      <c r="I25" s="369">
        <f>SUM(G25:H25)</f>
        <v>3900</v>
      </c>
      <c r="J25" s="580">
        <v>200</v>
      </c>
      <c r="K25" s="580"/>
      <c r="L25" s="580">
        <f t="shared" si="1"/>
        <v>200</v>
      </c>
      <c r="M25" s="580">
        <f t="shared" si="2"/>
        <v>4100</v>
      </c>
      <c r="N25" s="580">
        <f t="shared" si="3"/>
        <v>0</v>
      </c>
      <c r="O25" s="580">
        <f t="shared" si="4"/>
        <v>4100</v>
      </c>
    </row>
    <row r="26" spans="1:15" ht="15.75" customHeight="1">
      <c r="A26" s="470"/>
      <c r="B26" s="470"/>
      <c r="C26" s="283" t="s">
        <v>747</v>
      </c>
      <c r="D26" s="482" t="s">
        <v>748</v>
      </c>
      <c r="E26" s="368"/>
      <c r="F26" s="508"/>
      <c r="G26" s="286">
        <v>30000</v>
      </c>
      <c r="H26" s="286"/>
      <c r="I26" s="369">
        <f>SUM(G26:H26)</f>
        <v>30000</v>
      </c>
      <c r="J26" s="580"/>
      <c r="K26" s="580"/>
      <c r="L26" s="580">
        <f t="shared" si="1"/>
        <v>0</v>
      </c>
      <c r="M26" s="580">
        <f t="shared" si="2"/>
        <v>30000</v>
      </c>
      <c r="N26" s="580">
        <f t="shared" si="3"/>
        <v>0</v>
      </c>
      <c r="O26" s="580">
        <f t="shared" si="4"/>
        <v>30000</v>
      </c>
    </row>
    <row r="27" spans="1:15" ht="15.75" customHeight="1">
      <c r="A27" s="470"/>
      <c r="B27" s="470"/>
      <c r="C27" s="283" t="s">
        <v>454</v>
      </c>
      <c r="D27" s="484" t="s">
        <v>107</v>
      </c>
      <c r="E27" s="368"/>
      <c r="F27" s="508"/>
      <c r="G27" s="286"/>
      <c r="H27" s="286"/>
      <c r="I27" s="369"/>
      <c r="J27" s="580"/>
      <c r="K27" s="580"/>
      <c r="L27" s="580"/>
      <c r="M27" s="580"/>
      <c r="N27" s="580"/>
      <c r="O27" s="580"/>
    </row>
    <row r="28" spans="1:15" ht="24.75" customHeight="1">
      <c r="A28" s="470"/>
      <c r="B28" s="470"/>
      <c r="C28" s="474" t="s">
        <v>749</v>
      </c>
      <c r="D28" s="365" t="s">
        <v>750</v>
      </c>
      <c r="E28" s="368"/>
      <c r="F28" s="508"/>
      <c r="G28" s="286">
        <v>28000</v>
      </c>
      <c r="H28" s="286"/>
      <c r="I28" s="369">
        <f>SUM(G28:H28)</f>
        <v>28000</v>
      </c>
      <c r="J28" s="580"/>
      <c r="K28" s="580"/>
      <c r="L28" s="580">
        <f t="shared" si="1"/>
        <v>0</v>
      </c>
      <c r="M28" s="580">
        <f t="shared" si="2"/>
        <v>28000</v>
      </c>
      <c r="N28" s="580">
        <f t="shared" si="3"/>
        <v>0</v>
      </c>
      <c r="O28" s="580">
        <f t="shared" si="4"/>
        <v>28000</v>
      </c>
    </row>
    <row r="29" spans="1:15" ht="16.5" customHeight="1">
      <c r="A29" s="470"/>
      <c r="B29" s="470"/>
      <c r="C29" s="474" t="s">
        <v>751</v>
      </c>
      <c r="D29" s="476" t="s">
        <v>759</v>
      </c>
      <c r="E29" s="368"/>
      <c r="F29" s="508" t="s">
        <v>126</v>
      </c>
      <c r="G29" s="286">
        <v>2500</v>
      </c>
      <c r="H29" s="286"/>
      <c r="I29" s="369">
        <f>SUM(G29:H29)</f>
        <v>2500</v>
      </c>
      <c r="J29" s="580">
        <v>-2500</v>
      </c>
      <c r="K29" s="580">
        <v>2500</v>
      </c>
      <c r="L29" s="580">
        <f t="shared" si="1"/>
        <v>0</v>
      </c>
      <c r="M29" s="580">
        <f t="shared" si="2"/>
        <v>0</v>
      </c>
      <c r="N29" s="580">
        <f t="shared" si="3"/>
        <v>2500</v>
      </c>
      <c r="O29" s="580">
        <f t="shared" si="4"/>
        <v>2500</v>
      </c>
    </row>
    <row r="30" spans="1:15" ht="18.75" customHeight="1">
      <c r="A30" s="470"/>
      <c r="B30" s="470"/>
      <c r="C30" s="485" t="s">
        <v>265</v>
      </c>
      <c r="D30" s="786" t="s">
        <v>105</v>
      </c>
      <c r="E30" s="787"/>
      <c r="F30" s="487"/>
      <c r="G30" s="286"/>
      <c r="H30" s="286"/>
      <c r="I30" s="369"/>
      <c r="J30" s="580"/>
      <c r="K30" s="580"/>
      <c r="L30" s="580"/>
      <c r="M30" s="580"/>
      <c r="N30" s="580"/>
      <c r="O30" s="580"/>
    </row>
    <row r="31" spans="1:15" ht="15" customHeight="1">
      <c r="A31" s="470"/>
      <c r="B31" s="470"/>
      <c r="C31" s="474" t="s">
        <v>760</v>
      </c>
      <c r="D31" s="486" t="s">
        <v>890</v>
      </c>
      <c r="E31" s="487"/>
      <c r="F31" s="487"/>
      <c r="G31" s="286"/>
      <c r="H31" s="286"/>
      <c r="I31" s="369"/>
      <c r="J31" s="580"/>
      <c r="K31" s="580"/>
      <c r="L31" s="580"/>
      <c r="M31" s="580"/>
      <c r="N31" s="580"/>
      <c r="O31" s="580"/>
    </row>
    <row r="32" spans="1:15" ht="16.5" customHeight="1">
      <c r="A32" s="470"/>
      <c r="B32" s="470"/>
      <c r="C32" s="474" t="s">
        <v>761</v>
      </c>
      <c r="D32" s="262" t="s">
        <v>762</v>
      </c>
      <c r="E32" s="368"/>
      <c r="F32" s="508"/>
      <c r="G32" s="286">
        <v>8000</v>
      </c>
      <c r="H32" s="286"/>
      <c r="I32" s="369">
        <f>SUM(G32:H32)</f>
        <v>8000</v>
      </c>
      <c r="J32" s="580"/>
      <c r="K32" s="580"/>
      <c r="L32" s="580">
        <f t="shared" si="1"/>
        <v>0</v>
      </c>
      <c r="M32" s="580">
        <f t="shared" si="2"/>
        <v>8000</v>
      </c>
      <c r="N32" s="580">
        <f t="shared" si="3"/>
        <v>0</v>
      </c>
      <c r="O32" s="580">
        <f t="shared" si="4"/>
        <v>8000</v>
      </c>
    </row>
    <row r="33" spans="1:15" ht="16.5" customHeight="1">
      <c r="A33" s="470"/>
      <c r="B33" s="470"/>
      <c r="C33" s="474" t="s">
        <v>763</v>
      </c>
      <c r="D33" s="488" t="s">
        <v>891</v>
      </c>
      <c r="E33" s="368"/>
      <c r="F33" s="508"/>
      <c r="G33" s="286"/>
      <c r="H33" s="286"/>
      <c r="I33" s="369"/>
      <c r="J33" s="580"/>
      <c r="K33" s="580"/>
      <c r="L33" s="580"/>
      <c r="M33" s="580"/>
      <c r="N33" s="580"/>
      <c r="O33" s="580"/>
    </row>
    <row r="34" spans="1:15" ht="15.75" customHeight="1">
      <c r="A34" s="470"/>
      <c r="B34" s="470"/>
      <c r="C34" s="474" t="s">
        <v>764</v>
      </c>
      <c r="D34" s="262" t="s">
        <v>765</v>
      </c>
      <c r="E34" s="368"/>
      <c r="F34" s="508"/>
      <c r="G34" s="286">
        <v>10000</v>
      </c>
      <c r="H34" s="286"/>
      <c r="I34" s="369">
        <f>SUM(G34:H34)</f>
        <v>10000</v>
      </c>
      <c r="J34" s="580"/>
      <c r="K34" s="580"/>
      <c r="L34" s="580">
        <f t="shared" si="1"/>
        <v>0</v>
      </c>
      <c r="M34" s="580">
        <f t="shared" si="2"/>
        <v>10000</v>
      </c>
      <c r="N34" s="580">
        <f t="shared" si="3"/>
        <v>0</v>
      </c>
      <c r="O34" s="580">
        <f t="shared" si="4"/>
        <v>10000</v>
      </c>
    </row>
    <row r="35" spans="1:15" ht="15.75" customHeight="1">
      <c r="A35" s="470"/>
      <c r="B35" s="470"/>
      <c r="C35" s="474" t="s">
        <v>766</v>
      </c>
      <c r="D35" s="489" t="s">
        <v>767</v>
      </c>
      <c r="E35" s="368"/>
      <c r="F35" s="508"/>
      <c r="G35" s="286">
        <v>1000</v>
      </c>
      <c r="H35" s="286"/>
      <c r="I35" s="369">
        <f>SUM(G35:H35)</f>
        <v>1000</v>
      </c>
      <c r="J35" s="580"/>
      <c r="K35" s="580"/>
      <c r="L35" s="580">
        <f t="shared" si="1"/>
        <v>0</v>
      </c>
      <c r="M35" s="580">
        <f t="shared" si="2"/>
        <v>1000</v>
      </c>
      <c r="N35" s="580">
        <f t="shared" si="3"/>
        <v>0</v>
      </c>
      <c r="O35" s="580">
        <f t="shared" si="4"/>
        <v>1000</v>
      </c>
    </row>
    <row r="36" spans="1:15" ht="21.75" customHeight="1">
      <c r="A36" s="470"/>
      <c r="B36" s="470"/>
      <c r="C36" s="474" t="s">
        <v>768</v>
      </c>
      <c r="D36" s="478" t="s">
        <v>769</v>
      </c>
      <c r="E36" s="368"/>
      <c r="F36" s="508"/>
      <c r="G36" s="286">
        <v>2000</v>
      </c>
      <c r="H36" s="286"/>
      <c r="I36" s="369">
        <f>SUM(G36:H36)</f>
        <v>2000</v>
      </c>
      <c r="J36" s="580"/>
      <c r="K36" s="580"/>
      <c r="L36" s="580">
        <f t="shared" si="1"/>
        <v>0</v>
      </c>
      <c r="M36" s="580">
        <f t="shared" si="2"/>
        <v>2000</v>
      </c>
      <c r="N36" s="580">
        <f t="shared" si="3"/>
        <v>0</v>
      </c>
      <c r="O36" s="580">
        <f t="shared" si="4"/>
        <v>2000</v>
      </c>
    </row>
    <row r="37" spans="1:15" ht="30" customHeight="1">
      <c r="A37" s="470"/>
      <c r="B37" s="470"/>
      <c r="C37" s="474" t="s">
        <v>770</v>
      </c>
      <c r="D37" s="478" t="s">
        <v>771</v>
      </c>
      <c r="E37" s="368"/>
      <c r="F37" s="508"/>
      <c r="G37" s="286">
        <v>2000</v>
      </c>
      <c r="H37" s="286"/>
      <c r="I37" s="369">
        <f>SUM(G37:H37)</f>
        <v>2000</v>
      </c>
      <c r="J37" s="580"/>
      <c r="K37" s="580"/>
      <c r="L37" s="580">
        <f t="shared" si="1"/>
        <v>0</v>
      </c>
      <c r="M37" s="580">
        <f t="shared" si="2"/>
        <v>2000</v>
      </c>
      <c r="N37" s="580">
        <f t="shared" si="3"/>
        <v>0</v>
      </c>
      <c r="O37" s="580">
        <f t="shared" si="4"/>
        <v>2000</v>
      </c>
    </row>
    <row r="38" spans="1:15" ht="15.75" customHeight="1">
      <c r="A38" s="470"/>
      <c r="B38" s="470"/>
      <c r="C38" s="485" t="s">
        <v>772</v>
      </c>
      <c r="D38" s="475" t="s">
        <v>892</v>
      </c>
      <c r="E38" s="368"/>
      <c r="F38" s="508"/>
      <c r="G38" s="286"/>
      <c r="H38" s="286"/>
      <c r="I38" s="369"/>
      <c r="J38" s="580"/>
      <c r="K38" s="580"/>
      <c r="L38" s="580"/>
      <c r="M38" s="580"/>
      <c r="N38" s="580"/>
      <c r="O38" s="580"/>
    </row>
    <row r="39" spans="1:15" ht="15.75" customHeight="1">
      <c r="A39" s="470"/>
      <c r="B39" s="470"/>
      <c r="C39" s="474" t="s">
        <v>773</v>
      </c>
      <c r="D39" s="476" t="s">
        <v>774</v>
      </c>
      <c r="E39" s="368"/>
      <c r="F39" s="508"/>
      <c r="G39" s="286">
        <v>5000</v>
      </c>
      <c r="H39" s="286"/>
      <c r="I39" s="369">
        <f>SUM(G39:H39)</f>
        <v>5000</v>
      </c>
      <c r="J39" s="580"/>
      <c r="K39" s="580"/>
      <c r="L39" s="580">
        <f t="shared" si="1"/>
        <v>0</v>
      </c>
      <c r="M39" s="580">
        <f t="shared" si="2"/>
        <v>5000</v>
      </c>
      <c r="N39" s="580">
        <f t="shared" si="3"/>
        <v>0</v>
      </c>
      <c r="O39" s="580">
        <f t="shared" si="4"/>
        <v>5000</v>
      </c>
    </row>
    <row r="40" spans="1:15" ht="15.75" customHeight="1">
      <c r="A40" s="470"/>
      <c r="B40" s="470"/>
      <c r="C40" s="283" t="s">
        <v>775</v>
      </c>
      <c r="D40" s="488" t="s">
        <v>468</v>
      </c>
      <c r="E40" s="479"/>
      <c r="F40" s="710"/>
      <c r="G40" s="286"/>
      <c r="H40" s="286"/>
      <c r="I40" s="369"/>
      <c r="J40" s="580"/>
      <c r="K40" s="580"/>
      <c r="L40" s="580">
        <f t="shared" si="1"/>
        <v>0</v>
      </c>
      <c r="M40" s="580">
        <f t="shared" si="2"/>
        <v>0</v>
      </c>
      <c r="N40" s="580">
        <f t="shared" si="3"/>
        <v>0</v>
      </c>
      <c r="O40" s="580">
        <f t="shared" si="4"/>
        <v>0</v>
      </c>
    </row>
    <row r="41" spans="1:15" ht="21" customHeight="1">
      <c r="A41" s="470"/>
      <c r="B41" s="470"/>
      <c r="C41" s="470" t="s">
        <v>469</v>
      </c>
      <c r="D41" s="490" t="s">
        <v>776</v>
      </c>
      <c r="E41" s="491"/>
      <c r="F41" s="491"/>
      <c r="G41" s="286"/>
      <c r="H41" s="286">
        <v>21000</v>
      </c>
      <c r="I41" s="369">
        <f>SUM(G41:H41)</f>
        <v>21000</v>
      </c>
      <c r="J41" s="580"/>
      <c r="K41" s="580"/>
      <c r="L41" s="580">
        <f t="shared" si="1"/>
        <v>0</v>
      </c>
      <c r="M41" s="580">
        <f t="shared" si="2"/>
        <v>0</v>
      </c>
      <c r="N41" s="580">
        <f t="shared" si="3"/>
        <v>21000</v>
      </c>
      <c r="O41" s="580">
        <f t="shared" si="4"/>
        <v>21000</v>
      </c>
    </row>
    <row r="42" spans="1:15" ht="15" customHeight="1">
      <c r="A42" s="470"/>
      <c r="B42" s="470"/>
      <c r="C42" s="470" t="s">
        <v>471</v>
      </c>
      <c r="D42" s="490" t="s">
        <v>777</v>
      </c>
      <c r="E42" s="492"/>
      <c r="F42" s="492"/>
      <c r="G42" s="276">
        <v>1072</v>
      </c>
      <c r="H42" s="276"/>
      <c r="I42" s="369">
        <f>SUM(G42:H42)</f>
        <v>1072</v>
      </c>
      <c r="J42" s="580"/>
      <c r="K42" s="580"/>
      <c r="L42" s="580">
        <f t="shared" si="1"/>
        <v>0</v>
      </c>
      <c r="M42" s="580">
        <f t="shared" si="2"/>
        <v>1072</v>
      </c>
      <c r="N42" s="580">
        <f t="shared" si="3"/>
        <v>0</v>
      </c>
      <c r="O42" s="580">
        <f t="shared" si="4"/>
        <v>1072</v>
      </c>
    </row>
    <row r="43" spans="1:15" ht="15" customHeight="1">
      <c r="A43" s="470"/>
      <c r="B43" s="470"/>
      <c r="C43" s="470" t="s">
        <v>472</v>
      </c>
      <c r="D43" s="493" t="s">
        <v>778</v>
      </c>
      <c r="E43" s="492"/>
      <c r="F43" s="724" t="s">
        <v>346</v>
      </c>
      <c r="G43" s="276">
        <v>38723</v>
      </c>
      <c r="H43" s="276"/>
      <c r="I43" s="369">
        <f>SUM(G43:H43)</f>
        <v>38723</v>
      </c>
      <c r="J43" s="580">
        <v>-200</v>
      </c>
      <c r="K43" s="580"/>
      <c r="L43" s="580">
        <f t="shared" si="1"/>
        <v>-200</v>
      </c>
      <c r="M43" s="580">
        <f t="shared" si="2"/>
        <v>38523</v>
      </c>
      <c r="N43" s="580">
        <f t="shared" si="3"/>
        <v>0</v>
      </c>
      <c r="O43" s="580">
        <f t="shared" si="4"/>
        <v>38523</v>
      </c>
    </row>
    <row r="44" spans="1:15" ht="13.5" customHeight="1">
      <c r="A44" s="494"/>
      <c r="B44" s="494"/>
      <c r="C44" s="494"/>
      <c r="D44" s="495" t="s">
        <v>1030</v>
      </c>
      <c r="E44" s="496"/>
      <c r="F44" s="711"/>
      <c r="G44" s="497">
        <f>SUM(G7:G43)</f>
        <v>207195</v>
      </c>
      <c r="H44" s="497">
        <f>SUM(H41:H43)</f>
        <v>21000</v>
      </c>
      <c r="I44" s="498">
        <f>SUM(G44:H44)</f>
        <v>228195</v>
      </c>
      <c r="J44" s="722">
        <f>SUM(J7:J43)</f>
        <v>-2500</v>
      </c>
      <c r="K44" s="722">
        <f>SUM(K7:K43)</f>
        <v>2500</v>
      </c>
      <c r="L44" s="722">
        <f t="shared" si="1"/>
        <v>0</v>
      </c>
      <c r="M44" s="722">
        <f t="shared" si="2"/>
        <v>204695</v>
      </c>
      <c r="N44" s="722">
        <f t="shared" si="3"/>
        <v>23500</v>
      </c>
      <c r="O44" s="722">
        <f t="shared" si="4"/>
        <v>228195</v>
      </c>
    </row>
    <row r="45" spans="1:15" ht="12.75" customHeight="1">
      <c r="A45" s="499">
        <v>1</v>
      </c>
      <c r="B45" s="499">
        <v>15</v>
      </c>
      <c r="C45" s="499"/>
      <c r="D45" s="314" t="s">
        <v>332</v>
      </c>
      <c r="E45" s="368"/>
      <c r="F45" s="508"/>
      <c r="G45" s="287"/>
      <c r="H45" s="287"/>
      <c r="I45" s="288"/>
      <c r="J45" s="580"/>
      <c r="K45" s="580"/>
      <c r="L45" s="580"/>
      <c r="M45" s="580"/>
      <c r="N45" s="580"/>
      <c r="O45" s="580"/>
    </row>
    <row r="46" spans="1:15" ht="12.75" customHeight="1">
      <c r="A46" s="499"/>
      <c r="B46" s="499"/>
      <c r="C46" s="500">
        <v>1</v>
      </c>
      <c r="D46" s="466" t="s">
        <v>139</v>
      </c>
      <c r="E46" s="368"/>
      <c r="F46" s="508"/>
      <c r="G46" s="287"/>
      <c r="H46" s="287"/>
      <c r="I46" s="288"/>
      <c r="J46" s="580"/>
      <c r="K46" s="580"/>
      <c r="L46" s="580"/>
      <c r="M46" s="580"/>
      <c r="N46" s="580"/>
      <c r="O46" s="580"/>
    </row>
    <row r="47" spans="1:15" ht="12.75" customHeight="1">
      <c r="A47" s="499"/>
      <c r="B47" s="499"/>
      <c r="C47" s="500" t="s">
        <v>260</v>
      </c>
      <c r="D47" s="367" t="s">
        <v>779</v>
      </c>
      <c r="E47" s="368"/>
      <c r="F47" s="508"/>
      <c r="G47" s="286">
        <v>6000</v>
      </c>
      <c r="H47" s="286"/>
      <c r="I47" s="369">
        <f>SUM(G47:H47)</f>
        <v>6000</v>
      </c>
      <c r="J47" s="580"/>
      <c r="K47" s="580"/>
      <c r="L47" s="580">
        <f t="shared" si="1"/>
        <v>0</v>
      </c>
      <c r="M47" s="580">
        <f t="shared" si="2"/>
        <v>6000</v>
      </c>
      <c r="N47" s="580">
        <f t="shared" si="3"/>
        <v>0</v>
      </c>
      <c r="O47" s="580">
        <f t="shared" si="4"/>
        <v>6000</v>
      </c>
    </row>
    <row r="48" spans="1:15" ht="12.75" customHeight="1">
      <c r="A48" s="499"/>
      <c r="B48" s="499"/>
      <c r="C48" s="500" t="s">
        <v>261</v>
      </c>
      <c r="D48" s="501" t="s">
        <v>780</v>
      </c>
      <c r="E48" s="368"/>
      <c r="F48" s="508"/>
      <c r="G48" s="286">
        <v>2000</v>
      </c>
      <c r="H48" s="286"/>
      <c r="I48" s="369">
        <f>SUM(G48:H48)</f>
        <v>2000</v>
      </c>
      <c r="J48" s="580"/>
      <c r="K48" s="580"/>
      <c r="L48" s="580">
        <f t="shared" si="1"/>
        <v>0</v>
      </c>
      <c r="M48" s="580">
        <f t="shared" si="2"/>
        <v>2000</v>
      </c>
      <c r="N48" s="580">
        <f t="shared" si="3"/>
        <v>0</v>
      </c>
      <c r="O48" s="580">
        <f t="shared" si="4"/>
        <v>2000</v>
      </c>
    </row>
    <row r="49" spans="1:15" ht="12.75" customHeight="1">
      <c r="A49" s="499"/>
      <c r="B49" s="499"/>
      <c r="C49" s="500" t="s">
        <v>262</v>
      </c>
      <c r="D49" s="367" t="s">
        <v>781</v>
      </c>
      <c r="E49" s="368"/>
      <c r="F49" s="508"/>
      <c r="G49" s="286">
        <v>2000</v>
      </c>
      <c r="H49" s="286"/>
      <c r="I49" s="369">
        <f>SUM(G49:H49)</f>
        <v>2000</v>
      </c>
      <c r="J49" s="580"/>
      <c r="K49" s="580"/>
      <c r="L49" s="580">
        <f t="shared" si="1"/>
        <v>0</v>
      </c>
      <c r="M49" s="580">
        <f t="shared" si="2"/>
        <v>2000</v>
      </c>
      <c r="N49" s="580">
        <f t="shared" si="3"/>
        <v>0</v>
      </c>
      <c r="O49" s="580">
        <f t="shared" si="4"/>
        <v>2000</v>
      </c>
    </row>
    <row r="50" spans="1:15" ht="12.75" customHeight="1">
      <c r="A50" s="499"/>
      <c r="B50" s="499"/>
      <c r="C50" s="500"/>
      <c r="D50" s="502" t="s">
        <v>468</v>
      </c>
      <c r="E50" s="368"/>
      <c r="F50" s="508"/>
      <c r="G50" s="287"/>
      <c r="H50" s="287"/>
      <c r="I50" s="288"/>
      <c r="J50" s="580"/>
      <c r="K50" s="580"/>
      <c r="L50" s="580">
        <f t="shared" si="1"/>
        <v>0</v>
      </c>
      <c r="M50" s="580">
        <f t="shared" si="2"/>
        <v>0</v>
      </c>
      <c r="N50" s="580">
        <f t="shared" si="3"/>
        <v>0</v>
      </c>
      <c r="O50" s="580">
        <f t="shared" si="4"/>
        <v>0</v>
      </c>
    </row>
    <row r="51" spans="1:15" ht="12.75" customHeight="1">
      <c r="A51" s="499"/>
      <c r="B51" s="499"/>
      <c r="C51" s="503" t="s">
        <v>130</v>
      </c>
      <c r="D51" s="504" t="s">
        <v>782</v>
      </c>
      <c r="E51" s="368"/>
      <c r="F51" s="508" t="s">
        <v>126</v>
      </c>
      <c r="G51" s="286">
        <v>10344</v>
      </c>
      <c r="H51" s="286"/>
      <c r="I51" s="369">
        <f aca="true" t="shared" si="6" ref="I51:I82">SUM(G51:H51)</f>
        <v>10344</v>
      </c>
      <c r="J51" s="580">
        <v>-2125</v>
      </c>
      <c r="K51" s="580"/>
      <c r="L51" s="580">
        <f t="shared" si="1"/>
        <v>-2125</v>
      </c>
      <c r="M51" s="580">
        <f t="shared" si="2"/>
        <v>8219</v>
      </c>
      <c r="N51" s="580">
        <f t="shared" si="3"/>
        <v>0</v>
      </c>
      <c r="O51" s="580">
        <f t="shared" si="4"/>
        <v>8219</v>
      </c>
    </row>
    <row r="52" spans="1:15" ht="12.75" customHeight="1">
      <c r="A52" s="499"/>
      <c r="B52" s="499"/>
      <c r="C52" s="503" t="s">
        <v>166</v>
      </c>
      <c r="D52" s="321" t="s">
        <v>40</v>
      </c>
      <c r="E52" s="315"/>
      <c r="F52" s="712"/>
      <c r="G52" s="318">
        <v>1300</v>
      </c>
      <c r="H52" s="318"/>
      <c r="I52" s="369">
        <f t="shared" si="6"/>
        <v>1300</v>
      </c>
      <c r="J52" s="580"/>
      <c r="K52" s="580"/>
      <c r="L52" s="580">
        <f t="shared" si="1"/>
        <v>0</v>
      </c>
      <c r="M52" s="580">
        <f t="shared" si="2"/>
        <v>1300</v>
      </c>
      <c r="N52" s="580">
        <f t="shared" si="3"/>
        <v>0</v>
      </c>
      <c r="O52" s="580">
        <f t="shared" si="4"/>
        <v>1300</v>
      </c>
    </row>
    <row r="53" spans="1:15" ht="12.75" customHeight="1">
      <c r="A53" s="499"/>
      <c r="B53" s="499"/>
      <c r="C53" s="503" t="s">
        <v>167</v>
      </c>
      <c r="D53" s="321" t="s">
        <v>39</v>
      </c>
      <c r="E53" s="315"/>
      <c r="F53" s="712"/>
      <c r="G53" s="318">
        <v>1800</v>
      </c>
      <c r="H53" s="318"/>
      <c r="I53" s="369">
        <f t="shared" si="6"/>
        <v>1800</v>
      </c>
      <c r="J53" s="580"/>
      <c r="K53" s="580"/>
      <c r="L53" s="580">
        <f t="shared" si="1"/>
        <v>0</v>
      </c>
      <c r="M53" s="580">
        <f t="shared" si="2"/>
        <v>1800</v>
      </c>
      <c r="N53" s="580">
        <f t="shared" si="3"/>
        <v>0</v>
      </c>
      <c r="O53" s="580">
        <f t="shared" si="4"/>
        <v>1800</v>
      </c>
    </row>
    <row r="54" spans="1:15" ht="24.75" customHeight="1">
      <c r="A54" s="499"/>
      <c r="B54" s="499"/>
      <c r="C54" s="503" t="s">
        <v>168</v>
      </c>
      <c r="D54" s="505" t="s">
        <v>41</v>
      </c>
      <c r="E54" s="368"/>
      <c r="F54" s="508"/>
      <c r="G54" s="286">
        <v>790</v>
      </c>
      <c r="H54" s="286"/>
      <c r="I54" s="369">
        <f t="shared" si="6"/>
        <v>790</v>
      </c>
      <c r="J54" s="580"/>
      <c r="K54" s="580"/>
      <c r="L54" s="580">
        <f t="shared" si="1"/>
        <v>0</v>
      </c>
      <c r="M54" s="580">
        <f t="shared" si="2"/>
        <v>790</v>
      </c>
      <c r="N54" s="580">
        <f t="shared" si="3"/>
        <v>0</v>
      </c>
      <c r="O54" s="580">
        <f t="shared" si="4"/>
        <v>790</v>
      </c>
    </row>
    <row r="55" spans="1:15" ht="12.75" customHeight="1">
      <c r="A55" s="499"/>
      <c r="B55" s="499"/>
      <c r="C55" s="506" t="s">
        <v>267</v>
      </c>
      <c r="D55" s="507" t="s">
        <v>85</v>
      </c>
      <c r="E55" s="368"/>
      <c r="F55" s="508"/>
      <c r="G55" s="287"/>
      <c r="H55" s="287"/>
      <c r="I55" s="369"/>
      <c r="J55" s="580"/>
      <c r="K55" s="580"/>
      <c r="L55" s="580"/>
      <c r="M55" s="580"/>
      <c r="N55" s="580"/>
      <c r="O55" s="580"/>
    </row>
    <row r="56" spans="1:15" ht="12.75" customHeight="1">
      <c r="A56" s="499"/>
      <c r="B56" s="499"/>
      <c r="C56" s="470" t="s">
        <v>273</v>
      </c>
      <c r="D56" s="327" t="s">
        <v>200</v>
      </c>
      <c r="E56" s="508"/>
      <c r="F56" s="508"/>
      <c r="G56" s="286">
        <v>5000</v>
      </c>
      <c r="H56" s="287"/>
      <c r="I56" s="369">
        <f t="shared" si="6"/>
        <v>5000</v>
      </c>
      <c r="J56" s="580"/>
      <c r="K56" s="580"/>
      <c r="L56" s="580">
        <f t="shared" si="1"/>
        <v>0</v>
      </c>
      <c r="M56" s="580">
        <f t="shared" si="2"/>
        <v>5000</v>
      </c>
      <c r="N56" s="580">
        <f t="shared" si="3"/>
        <v>0</v>
      </c>
      <c r="O56" s="580">
        <f t="shared" si="4"/>
        <v>5000</v>
      </c>
    </row>
    <row r="57" spans="1:15" ht="12.75" customHeight="1">
      <c r="A57" s="499"/>
      <c r="B57" s="499"/>
      <c r="C57" s="470" t="s">
        <v>274</v>
      </c>
      <c r="D57" s="509" t="s">
        <v>783</v>
      </c>
      <c r="E57" s="508"/>
      <c r="F57" s="508"/>
      <c r="G57" s="286">
        <v>33000</v>
      </c>
      <c r="H57" s="287"/>
      <c r="I57" s="369">
        <f t="shared" si="6"/>
        <v>33000</v>
      </c>
      <c r="J57" s="580"/>
      <c r="K57" s="580"/>
      <c r="L57" s="580">
        <f t="shared" si="1"/>
        <v>0</v>
      </c>
      <c r="M57" s="580">
        <f t="shared" si="2"/>
        <v>33000</v>
      </c>
      <c r="N57" s="580">
        <f t="shared" si="3"/>
        <v>0</v>
      </c>
      <c r="O57" s="580">
        <f t="shared" si="4"/>
        <v>33000</v>
      </c>
    </row>
    <row r="58" spans="1:15" ht="12.75" customHeight="1">
      <c r="A58" s="499"/>
      <c r="B58" s="499"/>
      <c r="C58" s="470" t="s">
        <v>275</v>
      </c>
      <c r="D58" s="338" t="s">
        <v>893</v>
      </c>
      <c r="E58" s="508"/>
      <c r="F58" s="508"/>
      <c r="G58" s="286">
        <v>10000</v>
      </c>
      <c r="H58" s="287"/>
      <c r="I58" s="369">
        <f t="shared" si="6"/>
        <v>10000</v>
      </c>
      <c r="J58" s="580"/>
      <c r="K58" s="580"/>
      <c r="L58" s="580">
        <f t="shared" si="1"/>
        <v>0</v>
      </c>
      <c r="M58" s="580">
        <f t="shared" si="2"/>
        <v>10000</v>
      </c>
      <c r="N58" s="580">
        <f t="shared" si="3"/>
        <v>0</v>
      </c>
      <c r="O58" s="580">
        <f t="shared" si="4"/>
        <v>10000</v>
      </c>
    </row>
    <row r="59" spans="1:15" ht="12.75" customHeight="1">
      <c r="A59" s="499"/>
      <c r="B59" s="499"/>
      <c r="C59" s="470" t="s">
        <v>276</v>
      </c>
      <c r="D59" s="338" t="s">
        <v>784</v>
      </c>
      <c r="E59" s="508"/>
      <c r="F59" s="508"/>
      <c r="G59" s="286">
        <v>15770</v>
      </c>
      <c r="H59" s="287"/>
      <c r="I59" s="369">
        <f t="shared" si="6"/>
        <v>15770</v>
      </c>
      <c r="J59" s="580"/>
      <c r="K59" s="580"/>
      <c r="L59" s="580">
        <f t="shared" si="1"/>
        <v>0</v>
      </c>
      <c r="M59" s="580">
        <f t="shared" si="2"/>
        <v>15770</v>
      </c>
      <c r="N59" s="580">
        <f t="shared" si="3"/>
        <v>0</v>
      </c>
      <c r="O59" s="580">
        <f t="shared" si="4"/>
        <v>15770</v>
      </c>
    </row>
    <row r="60" spans="1:15" ht="12.75" customHeight="1">
      <c r="A60" s="499"/>
      <c r="B60" s="499"/>
      <c r="C60" s="470" t="s">
        <v>277</v>
      </c>
      <c r="D60" s="338" t="s">
        <v>785</v>
      </c>
      <c r="E60" s="508"/>
      <c r="F60" s="508"/>
      <c r="G60" s="286">
        <v>15500</v>
      </c>
      <c r="H60" s="287"/>
      <c r="I60" s="369">
        <f t="shared" si="6"/>
        <v>15500</v>
      </c>
      <c r="J60" s="580"/>
      <c r="K60" s="580"/>
      <c r="L60" s="580">
        <f t="shared" si="1"/>
        <v>0</v>
      </c>
      <c r="M60" s="580">
        <f t="shared" si="2"/>
        <v>15500</v>
      </c>
      <c r="N60" s="580">
        <f t="shared" si="3"/>
        <v>0</v>
      </c>
      <c r="O60" s="580">
        <f t="shared" si="4"/>
        <v>15500</v>
      </c>
    </row>
    <row r="61" spans="1:15" ht="12.75" customHeight="1">
      <c r="A61" s="499"/>
      <c r="B61" s="499"/>
      <c r="C61" s="470" t="s">
        <v>278</v>
      </c>
      <c r="D61" s="509" t="s">
        <v>786</v>
      </c>
      <c r="E61" s="508"/>
      <c r="F61" s="508"/>
      <c r="G61" s="286">
        <v>14000</v>
      </c>
      <c r="H61" s="287"/>
      <c r="I61" s="369">
        <f t="shared" si="6"/>
        <v>14000</v>
      </c>
      <c r="J61" s="580"/>
      <c r="K61" s="580"/>
      <c r="L61" s="580">
        <f t="shared" si="1"/>
        <v>0</v>
      </c>
      <c r="M61" s="580">
        <f t="shared" si="2"/>
        <v>14000</v>
      </c>
      <c r="N61" s="580">
        <f t="shared" si="3"/>
        <v>0</v>
      </c>
      <c r="O61" s="580">
        <f t="shared" si="4"/>
        <v>14000</v>
      </c>
    </row>
    <row r="62" spans="1:15" ht="12.75" customHeight="1">
      <c r="A62" s="499"/>
      <c r="B62" s="499"/>
      <c r="C62" s="470" t="s">
        <v>279</v>
      </c>
      <c r="D62" s="338" t="s">
        <v>787</v>
      </c>
      <c r="E62" s="508"/>
      <c r="F62" s="508"/>
      <c r="G62" s="286">
        <v>3000</v>
      </c>
      <c r="H62" s="287"/>
      <c r="I62" s="369">
        <f t="shared" si="6"/>
        <v>3000</v>
      </c>
      <c r="J62" s="580"/>
      <c r="K62" s="580"/>
      <c r="L62" s="580">
        <f t="shared" si="1"/>
        <v>0</v>
      </c>
      <c r="M62" s="580">
        <f t="shared" si="2"/>
        <v>3000</v>
      </c>
      <c r="N62" s="580">
        <f t="shared" si="3"/>
        <v>0</v>
      </c>
      <c r="O62" s="580">
        <f t="shared" si="4"/>
        <v>3000</v>
      </c>
    </row>
    <row r="63" spans="1:15" ht="12.75" customHeight="1">
      <c r="A63" s="499"/>
      <c r="B63" s="499"/>
      <c r="C63" s="470" t="s">
        <v>301</v>
      </c>
      <c r="D63" s="338" t="s">
        <v>193</v>
      </c>
      <c r="E63" s="508"/>
      <c r="F63" s="508"/>
      <c r="G63" s="286">
        <v>5000</v>
      </c>
      <c r="H63" s="287"/>
      <c r="I63" s="369">
        <f t="shared" si="6"/>
        <v>5000</v>
      </c>
      <c r="J63" s="580"/>
      <c r="K63" s="580"/>
      <c r="L63" s="580">
        <f t="shared" si="1"/>
        <v>0</v>
      </c>
      <c r="M63" s="580">
        <f t="shared" si="2"/>
        <v>5000</v>
      </c>
      <c r="N63" s="580">
        <f t="shared" si="3"/>
        <v>0</v>
      </c>
      <c r="O63" s="580">
        <f t="shared" si="4"/>
        <v>5000</v>
      </c>
    </row>
    <row r="64" spans="1:15" ht="12.75" customHeight="1">
      <c r="A64" s="499"/>
      <c r="B64" s="499"/>
      <c r="C64" s="470" t="s">
        <v>302</v>
      </c>
      <c r="D64" s="338" t="s">
        <v>788</v>
      </c>
      <c r="E64" s="508"/>
      <c r="F64" s="508" t="s">
        <v>126</v>
      </c>
      <c r="G64" s="286">
        <v>5000</v>
      </c>
      <c r="H64" s="287"/>
      <c r="I64" s="369">
        <f t="shared" si="6"/>
        <v>5000</v>
      </c>
      <c r="J64" s="580">
        <v>4564</v>
      </c>
      <c r="K64" s="580"/>
      <c r="L64" s="580">
        <f t="shared" si="1"/>
        <v>4564</v>
      </c>
      <c r="M64" s="580">
        <f t="shared" si="2"/>
        <v>9564</v>
      </c>
      <c r="N64" s="580">
        <f t="shared" si="3"/>
        <v>0</v>
      </c>
      <c r="O64" s="580">
        <f t="shared" si="4"/>
        <v>9564</v>
      </c>
    </row>
    <row r="65" spans="1:15" ht="12.75" customHeight="1">
      <c r="A65" s="499"/>
      <c r="B65" s="499"/>
      <c r="C65" s="470" t="s">
        <v>303</v>
      </c>
      <c r="D65" s="338" t="s">
        <v>789</v>
      </c>
      <c r="E65" s="508"/>
      <c r="F65" s="508"/>
      <c r="G65" s="286">
        <v>5000</v>
      </c>
      <c r="H65" s="287"/>
      <c r="I65" s="369">
        <f t="shared" si="6"/>
        <v>5000</v>
      </c>
      <c r="J65" s="580"/>
      <c r="K65" s="580"/>
      <c r="L65" s="580">
        <f t="shared" si="1"/>
        <v>0</v>
      </c>
      <c r="M65" s="580">
        <f t="shared" si="2"/>
        <v>5000</v>
      </c>
      <c r="N65" s="580">
        <f t="shared" si="3"/>
        <v>0</v>
      </c>
      <c r="O65" s="580">
        <f t="shared" si="4"/>
        <v>5000</v>
      </c>
    </row>
    <row r="66" spans="1:15" ht="12.75" customHeight="1">
      <c r="A66" s="499"/>
      <c r="B66" s="499"/>
      <c r="C66" s="470" t="s">
        <v>304</v>
      </c>
      <c r="D66" s="338" t="s">
        <v>790</v>
      </c>
      <c r="E66" s="508"/>
      <c r="F66" s="508"/>
      <c r="G66" s="286">
        <v>4000</v>
      </c>
      <c r="H66" s="287"/>
      <c r="I66" s="369">
        <f t="shared" si="6"/>
        <v>4000</v>
      </c>
      <c r="J66" s="580"/>
      <c r="K66" s="580"/>
      <c r="L66" s="580">
        <f t="shared" si="1"/>
        <v>0</v>
      </c>
      <c r="M66" s="580">
        <f t="shared" si="2"/>
        <v>4000</v>
      </c>
      <c r="N66" s="580">
        <f t="shared" si="3"/>
        <v>0</v>
      </c>
      <c r="O66" s="580">
        <f t="shared" si="4"/>
        <v>4000</v>
      </c>
    </row>
    <row r="67" spans="1:15" ht="12.75" customHeight="1">
      <c r="A67" s="499"/>
      <c r="B67" s="499"/>
      <c r="C67" s="470" t="s">
        <v>305</v>
      </c>
      <c r="D67" s="327" t="s">
        <v>791</v>
      </c>
      <c r="E67" s="508"/>
      <c r="F67" s="508"/>
      <c r="G67" s="286">
        <v>4000</v>
      </c>
      <c r="H67" s="287"/>
      <c r="I67" s="369">
        <f t="shared" si="6"/>
        <v>4000</v>
      </c>
      <c r="J67" s="580"/>
      <c r="K67" s="580"/>
      <c r="L67" s="580">
        <f t="shared" si="1"/>
        <v>0</v>
      </c>
      <c r="M67" s="580">
        <f t="shared" si="2"/>
        <v>4000</v>
      </c>
      <c r="N67" s="580">
        <f t="shared" si="3"/>
        <v>0</v>
      </c>
      <c r="O67" s="580">
        <f t="shared" si="4"/>
        <v>4000</v>
      </c>
    </row>
    <row r="68" spans="1:15" ht="12.75" customHeight="1">
      <c r="A68" s="499"/>
      <c r="B68" s="499"/>
      <c r="C68" s="470" t="s">
        <v>306</v>
      </c>
      <c r="D68" s="509" t="s">
        <v>792</v>
      </c>
      <c r="E68" s="508"/>
      <c r="F68" s="508"/>
      <c r="G68" s="286">
        <v>4000</v>
      </c>
      <c r="H68" s="287"/>
      <c r="I68" s="369">
        <f t="shared" si="6"/>
        <v>4000</v>
      </c>
      <c r="J68" s="580"/>
      <c r="K68" s="580"/>
      <c r="L68" s="580">
        <f t="shared" si="1"/>
        <v>0</v>
      </c>
      <c r="M68" s="580">
        <f t="shared" si="2"/>
        <v>4000</v>
      </c>
      <c r="N68" s="580">
        <f t="shared" si="3"/>
        <v>0</v>
      </c>
      <c r="O68" s="580">
        <f t="shared" si="4"/>
        <v>4000</v>
      </c>
    </row>
    <row r="69" spans="1:15" ht="12.75" customHeight="1">
      <c r="A69" s="499"/>
      <c r="B69" s="499"/>
      <c r="C69" s="470" t="s">
        <v>307</v>
      </c>
      <c r="D69" s="327" t="s">
        <v>793</v>
      </c>
      <c r="E69" s="508"/>
      <c r="F69" s="508"/>
      <c r="G69" s="286">
        <v>3000</v>
      </c>
      <c r="H69" s="287"/>
      <c r="I69" s="369">
        <f t="shared" si="6"/>
        <v>3000</v>
      </c>
      <c r="J69" s="580"/>
      <c r="K69" s="580"/>
      <c r="L69" s="580">
        <f t="shared" si="1"/>
        <v>0</v>
      </c>
      <c r="M69" s="580">
        <f t="shared" si="2"/>
        <v>3000</v>
      </c>
      <c r="N69" s="580">
        <f t="shared" si="3"/>
        <v>0</v>
      </c>
      <c r="O69" s="580">
        <f t="shared" si="4"/>
        <v>3000</v>
      </c>
    </row>
    <row r="70" spans="1:15" ht="12.75" customHeight="1">
      <c r="A70" s="499"/>
      <c r="B70" s="499"/>
      <c r="C70" s="470" t="s">
        <v>308</v>
      </c>
      <c r="D70" s="338" t="s">
        <v>794</v>
      </c>
      <c r="E70" s="508"/>
      <c r="F70" s="508"/>
      <c r="G70" s="286">
        <v>2000</v>
      </c>
      <c r="H70" s="287"/>
      <c r="I70" s="369">
        <f t="shared" si="6"/>
        <v>2000</v>
      </c>
      <c r="J70" s="580"/>
      <c r="K70" s="580"/>
      <c r="L70" s="580">
        <f t="shared" si="1"/>
        <v>0</v>
      </c>
      <c r="M70" s="580">
        <f t="shared" si="2"/>
        <v>2000</v>
      </c>
      <c r="N70" s="580">
        <f t="shared" si="3"/>
        <v>0</v>
      </c>
      <c r="O70" s="580">
        <f t="shared" si="4"/>
        <v>2000</v>
      </c>
    </row>
    <row r="71" spans="1:15" ht="12.75" customHeight="1">
      <c r="A71" s="499"/>
      <c r="B71" s="499"/>
      <c r="C71" s="470" t="s">
        <v>251</v>
      </c>
      <c r="D71" s="338" t="s">
        <v>795</v>
      </c>
      <c r="E71" s="508"/>
      <c r="F71" s="508"/>
      <c r="G71" s="286">
        <v>5000</v>
      </c>
      <c r="H71" s="287"/>
      <c r="I71" s="369">
        <f t="shared" si="6"/>
        <v>5000</v>
      </c>
      <c r="J71" s="580"/>
      <c r="K71" s="580"/>
      <c r="L71" s="580">
        <f t="shared" si="1"/>
        <v>0</v>
      </c>
      <c r="M71" s="580">
        <f t="shared" si="2"/>
        <v>5000</v>
      </c>
      <c r="N71" s="580">
        <f t="shared" si="3"/>
        <v>0</v>
      </c>
      <c r="O71" s="580">
        <f t="shared" si="4"/>
        <v>5000</v>
      </c>
    </row>
    <row r="72" spans="1:15" ht="12.75" customHeight="1">
      <c r="A72" s="499"/>
      <c r="B72" s="499"/>
      <c r="C72" s="470" t="s">
        <v>252</v>
      </c>
      <c r="D72" s="338" t="s">
        <v>796</v>
      </c>
      <c r="E72" s="508"/>
      <c r="F72" s="508"/>
      <c r="G72" s="286">
        <v>4000</v>
      </c>
      <c r="H72" s="287"/>
      <c r="I72" s="369">
        <f t="shared" si="6"/>
        <v>4000</v>
      </c>
      <c r="J72" s="580"/>
      <c r="K72" s="580"/>
      <c r="L72" s="580">
        <f aca="true" t="shared" si="7" ref="L72:L136">SUM(J72:K72)</f>
        <v>0</v>
      </c>
      <c r="M72" s="580">
        <f aca="true" t="shared" si="8" ref="M72:M136">SUM(G72+J72)</f>
        <v>4000</v>
      </c>
      <c r="N72" s="580">
        <f aca="true" t="shared" si="9" ref="N72:N136">SUM(H72+K72)</f>
        <v>0</v>
      </c>
      <c r="O72" s="580">
        <f aca="true" t="shared" si="10" ref="O72:O136">SUM(M72:N72)</f>
        <v>4000</v>
      </c>
    </row>
    <row r="73" spans="1:15" ht="12.75" customHeight="1">
      <c r="A73" s="499"/>
      <c r="B73" s="499"/>
      <c r="C73" s="470" t="s">
        <v>253</v>
      </c>
      <c r="D73" s="338" t="s">
        <v>797</v>
      </c>
      <c r="E73" s="508"/>
      <c r="F73" s="508"/>
      <c r="G73" s="286">
        <v>2000</v>
      </c>
      <c r="H73" s="287"/>
      <c r="I73" s="369">
        <f t="shared" si="6"/>
        <v>2000</v>
      </c>
      <c r="J73" s="580"/>
      <c r="K73" s="580"/>
      <c r="L73" s="580">
        <f t="shared" si="7"/>
        <v>0</v>
      </c>
      <c r="M73" s="580">
        <f t="shared" si="8"/>
        <v>2000</v>
      </c>
      <c r="N73" s="580">
        <f t="shared" si="9"/>
        <v>0</v>
      </c>
      <c r="O73" s="580">
        <f t="shared" si="10"/>
        <v>2000</v>
      </c>
    </row>
    <row r="74" spans="1:15" ht="12.75" customHeight="1">
      <c r="A74" s="499"/>
      <c r="B74" s="499"/>
      <c r="C74" s="470" t="s">
        <v>254</v>
      </c>
      <c r="D74" s="338" t="s">
        <v>798</v>
      </c>
      <c r="E74" s="508"/>
      <c r="F74" s="508"/>
      <c r="G74" s="286">
        <v>3000</v>
      </c>
      <c r="H74" s="287"/>
      <c r="I74" s="369">
        <f t="shared" si="6"/>
        <v>3000</v>
      </c>
      <c r="J74" s="580"/>
      <c r="K74" s="580"/>
      <c r="L74" s="580">
        <f t="shared" si="7"/>
        <v>0</v>
      </c>
      <c r="M74" s="580">
        <f t="shared" si="8"/>
        <v>3000</v>
      </c>
      <c r="N74" s="580">
        <f t="shared" si="9"/>
        <v>0</v>
      </c>
      <c r="O74" s="580">
        <f t="shared" si="10"/>
        <v>3000</v>
      </c>
    </row>
    <row r="75" spans="1:15" ht="12.75" customHeight="1">
      <c r="A75" s="499"/>
      <c r="B75" s="499"/>
      <c r="C75" s="470" t="s">
        <v>255</v>
      </c>
      <c r="D75" s="509" t="s">
        <v>799</v>
      </c>
      <c r="E75" s="508"/>
      <c r="F75" s="508"/>
      <c r="G75" s="286">
        <v>3000</v>
      </c>
      <c r="H75" s="287"/>
      <c r="I75" s="369">
        <f t="shared" si="6"/>
        <v>3000</v>
      </c>
      <c r="J75" s="580"/>
      <c r="K75" s="580"/>
      <c r="L75" s="580">
        <f t="shared" si="7"/>
        <v>0</v>
      </c>
      <c r="M75" s="580">
        <f t="shared" si="8"/>
        <v>3000</v>
      </c>
      <c r="N75" s="580">
        <f t="shared" si="9"/>
        <v>0</v>
      </c>
      <c r="O75" s="580">
        <f t="shared" si="10"/>
        <v>3000</v>
      </c>
    </row>
    <row r="76" spans="1:15" ht="12.75" customHeight="1">
      <c r="A76" s="499"/>
      <c r="B76" s="499"/>
      <c r="C76" s="470" t="s">
        <v>256</v>
      </c>
      <c r="D76" s="327" t="s">
        <v>800</v>
      </c>
      <c r="E76" s="508"/>
      <c r="F76" s="508"/>
      <c r="G76" s="286">
        <v>500</v>
      </c>
      <c r="H76" s="287"/>
      <c r="I76" s="369">
        <f t="shared" si="6"/>
        <v>500</v>
      </c>
      <c r="J76" s="580"/>
      <c r="K76" s="580"/>
      <c r="L76" s="580">
        <f t="shared" si="7"/>
        <v>0</v>
      </c>
      <c r="M76" s="580">
        <f t="shared" si="8"/>
        <v>500</v>
      </c>
      <c r="N76" s="580">
        <f t="shared" si="9"/>
        <v>0</v>
      </c>
      <c r="O76" s="580">
        <f t="shared" si="10"/>
        <v>500</v>
      </c>
    </row>
    <row r="77" spans="1:15" ht="15" customHeight="1">
      <c r="A77" s="499"/>
      <c r="B77" s="499"/>
      <c r="C77" s="470" t="s">
        <v>257</v>
      </c>
      <c r="D77" s="327" t="s">
        <v>801</v>
      </c>
      <c r="E77" s="508"/>
      <c r="F77" s="508"/>
      <c r="G77" s="286">
        <v>500</v>
      </c>
      <c r="H77" s="287"/>
      <c r="I77" s="369">
        <f t="shared" si="6"/>
        <v>500</v>
      </c>
      <c r="J77" s="580"/>
      <c r="K77" s="580"/>
      <c r="L77" s="580">
        <f t="shared" si="7"/>
        <v>0</v>
      </c>
      <c r="M77" s="580">
        <f t="shared" si="8"/>
        <v>500</v>
      </c>
      <c r="N77" s="580">
        <f t="shared" si="9"/>
        <v>0</v>
      </c>
      <c r="O77" s="580">
        <f t="shared" si="10"/>
        <v>500</v>
      </c>
    </row>
    <row r="78" spans="1:15" ht="15" customHeight="1">
      <c r="A78" s="499"/>
      <c r="B78" s="499"/>
      <c r="C78" s="470" t="s">
        <v>258</v>
      </c>
      <c r="D78" s="327" t="s">
        <v>802</v>
      </c>
      <c r="E78" s="508"/>
      <c r="F78" s="508"/>
      <c r="G78" s="286">
        <v>5000</v>
      </c>
      <c r="H78" s="287"/>
      <c r="I78" s="369">
        <f t="shared" si="6"/>
        <v>5000</v>
      </c>
      <c r="J78" s="580"/>
      <c r="K78" s="580"/>
      <c r="L78" s="580">
        <f t="shared" si="7"/>
        <v>0</v>
      </c>
      <c r="M78" s="580">
        <f t="shared" si="8"/>
        <v>5000</v>
      </c>
      <c r="N78" s="580">
        <f t="shared" si="9"/>
        <v>0</v>
      </c>
      <c r="O78" s="580">
        <f t="shared" si="10"/>
        <v>5000</v>
      </c>
    </row>
    <row r="79" spans="1:15" ht="15" customHeight="1">
      <c r="A79" s="499"/>
      <c r="B79" s="499"/>
      <c r="C79" s="470" t="s">
        <v>259</v>
      </c>
      <c r="D79" s="327" t="s">
        <v>803</v>
      </c>
      <c r="E79" s="508"/>
      <c r="F79" s="508"/>
      <c r="G79" s="286">
        <v>3000</v>
      </c>
      <c r="H79" s="287"/>
      <c r="I79" s="369">
        <f t="shared" si="6"/>
        <v>3000</v>
      </c>
      <c r="J79" s="580"/>
      <c r="K79" s="580"/>
      <c r="L79" s="580">
        <f t="shared" si="7"/>
        <v>0</v>
      </c>
      <c r="M79" s="580">
        <f t="shared" si="8"/>
        <v>3000</v>
      </c>
      <c r="N79" s="580">
        <f t="shared" si="9"/>
        <v>0</v>
      </c>
      <c r="O79" s="580">
        <f t="shared" si="10"/>
        <v>3000</v>
      </c>
    </row>
    <row r="80" spans="1:15" ht="15" customHeight="1">
      <c r="A80" s="499"/>
      <c r="B80" s="499"/>
      <c r="C80" s="470" t="s">
        <v>204</v>
      </c>
      <c r="D80" s="327" t="s">
        <v>804</v>
      </c>
      <c r="E80" s="508"/>
      <c r="F80" s="508"/>
      <c r="G80" s="286">
        <v>1000</v>
      </c>
      <c r="H80" s="287"/>
      <c r="I80" s="369">
        <f t="shared" si="6"/>
        <v>1000</v>
      </c>
      <c r="J80" s="580"/>
      <c r="K80" s="580"/>
      <c r="L80" s="580">
        <f t="shared" si="7"/>
        <v>0</v>
      </c>
      <c r="M80" s="580">
        <f t="shared" si="8"/>
        <v>1000</v>
      </c>
      <c r="N80" s="580">
        <f t="shared" si="9"/>
        <v>0</v>
      </c>
      <c r="O80" s="580">
        <f t="shared" si="10"/>
        <v>1000</v>
      </c>
    </row>
    <row r="81" spans="1:15" ht="15" customHeight="1">
      <c r="A81" s="499"/>
      <c r="B81" s="499"/>
      <c r="C81" s="470" t="s">
        <v>205</v>
      </c>
      <c r="D81" s="327" t="s">
        <v>805</v>
      </c>
      <c r="E81" s="508"/>
      <c r="F81" s="508"/>
      <c r="G81" s="286">
        <v>300</v>
      </c>
      <c r="H81" s="287"/>
      <c r="I81" s="369">
        <f t="shared" si="6"/>
        <v>300</v>
      </c>
      <c r="J81" s="580"/>
      <c r="K81" s="580"/>
      <c r="L81" s="580">
        <f t="shared" si="7"/>
        <v>0</v>
      </c>
      <c r="M81" s="580">
        <f t="shared" si="8"/>
        <v>300</v>
      </c>
      <c r="N81" s="580">
        <f t="shared" si="9"/>
        <v>0</v>
      </c>
      <c r="O81" s="580">
        <f t="shared" si="10"/>
        <v>300</v>
      </c>
    </row>
    <row r="82" spans="1:15" ht="15" customHeight="1">
      <c r="A82" s="499"/>
      <c r="B82" s="499"/>
      <c r="C82" s="470" t="s">
        <v>206</v>
      </c>
      <c r="D82" s="327" t="s">
        <v>808</v>
      </c>
      <c r="E82" s="508"/>
      <c r="F82" s="508"/>
      <c r="G82" s="286">
        <v>500</v>
      </c>
      <c r="H82" s="287"/>
      <c r="I82" s="369">
        <f t="shared" si="6"/>
        <v>500</v>
      </c>
      <c r="J82" s="580"/>
      <c r="K82" s="580"/>
      <c r="L82" s="580">
        <f t="shared" si="7"/>
        <v>0</v>
      </c>
      <c r="M82" s="580">
        <f t="shared" si="8"/>
        <v>500</v>
      </c>
      <c r="N82" s="580">
        <f t="shared" si="9"/>
        <v>0</v>
      </c>
      <c r="O82" s="580">
        <f t="shared" si="10"/>
        <v>500</v>
      </c>
    </row>
    <row r="83" spans="1:15" ht="15" customHeight="1">
      <c r="A83" s="499"/>
      <c r="B83" s="499"/>
      <c r="C83" s="470" t="s">
        <v>207</v>
      </c>
      <c r="D83" s="327" t="s">
        <v>809</v>
      </c>
      <c r="E83" s="508"/>
      <c r="F83" s="508" t="s">
        <v>126</v>
      </c>
      <c r="G83" s="286">
        <v>3500</v>
      </c>
      <c r="H83" s="287"/>
      <c r="I83" s="369">
        <f aca="true" t="shared" si="11" ref="I83:I114">SUM(G83:H83)</f>
        <v>3500</v>
      </c>
      <c r="J83" s="580">
        <v>-2000</v>
      </c>
      <c r="K83" s="580"/>
      <c r="L83" s="580">
        <f t="shared" si="7"/>
        <v>-2000</v>
      </c>
      <c r="M83" s="580">
        <f t="shared" si="8"/>
        <v>1500</v>
      </c>
      <c r="N83" s="580">
        <f t="shared" si="9"/>
        <v>0</v>
      </c>
      <c r="O83" s="580">
        <f t="shared" si="10"/>
        <v>1500</v>
      </c>
    </row>
    <row r="84" spans="1:15" ht="15" customHeight="1">
      <c r="A84" s="499"/>
      <c r="B84" s="499"/>
      <c r="C84" s="470" t="s">
        <v>208</v>
      </c>
      <c r="D84" s="327" t="s">
        <v>810</v>
      </c>
      <c r="E84" s="508"/>
      <c r="F84" s="508"/>
      <c r="G84" s="286">
        <v>700</v>
      </c>
      <c r="H84" s="287"/>
      <c r="I84" s="369">
        <f t="shared" si="11"/>
        <v>700</v>
      </c>
      <c r="J84" s="580"/>
      <c r="K84" s="580"/>
      <c r="L84" s="580">
        <f t="shared" si="7"/>
        <v>0</v>
      </c>
      <c r="M84" s="580">
        <f t="shared" si="8"/>
        <v>700</v>
      </c>
      <c r="N84" s="580">
        <f t="shared" si="9"/>
        <v>0</v>
      </c>
      <c r="O84" s="580">
        <f t="shared" si="10"/>
        <v>700</v>
      </c>
    </row>
    <row r="85" spans="1:15" ht="15" customHeight="1">
      <c r="A85" s="499"/>
      <c r="B85" s="499"/>
      <c r="C85" s="470" t="s">
        <v>209</v>
      </c>
      <c r="D85" s="327" t="s">
        <v>811</v>
      </c>
      <c r="E85" s="508"/>
      <c r="F85" s="508"/>
      <c r="G85" s="286">
        <v>500</v>
      </c>
      <c r="H85" s="287"/>
      <c r="I85" s="369">
        <f t="shared" si="11"/>
        <v>500</v>
      </c>
      <c r="J85" s="580"/>
      <c r="K85" s="580"/>
      <c r="L85" s="580">
        <f t="shared" si="7"/>
        <v>0</v>
      </c>
      <c r="M85" s="580">
        <f t="shared" si="8"/>
        <v>500</v>
      </c>
      <c r="N85" s="580">
        <f t="shared" si="9"/>
        <v>0</v>
      </c>
      <c r="O85" s="580">
        <f t="shared" si="10"/>
        <v>500</v>
      </c>
    </row>
    <row r="86" spans="1:15" ht="15" customHeight="1">
      <c r="A86" s="499"/>
      <c r="B86" s="499"/>
      <c r="C86" s="470" t="s">
        <v>210</v>
      </c>
      <c r="D86" s="327" t="s">
        <v>812</v>
      </c>
      <c r="E86" s="508"/>
      <c r="F86" s="508"/>
      <c r="G86" s="286">
        <v>5000</v>
      </c>
      <c r="H86" s="287"/>
      <c r="I86" s="369">
        <f t="shared" si="11"/>
        <v>5000</v>
      </c>
      <c r="J86" s="580"/>
      <c r="K86" s="580"/>
      <c r="L86" s="580">
        <f t="shared" si="7"/>
        <v>0</v>
      </c>
      <c r="M86" s="580">
        <f t="shared" si="8"/>
        <v>5000</v>
      </c>
      <c r="N86" s="580">
        <f t="shared" si="9"/>
        <v>0</v>
      </c>
      <c r="O86" s="580">
        <f t="shared" si="10"/>
        <v>5000</v>
      </c>
    </row>
    <row r="87" spans="1:15" ht="15" customHeight="1">
      <c r="A87" s="499"/>
      <c r="B87" s="499"/>
      <c r="C87" s="470" t="s">
        <v>211</v>
      </c>
      <c r="D87" s="327" t="s">
        <v>43</v>
      </c>
      <c r="E87" s="508"/>
      <c r="F87" s="508"/>
      <c r="G87" s="286">
        <v>8000</v>
      </c>
      <c r="H87" s="287"/>
      <c r="I87" s="369">
        <f t="shared" si="11"/>
        <v>8000</v>
      </c>
      <c r="J87" s="580"/>
      <c r="K87" s="580"/>
      <c r="L87" s="580">
        <f t="shared" si="7"/>
        <v>0</v>
      </c>
      <c r="M87" s="580">
        <f t="shared" si="8"/>
        <v>8000</v>
      </c>
      <c r="N87" s="580">
        <f t="shared" si="9"/>
        <v>0</v>
      </c>
      <c r="O87" s="580">
        <f t="shared" si="10"/>
        <v>8000</v>
      </c>
    </row>
    <row r="88" spans="1:15" ht="15" customHeight="1">
      <c r="A88" s="499"/>
      <c r="B88" s="499"/>
      <c r="C88" s="470" t="s">
        <v>212</v>
      </c>
      <c r="D88" s="327" t="s">
        <v>813</v>
      </c>
      <c r="E88" s="508"/>
      <c r="F88" s="508"/>
      <c r="G88" s="286">
        <v>2500</v>
      </c>
      <c r="H88" s="287"/>
      <c r="I88" s="369">
        <f t="shared" si="11"/>
        <v>2500</v>
      </c>
      <c r="J88" s="580"/>
      <c r="K88" s="580"/>
      <c r="L88" s="580">
        <f t="shared" si="7"/>
        <v>0</v>
      </c>
      <c r="M88" s="580">
        <f t="shared" si="8"/>
        <v>2500</v>
      </c>
      <c r="N88" s="580">
        <f t="shared" si="9"/>
        <v>0</v>
      </c>
      <c r="O88" s="580">
        <f t="shared" si="10"/>
        <v>2500</v>
      </c>
    </row>
    <row r="89" spans="1:15" ht="15" customHeight="1">
      <c r="A89" s="499"/>
      <c r="B89" s="499"/>
      <c r="C89" s="470" t="s">
        <v>213</v>
      </c>
      <c r="D89" s="327" t="s">
        <v>814</v>
      </c>
      <c r="E89" s="508"/>
      <c r="F89" s="508"/>
      <c r="G89" s="286">
        <v>700</v>
      </c>
      <c r="H89" s="287"/>
      <c r="I89" s="369">
        <f t="shared" si="11"/>
        <v>700</v>
      </c>
      <c r="J89" s="580"/>
      <c r="K89" s="580"/>
      <c r="L89" s="580">
        <f t="shared" si="7"/>
        <v>0</v>
      </c>
      <c r="M89" s="580">
        <f t="shared" si="8"/>
        <v>700</v>
      </c>
      <c r="N89" s="580">
        <f t="shared" si="9"/>
        <v>0</v>
      </c>
      <c r="O89" s="580">
        <f t="shared" si="10"/>
        <v>700</v>
      </c>
    </row>
    <row r="90" spans="1:15" ht="15" customHeight="1">
      <c r="A90" s="499"/>
      <c r="B90" s="499"/>
      <c r="C90" s="470" t="s">
        <v>214</v>
      </c>
      <c r="D90" s="327" t="s">
        <v>815</v>
      </c>
      <c r="E90" s="508"/>
      <c r="F90" s="508"/>
      <c r="G90" s="286">
        <v>4000</v>
      </c>
      <c r="H90" s="287"/>
      <c r="I90" s="369">
        <f t="shared" si="11"/>
        <v>4000</v>
      </c>
      <c r="J90" s="580"/>
      <c r="K90" s="580"/>
      <c r="L90" s="580">
        <f t="shared" si="7"/>
        <v>0</v>
      </c>
      <c r="M90" s="580">
        <f t="shared" si="8"/>
        <v>4000</v>
      </c>
      <c r="N90" s="580">
        <f t="shared" si="9"/>
        <v>0</v>
      </c>
      <c r="O90" s="580">
        <f t="shared" si="10"/>
        <v>4000</v>
      </c>
    </row>
    <row r="91" spans="1:15" ht="15" customHeight="1">
      <c r="A91" s="499"/>
      <c r="B91" s="499"/>
      <c r="C91" s="470" t="s">
        <v>215</v>
      </c>
      <c r="D91" s="327" t="s">
        <v>816</v>
      </c>
      <c r="E91" s="508"/>
      <c r="F91" s="508"/>
      <c r="G91" s="286">
        <v>4000</v>
      </c>
      <c r="H91" s="287"/>
      <c r="I91" s="369">
        <f t="shared" si="11"/>
        <v>4000</v>
      </c>
      <c r="J91" s="580"/>
      <c r="K91" s="580"/>
      <c r="L91" s="580">
        <f t="shared" si="7"/>
        <v>0</v>
      </c>
      <c r="M91" s="580">
        <f t="shared" si="8"/>
        <v>4000</v>
      </c>
      <c r="N91" s="580">
        <f t="shared" si="9"/>
        <v>0</v>
      </c>
      <c r="O91" s="580">
        <f t="shared" si="10"/>
        <v>4000</v>
      </c>
    </row>
    <row r="92" spans="1:15" ht="15" customHeight="1">
      <c r="A92" s="499"/>
      <c r="B92" s="499"/>
      <c r="C92" s="470" t="s">
        <v>216</v>
      </c>
      <c r="D92" s="327" t="s">
        <v>817</v>
      </c>
      <c r="E92" s="508"/>
      <c r="F92" s="508"/>
      <c r="G92" s="286">
        <v>3000</v>
      </c>
      <c r="H92" s="287"/>
      <c r="I92" s="369">
        <f t="shared" si="11"/>
        <v>3000</v>
      </c>
      <c r="J92" s="580"/>
      <c r="K92" s="580"/>
      <c r="L92" s="580">
        <f t="shared" si="7"/>
        <v>0</v>
      </c>
      <c r="M92" s="580">
        <f t="shared" si="8"/>
        <v>3000</v>
      </c>
      <c r="N92" s="580">
        <f t="shared" si="9"/>
        <v>0</v>
      </c>
      <c r="O92" s="580">
        <f t="shared" si="10"/>
        <v>3000</v>
      </c>
    </row>
    <row r="93" spans="1:15" ht="15" customHeight="1">
      <c r="A93" s="499"/>
      <c r="B93" s="499"/>
      <c r="C93" s="470" t="s">
        <v>217</v>
      </c>
      <c r="D93" s="327" t="s">
        <v>818</v>
      </c>
      <c r="E93" s="508"/>
      <c r="F93" s="508"/>
      <c r="G93" s="286">
        <v>2000</v>
      </c>
      <c r="H93" s="287"/>
      <c r="I93" s="369">
        <f t="shared" si="11"/>
        <v>2000</v>
      </c>
      <c r="J93" s="580"/>
      <c r="K93" s="580"/>
      <c r="L93" s="580">
        <f t="shared" si="7"/>
        <v>0</v>
      </c>
      <c r="M93" s="580">
        <f t="shared" si="8"/>
        <v>2000</v>
      </c>
      <c r="N93" s="580">
        <f t="shared" si="9"/>
        <v>0</v>
      </c>
      <c r="O93" s="580">
        <f t="shared" si="10"/>
        <v>2000</v>
      </c>
    </row>
    <row r="94" spans="1:15" ht="15" customHeight="1">
      <c r="A94" s="499"/>
      <c r="B94" s="499"/>
      <c r="C94" s="470" t="s">
        <v>218</v>
      </c>
      <c r="D94" s="327" t="s">
        <v>819</v>
      </c>
      <c r="E94" s="508"/>
      <c r="F94" s="508"/>
      <c r="G94" s="286">
        <v>1500</v>
      </c>
      <c r="H94" s="287"/>
      <c r="I94" s="369">
        <f t="shared" si="11"/>
        <v>1500</v>
      </c>
      <c r="J94" s="580"/>
      <c r="K94" s="580"/>
      <c r="L94" s="580">
        <f t="shared" si="7"/>
        <v>0</v>
      </c>
      <c r="M94" s="580">
        <f t="shared" si="8"/>
        <v>1500</v>
      </c>
      <c r="N94" s="580">
        <f t="shared" si="9"/>
        <v>0</v>
      </c>
      <c r="O94" s="580">
        <f t="shared" si="10"/>
        <v>1500</v>
      </c>
    </row>
    <row r="95" spans="1:15" ht="24.75" customHeight="1">
      <c r="A95" s="499"/>
      <c r="B95" s="499"/>
      <c r="C95" s="470" t="s">
        <v>219</v>
      </c>
      <c r="D95" s="327" t="s">
        <v>820</v>
      </c>
      <c r="E95" s="508"/>
      <c r="F95" s="508"/>
      <c r="G95" s="286">
        <v>3000</v>
      </c>
      <c r="H95" s="287"/>
      <c r="I95" s="369">
        <f t="shared" si="11"/>
        <v>3000</v>
      </c>
      <c r="J95" s="580"/>
      <c r="K95" s="580"/>
      <c r="L95" s="580">
        <f t="shared" si="7"/>
        <v>0</v>
      </c>
      <c r="M95" s="580">
        <f t="shared" si="8"/>
        <v>3000</v>
      </c>
      <c r="N95" s="580">
        <f t="shared" si="9"/>
        <v>0</v>
      </c>
      <c r="O95" s="580">
        <f t="shared" si="10"/>
        <v>3000</v>
      </c>
    </row>
    <row r="96" spans="1:15" ht="15" customHeight="1">
      <c r="A96" s="499"/>
      <c r="B96" s="499"/>
      <c r="C96" s="470" t="s">
        <v>821</v>
      </c>
      <c r="D96" s="338" t="s">
        <v>822</v>
      </c>
      <c r="E96" s="508"/>
      <c r="F96" s="508"/>
      <c r="G96" s="286">
        <v>1000</v>
      </c>
      <c r="H96" s="287"/>
      <c r="I96" s="369">
        <f t="shared" si="11"/>
        <v>1000</v>
      </c>
      <c r="J96" s="580"/>
      <c r="K96" s="580"/>
      <c r="L96" s="580">
        <f t="shared" si="7"/>
        <v>0</v>
      </c>
      <c r="M96" s="580">
        <f t="shared" si="8"/>
        <v>1000</v>
      </c>
      <c r="N96" s="580">
        <f t="shared" si="9"/>
        <v>0</v>
      </c>
      <c r="O96" s="580">
        <f t="shared" si="10"/>
        <v>1000</v>
      </c>
    </row>
    <row r="97" spans="1:15" ht="15" customHeight="1">
      <c r="A97" s="499"/>
      <c r="B97" s="499"/>
      <c r="C97" s="470" t="s">
        <v>823</v>
      </c>
      <c r="D97" s="338" t="s">
        <v>340</v>
      </c>
      <c r="E97" s="508"/>
      <c r="F97" s="508"/>
      <c r="G97" s="286">
        <v>9000</v>
      </c>
      <c r="H97" s="287"/>
      <c r="I97" s="369">
        <f t="shared" si="11"/>
        <v>9000</v>
      </c>
      <c r="J97" s="580"/>
      <c r="K97" s="580"/>
      <c r="L97" s="580">
        <f t="shared" si="7"/>
        <v>0</v>
      </c>
      <c r="M97" s="580">
        <f t="shared" si="8"/>
        <v>9000</v>
      </c>
      <c r="N97" s="580">
        <f t="shared" si="9"/>
        <v>0</v>
      </c>
      <c r="O97" s="580">
        <f t="shared" si="10"/>
        <v>9000</v>
      </c>
    </row>
    <row r="98" spans="1:15" ht="23.25" customHeight="1">
      <c r="A98" s="499"/>
      <c r="B98" s="499"/>
      <c r="C98" s="470" t="s">
        <v>824</v>
      </c>
      <c r="D98" s="510" t="s">
        <v>825</v>
      </c>
      <c r="E98" s="508"/>
      <c r="F98" s="508" t="s">
        <v>126</v>
      </c>
      <c r="G98" s="286">
        <v>15000</v>
      </c>
      <c r="H98" s="287"/>
      <c r="I98" s="369">
        <f t="shared" si="11"/>
        <v>15000</v>
      </c>
      <c r="J98" s="580">
        <v>367</v>
      </c>
      <c r="K98" s="580"/>
      <c r="L98" s="580">
        <f t="shared" si="7"/>
        <v>367</v>
      </c>
      <c r="M98" s="580">
        <f t="shared" si="8"/>
        <v>15367</v>
      </c>
      <c r="N98" s="580">
        <f t="shared" si="9"/>
        <v>0</v>
      </c>
      <c r="O98" s="580">
        <f t="shared" si="10"/>
        <v>15367</v>
      </c>
    </row>
    <row r="99" spans="1:15" ht="15" customHeight="1">
      <c r="A99" s="499"/>
      <c r="B99" s="499"/>
      <c r="C99" s="470" t="s">
        <v>826</v>
      </c>
      <c r="D99" s="338" t="s">
        <v>827</v>
      </c>
      <c r="E99" s="508"/>
      <c r="F99" s="508"/>
      <c r="G99" s="286">
        <v>3000</v>
      </c>
      <c r="H99" s="287"/>
      <c r="I99" s="369">
        <f t="shared" si="11"/>
        <v>3000</v>
      </c>
      <c r="J99" s="580"/>
      <c r="K99" s="580"/>
      <c r="L99" s="580">
        <f t="shared" si="7"/>
        <v>0</v>
      </c>
      <c r="M99" s="580">
        <f t="shared" si="8"/>
        <v>3000</v>
      </c>
      <c r="N99" s="580">
        <f t="shared" si="9"/>
        <v>0</v>
      </c>
      <c r="O99" s="580">
        <f t="shared" si="10"/>
        <v>3000</v>
      </c>
    </row>
    <row r="100" spans="1:15" ht="15" customHeight="1">
      <c r="A100" s="499"/>
      <c r="B100" s="499"/>
      <c r="C100" s="470" t="s">
        <v>828</v>
      </c>
      <c r="D100" s="338" t="s">
        <v>829</v>
      </c>
      <c r="E100" s="508"/>
      <c r="F100" s="508"/>
      <c r="G100" s="286">
        <v>8000</v>
      </c>
      <c r="H100" s="287"/>
      <c r="I100" s="369">
        <f t="shared" si="11"/>
        <v>8000</v>
      </c>
      <c r="J100" s="580"/>
      <c r="K100" s="580"/>
      <c r="L100" s="580">
        <f t="shared" si="7"/>
        <v>0</v>
      </c>
      <c r="M100" s="580">
        <f t="shared" si="8"/>
        <v>8000</v>
      </c>
      <c r="N100" s="580">
        <f t="shared" si="9"/>
        <v>0</v>
      </c>
      <c r="O100" s="580">
        <f t="shared" si="10"/>
        <v>8000</v>
      </c>
    </row>
    <row r="101" spans="1:15" ht="15" customHeight="1">
      <c r="A101" s="499"/>
      <c r="B101" s="499"/>
      <c r="C101" s="470" t="s">
        <v>830</v>
      </c>
      <c r="D101" s="338" t="s">
        <v>831</v>
      </c>
      <c r="E101" s="508"/>
      <c r="F101" s="508"/>
      <c r="G101" s="286">
        <v>500</v>
      </c>
      <c r="H101" s="287"/>
      <c r="I101" s="369">
        <f t="shared" si="11"/>
        <v>500</v>
      </c>
      <c r="J101" s="580"/>
      <c r="K101" s="580"/>
      <c r="L101" s="580">
        <f t="shared" si="7"/>
        <v>0</v>
      </c>
      <c r="M101" s="580">
        <f t="shared" si="8"/>
        <v>500</v>
      </c>
      <c r="N101" s="580">
        <f t="shared" si="9"/>
        <v>0</v>
      </c>
      <c r="O101" s="580">
        <f t="shared" si="10"/>
        <v>500</v>
      </c>
    </row>
    <row r="102" spans="1:15" ht="15" customHeight="1">
      <c r="A102" s="499"/>
      <c r="B102" s="499"/>
      <c r="C102" s="470" t="s">
        <v>832</v>
      </c>
      <c r="D102" s="338" t="s">
        <v>833</v>
      </c>
      <c r="E102" s="508"/>
      <c r="F102" s="508"/>
      <c r="G102" s="286">
        <v>5000</v>
      </c>
      <c r="H102" s="287"/>
      <c r="I102" s="369">
        <f t="shared" si="11"/>
        <v>5000</v>
      </c>
      <c r="J102" s="580"/>
      <c r="K102" s="580"/>
      <c r="L102" s="580">
        <f t="shared" si="7"/>
        <v>0</v>
      </c>
      <c r="M102" s="580">
        <f t="shared" si="8"/>
        <v>5000</v>
      </c>
      <c r="N102" s="580">
        <f t="shared" si="9"/>
        <v>0</v>
      </c>
      <c r="O102" s="580">
        <f t="shared" si="10"/>
        <v>5000</v>
      </c>
    </row>
    <row r="103" spans="1:15" ht="12.75" customHeight="1">
      <c r="A103" s="499"/>
      <c r="B103" s="499"/>
      <c r="C103" s="470" t="s">
        <v>834</v>
      </c>
      <c r="D103" s="338" t="s">
        <v>835</v>
      </c>
      <c r="E103" s="508"/>
      <c r="F103" s="508"/>
      <c r="G103" s="286">
        <v>5000</v>
      </c>
      <c r="H103" s="287"/>
      <c r="I103" s="369">
        <f t="shared" si="11"/>
        <v>5000</v>
      </c>
      <c r="J103" s="580"/>
      <c r="K103" s="580"/>
      <c r="L103" s="580">
        <f t="shared" si="7"/>
        <v>0</v>
      </c>
      <c r="M103" s="580">
        <f t="shared" si="8"/>
        <v>5000</v>
      </c>
      <c r="N103" s="580">
        <f t="shared" si="9"/>
        <v>0</v>
      </c>
      <c r="O103" s="580">
        <f t="shared" si="10"/>
        <v>5000</v>
      </c>
    </row>
    <row r="104" spans="1:15" ht="24.75" customHeight="1">
      <c r="A104" s="499"/>
      <c r="B104" s="499"/>
      <c r="C104" s="470" t="s">
        <v>836</v>
      </c>
      <c r="D104" s="338" t="s">
        <v>837</v>
      </c>
      <c r="E104" s="508"/>
      <c r="F104" s="508"/>
      <c r="G104" s="286">
        <v>5000</v>
      </c>
      <c r="H104" s="287"/>
      <c r="I104" s="369">
        <f t="shared" si="11"/>
        <v>5000</v>
      </c>
      <c r="J104" s="580"/>
      <c r="K104" s="580"/>
      <c r="L104" s="580">
        <f t="shared" si="7"/>
        <v>0</v>
      </c>
      <c r="M104" s="580">
        <f t="shared" si="8"/>
        <v>5000</v>
      </c>
      <c r="N104" s="580">
        <f t="shared" si="9"/>
        <v>0</v>
      </c>
      <c r="O104" s="580">
        <f t="shared" si="10"/>
        <v>5000</v>
      </c>
    </row>
    <row r="105" spans="1:15" ht="15" customHeight="1">
      <c r="A105" s="499"/>
      <c r="B105" s="499"/>
      <c r="C105" s="470" t="s">
        <v>838</v>
      </c>
      <c r="D105" s="338" t="s">
        <v>203</v>
      </c>
      <c r="E105" s="508"/>
      <c r="F105" s="508"/>
      <c r="G105" s="286">
        <v>5351</v>
      </c>
      <c r="H105" s="287"/>
      <c r="I105" s="369">
        <f t="shared" si="11"/>
        <v>5351</v>
      </c>
      <c r="J105" s="580"/>
      <c r="K105" s="580"/>
      <c r="L105" s="580">
        <f t="shared" si="7"/>
        <v>0</v>
      </c>
      <c r="M105" s="580">
        <f t="shared" si="8"/>
        <v>5351</v>
      </c>
      <c r="N105" s="580">
        <f t="shared" si="9"/>
        <v>0</v>
      </c>
      <c r="O105" s="580">
        <f t="shared" si="10"/>
        <v>5351</v>
      </c>
    </row>
    <row r="106" spans="1:15" ht="12.75" customHeight="1">
      <c r="A106" s="499"/>
      <c r="B106" s="499"/>
      <c r="C106" s="470" t="s">
        <v>839</v>
      </c>
      <c r="D106" s="511" t="s">
        <v>347</v>
      </c>
      <c r="E106" s="508"/>
      <c r="F106" s="508"/>
      <c r="G106" s="286">
        <v>3500</v>
      </c>
      <c r="H106" s="287"/>
      <c r="I106" s="369">
        <f t="shared" si="11"/>
        <v>3500</v>
      </c>
      <c r="J106" s="580"/>
      <c r="K106" s="580"/>
      <c r="L106" s="580">
        <f t="shared" si="7"/>
        <v>0</v>
      </c>
      <c r="M106" s="580">
        <f t="shared" si="8"/>
        <v>3500</v>
      </c>
      <c r="N106" s="580">
        <f t="shared" si="9"/>
        <v>0</v>
      </c>
      <c r="O106" s="580">
        <f t="shared" si="10"/>
        <v>3500</v>
      </c>
    </row>
    <row r="107" spans="1:15" ht="12.75" customHeight="1">
      <c r="A107" s="499"/>
      <c r="B107" s="499"/>
      <c r="C107" s="470" t="s">
        <v>840</v>
      </c>
      <c r="D107" s="511" t="s">
        <v>841</v>
      </c>
      <c r="E107" s="508"/>
      <c r="F107" s="508"/>
      <c r="G107" s="286">
        <v>500</v>
      </c>
      <c r="H107" s="287"/>
      <c r="I107" s="369">
        <f t="shared" si="11"/>
        <v>500</v>
      </c>
      <c r="J107" s="580"/>
      <c r="K107" s="580"/>
      <c r="L107" s="580">
        <f t="shared" si="7"/>
        <v>0</v>
      </c>
      <c r="M107" s="580">
        <f t="shared" si="8"/>
        <v>500</v>
      </c>
      <c r="N107" s="580">
        <f t="shared" si="9"/>
        <v>0</v>
      </c>
      <c r="O107" s="580">
        <f t="shared" si="10"/>
        <v>500</v>
      </c>
    </row>
    <row r="108" spans="1:15" ht="15" customHeight="1">
      <c r="A108" s="499"/>
      <c r="B108" s="499"/>
      <c r="C108" s="470" t="s">
        <v>842</v>
      </c>
      <c r="D108" s="510" t="s">
        <v>843</v>
      </c>
      <c r="E108" s="368"/>
      <c r="F108" s="508"/>
      <c r="G108" s="512">
        <v>9700</v>
      </c>
      <c r="H108" s="513"/>
      <c r="I108" s="369">
        <f t="shared" si="11"/>
        <v>9700</v>
      </c>
      <c r="J108" s="580"/>
      <c r="K108" s="580"/>
      <c r="L108" s="580">
        <f t="shared" si="7"/>
        <v>0</v>
      </c>
      <c r="M108" s="580">
        <f t="shared" si="8"/>
        <v>9700</v>
      </c>
      <c r="N108" s="580">
        <f t="shared" si="9"/>
        <v>0</v>
      </c>
      <c r="O108" s="580">
        <f t="shared" si="10"/>
        <v>9700</v>
      </c>
    </row>
    <row r="109" spans="1:15" ht="24.75" customHeight="1">
      <c r="A109" s="499"/>
      <c r="B109" s="499"/>
      <c r="C109" s="470" t="s">
        <v>844</v>
      </c>
      <c r="D109" s="338" t="s">
        <v>845</v>
      </c>
      <c r="E109" s="368"/>
      <c r="F109" s="508"/>
      <c r="G109" s="512">
        <v>2000</v>
      </c>
      <c r="H109" s="513"/>
      <c r="I109" s="369">
        <f t="shared" si="11"/>
        <v>2000</v>
      </c>
      <c r="J109" s="580"/>
      <c r="K109" s="580"/>
      <c r="L109" s="580">
        <f t="shared" si="7"/>
        <v>0</v>
      </c>
      <c r="M109" s="580">
        <f t="shared" si="8"/>
        <v>2000</v>
      </c>
      <c r="N109" s="580">
        <f t="shared" si="9"/>
        <v>0</v>
      </c>
      <c r="O109" s="580">
        <f t="shared" si="10"/>
        <v>2000</v>
      </c>
    </row>
    <row r="110" spans="1:15" ht="15" customHeight="1">
      <c r="A110" s="499"/>
      <c r="B110" s="499"/>
      <c r="C110" s="470" t="s">
        <v>846</v>
      </c>
      <c r="D110" s="338" t="s">
        <v>847</v>
      </c>
      <c r="E110" s="368"/>
      <c r="F110" s="508"/>
      <c r="G110" s="512">
        <v>4000</v>
      </c>
      <c r="H110" s="513"/>
      <c r="I110" s="369">
        <f t="shared" si="11"/>
        <v>4000</v>
      </c>
      <c r="J110" s="580"/>
      <c r="K110" s="580"/>
      <c r="L110" s="580">
        <f t="shared" si="7"/>
        <v>0</v>
      </c>
      <c r="M110" s="580">
        <f t="shared" si="8"/>
        <v>4000</v>
      </c>
      <c r="N110" s="580">
        <f t="shared" si="9"/>
        <v>0</v>
      </c>
      <c r="O110" s="580">
        <f t="shared" si="10"/>
        <v>4000</v>
      </c>
    </row>
    <row r="111" spans="1:15" ht="15" customHeight="1">
      <c r="A111" s="499"/>
      <c r="B111" s="499"/>
      <c r="C111" s="470" t="s">
        <v>848</v>
      </c>
      <c r="D111" s="338" t="s">
        <v>849</v>
      </c>
      <c r="E111" s="368"/>
      <c r="F111" s="508"/>
      <c r="G111" s="512">
        <v>1720</v>
      </c>
      <c r="H111" s="513"/>
      <c r="I111" s="369">
        <f t="shared" si="11"/>
        <v>1720</v>
      </c>
      <c r="J111" s="580"/>
      <c r="K111" s="580"/>
      <c r="L111" s="580">
        <f t="shared" si="7"/>
        <v>0</v>
      </c>
      <c r="M111" s="580">
        <f t="shared" si="8"/>
        <v>1720</v>
      </c>
      <c r="N111" s="580">
        <f t="shared" si="9"/>
        <v>0</v>
      </c>
      <c r="O111" s="580">
        <f t="shared" si="10"/>
        <v>1720</v>
      </c>
    </row>
    <row r="112" spans="1:15" ht="15" customHeight="1">
      <c r="A112" s="499"/>
      <c r="B112" s="499"/>
      <c r="C112" s="470" t="s">
        <v>850</v>
      </c>
      <c r="D112" s="338" t="s">
        <v>851</v>
      </c>
      <c r="E112" s="368"/>
      <c r="F112" s="508"/>
      <c r="G112" s="512">
        <v>1500</v>
      </c>
      <c r="H112" s="513"/>
      <c r="I112" s="369">
        <f t="shared" si="11"/>
        <v>1500</v>
      </c>
      <c r="J112" s="580"/>
      <c r="K112" s="580"/>
      <c r="L112" s="580">
        <f t="shared" si="7"/>
        <v>0</v>
      </c>
      <c r="M112" s="580">
        <f t="shared" si="8"/>
        <v>1500</v>
      </c>
      <c r="N112" s="580">
        <f t="shared" si="9"/>
        <v>0</v>
      </c>
      <c r="O112" s="580">
        <f t="shared" si="10"/>
        <v>1500</v>
      </c>
    </row>
    <row r="113" spans="1:15" ht="15" customHeight="1">
      <c r="A113" s="499"/>
      <c r="B113" s="499"/>
      <c r="C113" s="470" t="s">
        <v>852</v>
      </c>
      <c r="D113" s="338" t="s">
        <v>853</v>
      </c>
      <c r="E113" s="368"/>
      <c r="F113" s="508"/>
      <c r="G113" s="512">
        <v>3000</v>
      </c>
      <c r="H113" s="513"/>
      <c r="I113" s="369">
        <f t="shared" si="11"/>
        <v>3000</v>
      </c>
      <c r="J113" s="580"/>
      <c r="K113" s="580"/>
      <c r="L113" s="580">
        <f t="shared" si="7"/>
        <v>0</v>
      </c>
      <c r="M113" s="580">
        <f t="shared" si="8"/>
        <v>3000</v>
      </c>
      <c r="N113" s="580">
        <f t="shared" si="9"/>
        <v>0</v>
      </c>
      <c r="O113" s="580">
        <f t="shared" si="10"/>
        <v>3000</v>
      </c>
    </row>
    <row r="114" spans="1:15" ht="15" customHeight="1">
      <c r="A114" s="499"/>
      <c r="B114" s="499"/>
      <c r="C114" s="470" t="s">
        <v>854</v>
      </c>
      <c r="D114" s="338" t="s">
        <v>855</v>
      </c>
      <c r="E114" s="368"/>
      <c r="F114" s="508"/>
      <c r="G114" s="512">
        <v>3000</v>
      </c>
      <c r="H114" s="513"/>
      <c r="I114" s="369">
        <f t="shared" si="11"/>
        <v>3000</v>
      </c>
      <c r="J114" s="580"/>
      <c r="K114" s="580"/>
      <c r="L114" s="580">
        <f t="shared" si="7"/>
        <v>0</v>
      </c>
      <c r="M114" s="580">
        <f t="shared" si="8"/>
        <v>3000</v>
      </c>
      <c r="N114" s="580">
        <f t="shared" si="9"/>
        <v>0</v>
      </c>
      <c r="O114" s="580">
        <f t="shared" si="10"/>
        <v>3000</v>
      </c>
    </row>
    <row r="115" spans="1:15" ht="15" customHeight="1">
      <c r="A115" s="499"/>
      <c r="B115" s="499"/>
      <c r="C115" s="470" t="s">
        <v>856</v>
      </c>
      <c r="D115" s="514" t="s">
        <v>857</v>
      </c>
      <c r="E115" s="368"/>
      <c r="F115" s="508"/>
      <c r="G115" s="512">
        <v>2000</v>
      </c>
      <c r="H115" s="513"/>
      <c r="I115" s="369">
        <f aca="true" t="shared" si="12" ref="I115:I138">SUM(G115:H115)</f>
        <v>2000</v>
      </c>
      <c r="J115" s="580"/>
      <c r="K115" s="580"/>
      <c r="L115" s="580">
        <f t="shared" si="7"/>
        <v>0</v>
      </c>
      <c r="M115" s="580">
        <f t="shared" si="8"/>
        <v>2000</v>
      </c>
      <c r="N115" s="580">
        <f t="shared" si="9"/>
        <v>0</v>
      </c>
      <c r="O115" s="580">
        <f t="shared" si="10"/>
        <v>2000</v>
      </c>
    </row>
    <row r="116" spans="1:15" ht="15" customHeight="1">
      <c r="A116" s="499"/>
      <c r="B116" s="499"/>
      <c r="C116" s="470" t="s">
        <v>354</v>
      </c>
      <c r="D116" s="514" t="s">
        <v>1106</v>
      </c>
      <c r="E116" s="368"/>
      <c r="F116" s="508" t="s">
        <v>126</v>
      </c>
      <c r="G116" s="512"/>
      <c r="H116" s="513"/>
      <c r="I116" s="369"/>
      <c r="J116" s="580">
        <v>2000</v>
      </c>
      <c r="K116" s="580"/>
      <c r="L116" s="580">
        <f t="shared" si="7"/>
        <v>2000</v>
      </c>
      <c r="M116" s="580">
        <f t="shared" si="8"/>
        <v>2000</v>
      </c>
      <c r="N116" s="580"/>
      <c r="O116" s="580">
        <f t="shared" si="10"/>
        <v>2000</v>
      </c>
    </row>
    <row r="117" spans="1:15" ht="12.75" customHeight="1">
      <c r="A117" s="499"/>
      <c r="B117" s="499"/>
      <c r="C117" s="499"/>
      <c r="D117" s="515" t="s">
        <v>468</v>
      </c>
      <c r="E117" s="368"/>
      <c r="F117" s="508"/>
      <c r="G117" s="287"/>
      <c r="H117" s="287"/>
      <c r="I117" s="369">
        <f t="shared" si="12"/>
        <v>0</v>
      </c>
      <c r="J117" s="580"/>
      <c r="K117" s="580"/>
      <c r="L117" s="580">
        <f t="shared" si="7"/>
        <v>0</v>
      </c>
      <c r="M117" s="580">
        <f t="shared" si="8"/>
        <v>0</v>
      </c>
      <c r="N117" s="580">
        <f t="shared" si="9"/>
        <v>0</v>
      </c>
      <c r="O117" s="580">
        <f t="shared" si="10"/>
        <v>0</v>
      </c>
    </row>
    <row r="118" spans="1:15" ht="12.75" customHeight="1">
      <c r="A118" s="499"/>
      <c r="B118" s="499"/>
      <c r="C118" s="470" t="s">
        <v>220</v>
      </c>
      <c r="D118" s="510" t="s">
        <v>42</v>
      </c>
      <c r="E118" s="368"/>
      <c r="F118" s="508"/>
      <c r="G118" s="286">
        <v>1191</v>
      </c>
      <c r="H118" s="286"/>
      <c r="I118" s="369">
        <f t="shared" si="12"/>
        <v>1191</v>
      </c>
      <c r="J118" s="580"/>
      <c r="K118" s="580"/>
      <c r="L118" s="580">
        <f t="shared" si="7"/>
        <v>0</v>
      </c>
      <c r="M118" s="580">
        <f t="shared" si="8"/>
        <v>1191</v>
      </c>
      <c r="N118" s="580">
        <f t="shared" si="9"/>
        <v>0</v>
      </c>
      <c r="O118" s="580">
        <f t="shared" si="10"/>
        <v>1191</v>
      </c>
    </row>
    <row r="119" spans="1:15" ht="12.75" customHeight="1">
      <c r="A119" s="499"/>
      <c r="B119" s="499"/>
      <c r="C119" s="470" t="s">
        <v>221</v>
      </c>
      <c r="D119" s="510" t="s">
        <v>858</v>
      </c>
      <c r="E119" s="368"/>
      <c r="F119" s="508"/>
      <c r="G119" s="286">
        <v>183</v>
      </c>
      <c r="H119" s="286"/>
      <c r="I119" s="369">
        <f t="shared" si="12"/>
        <v>183</v>
      </c>
      <c r="J119" s="580"/>
      <c r="K119" s="580"/>
      <c r="L119" s="580">
        <f t="shared" si="7"/>
        <v>0</v>
      </c>
      <c r="M119" s="580">
        <f t="shared" si="8"/>
        <v>183</v>
      </c>
      <c r="N119" s="580">
        <f t="shared" si="9"/>
        <v>0</v>
      </c>
      <c r="O119" s="580">
        <f t="shared" si="10"/>
        <v>183</v>
      </c>
    </row>
    <row r="120" spans="1:15" ht="15" customHeight="1">
      <c r="A120" s="499"/>
      <c r="B120" s="499"/>
      <c r="C120" s="470" t="s">
        <v>222</v>
      </c>
      <c r="D120" s="510" t="s">
        <v>44</v>
      </c>
      <c r="E120" s="368"/>
      <c r="F120" s="508"/>
      <c r="G120" s="286">
        <v>3925</v>
      </c>
      <c r="H120" s="286"/>
      <c r="I120" s="369">
        <f t="shared" si="12"/>
        <v>3925</v>
      </c>
      <c r="J120" s="580"/>
      <c r="K120" s="580"/>
      <c r="L120" s="580">
        <f t="shared" si="7"/>
        <v>0</v>
      </c>
      <c r="M120" s="580">
        <f t="shared" si="8"/>
        <v>3925</v>
      </c>
      <c r="N120" s="580">
        <f t="shared" si="9"/>
        <v>0</v>
      </c>
      <c r="O120" s="580">
        <f t="shared" si="10"/>
        <v>3925</v>
      </c>
    </row>
    <row r="121" spans="1:15" ht="12.75" customHeight="1">
      <c r="A121" s="499"/>
      <c r="B121" s="499"/>
      <c r="C121" s="470" t="s">
        <v>223</v>
      </c>
      <c r="D121" s="516" t="s">
        <v>45</v>
      </c>
      <c r="E121" s="368"/>
      <c r="F121" s="508"/>
      <c r="G121" s="286">
        <v>19791</v>
      </c>
      <c r="H121" s="286"/>
      <c r="I121" s="369">
        <f t="shared" si="12"/>
        <v>19791</v>
      </c>
      <c r="J121" s="580"/>
      <c r="K121" s="580"/>
      <c r="L121" s="580">
        <f t="shared" si="7"/>
        <v>0</v>
      </c>
      <c r="M121" s="580">
        <f t="shared" si="8"/>
        <v>19791</v>
      </c>
      <c r="N121" s="580">
        <f t="shared" si="9"/>
        <v>0</v>
      </c>
      <c r="O121" s="580">
        <f t="shared" si="10"/>
        <v>19791</v>
      </c>
    </row>
    <row r="122" spans="1:15" ht="24.75" customHeight="1">
      <c r="A122" s="499"/>
      <c r="B122" s="499"/>
      <c r="C122" s="470" t="s">
        <v>224</v>
      </c>
      <c r="D122" s="517" t="s">
        <v>199</v>
      </c>
      <c r="E122" s="368"/>
      <c r="F122" s="508"/>
      <c r="G122" s="286">
        <v>380</v>
      </c>
      <c r="H122" s="286"/>
      <c r="I122" s="369">
        <f t="shared" si="12"/>
        <v>380</v>
      </c>
      <c r="J122" s="580"/>
      <c r="K122" s="580"/>
      <c r="L122" s="580">
        <f t="shared" si="7"/>
        <v>0</v>
      </c>
      <c r="M122" s="580">
        <f t="shared" si="8"/>
        <v>380</v>
      </c>
      <c r="N122" s="580">
        <f t="shared" si="9"/>
        <v>0</v>
      </c>
      <c r="O122" s="580">
        <f t="shared" si="10"/>
        <v>380</v>
      </c>
    </row>
    <row r="123" spans="1:15" ht="12.75" customHeight="1">
      <c r="A123" s="499"/>
      <c r="B123" s="499"/>
      <c r="C123" s="470" t="s">
        <v>225</v>
      </c>
      <c r="D123" s="518" t="s">
        <v>46</v>
      </c>
      <c r="E123" s="368"/>
      <c r="F123" s="508"/>
      <c r="G123" s="286">
        <v>13014</v>
      </c>
      <c r="H123" s="286"/>
      <c r="I123" s="369">
        <f t="shared" si="12"/>
        <v>13014</v>
      </c>
      <c r="J123" s="580"/>
      <c r="K123" s="580"/>
      <c r="L123" s="580">
        <f t="shared" si="7"/>
        <v>0</v>
      </c>
      <c r="M123" s="580">
        <f t="shared" si="8"/>
        <v>13014</v>
      </c>
      <c r="N123" s="580">
        <f t="shared" si="9"/>
        <v>0</v>
      </c>
      <c r="O123" s="580">
        <f t="shared" si="10"/>
        <v>13014</v>
      </c>
    </row>
    <row r="124" spans="1:15" ht="12.75" customHeight="1">
      <c r="A124" s="499"/>
      <c r="B124" s="499"/>
      <c r="C124" s="470" t="s">
        <v>226</v>
      </c>
      <c r="D124" s="510" t="s">
        <v>859</v>
      </c>
      <c r="E124" s="368"/>
      <c r="F124" s="508"/>
      <c r="G124" s="286">
        <v>387</v>
      </c>
      <c r="H124" s="286"/>
      <c r="I124" s="369">
        <f t="shared" si="12"/>
        <v>387</v>
      </c>
      <c r="J124" s="580"/>
      <c r="K124" s="580"/>
      <c r="L124" s="580">
        <f t="shared" si="7"/>
        <v>0</v>
      </c>
      <c r="M124" s="580">
        <f t="shared" si="8"/>
        <v>387</v>
      </c>
      <c r="N124" s="580">
        <f t="shared" si="9"/>
        <v>0</v>
      </c>
      <c r="O124" s="580">
        <f t="shared" si="10"/>
        <v>387</v>
      </c>
    </row>
    <row r="125" spans="1:15" ht="12.75" customHeight="1">
      <c r="A125" s="499"/>
      <c r="B125" s="499"/>
      <c r="C125" s="470" t="s">
        <v>227</v>
      </c>
      <c r="D125" s="510" t="s">
        <v>47</v>
      </c>
      <c r="E125" s="368"/>
      <c r="F125" s="508"/>
      <c r="G125" s="286">
        <v>5000</v>
      </c>
      <c r="H125" s="286"/>
      <c r="I125" s="369">
        <f t="shared" si="12"/>
        <v>5000</v>
      </c>
      <c r="J125" s="580"/>
      <c r="K125" s="580"/>
      <c r="L125" s="580">
        <f t="shared" si="7"/>
        <v>0</v>
      </c>
      <c r="M125" s="580">
        <f t="shared" si="8"/>
        <v>5000</v>
      </c>
      <c r="N125" s="580">
        <f t="shared" si="9"/>
        <v>0</v>
      </c>
      <c r="O125" s="580">
        <f t="shared" si="10"/>
        <v>5000</v>
      </c>
    </row>
    <row r="126" spans="1:15" ht="12.75" customHeight="1">
      <c r="A126" s="499"/>
      <c r="B126" s="499"/>
      <c r="C126" s="470" t="s">
        <v>228</v>
      </c>
      <c r="D126" s="510" t="s">
        <v>48</v>
      </c>
      <c r="E126" s="368"/>
      <c r="F126" s="508"/>
      <c r="G126" s="286">
        <v>6934</v>
      </c>
      <c r="H126" s="286"/>
      <c r="I126" s="369">
        <f t="shared" si="12"/>
        <v>6934</v>
      </c>
      <c r="J126" s="580"/>
      <c r="K126" s="580"/>
      <c r="L126" s="580">
        <f t="shared" si="7"/>
        <v>0</v>
      </c>
      <c r="M126" s="580">
        <f t="shared" si="8"/>
        <v>6934</v>
      </c>
      <c r="N126" s="580">
        <f t="shared" si="9"/>
        <v>0</v>
      </c>
      <c r="O126" s="580">
        <f t="shared" si="10"/>
        <v>6934</v>
      </c>
    </row>
    <row r="127" spans="1:15" ht="15" customHeight="1">
      <c r="A127" s="499"/>
      <c r="B127" s="499"/>
      <c r="C127" s="470" t="s">
        <v>229</v>
      </c>
      <c r="D127" s="519" t="s">
        <v>202</v>
      </c>
      <c r="E127" s="368"/>
      <c r="F127" s="508"/>
      <c r="G127" s="286">
        <v>273</v>
      </c>
      <c r="H127" s="286"/>
      <c r="I127" s="369">
        <f t="shared" si="12"/>
        <v>273</v>
      </c>
      <c r="J127" s="580"/>
      <c r="K127" s="580"/>
      <c r="L127" s="580">
        <f t="shared" si="7"/>
        <v>0</v>
      </c>
      <c r="M127" s="580">
        <f t="shared" si="8"/>
        <v>273</v>
      </c>
      <c r="N127" s="580">
        <f t="shared" si="9"/>
        <v>0</v>
      </c>
      <c r="O127" s="580">
        <f t="shared" si="10"/>
        <v>273</v>
      </c>
    </row>
    <row r="128" spans="1:15" ht="24.75" customHeight="1">
      <c r="A128" s="499"/>
      <c r="B128" s="499"/>
      <c r="C128" s="470" t="s">
        <v>230</v>
      </c>
      <c r="D128" s="520" t="s">
        <v>860</v>
      </c>
      <c r="E128" s="368"/>
      <c r="F128" s="508"/>
      <c r="G128" s="286">
        <v>536</v>
      </c>
      <c r="H128" s="286"/>
      <c r="I128" s="369">
        <f t="shared" si="12"/>
        <v>536</v>
      </c>
      <c r="J128" s="580"/>
      <c r="K128" s="580"/>
      <c r="L128" s="580">
        <f t="shared" si="7"/>
        <v>0</v>
      </c>
      <c r="M128" s="580">
        <f t="shared" si="8"/>
        <v>536</v>
      </c>
      <c r="N128" s="580">
        <f t="shared" si="9"/>
        <v>0</v>
      </c>
      <c r="O128" s="580">
        <f t="shared" si="10"/>
        <v>536</v>
      </c>
    </row>
    <row r="129" spans="1:15" ht="12.75" customHeight="1">
      <c r="A129" s="499"/>
      <c r="B129" s="499"/>
      <c r="C129" s="470" t="s">
        <v>231</v>
      </c>
      <c r="D129" s="520" t="s">
        <v>341</v>
      </c>
      <c r="E129" s="368"/>
      <c r="F129" s="508"/>
      <c r="G129" s="286">
        <v>2000</v>
      </c>
      <c r="H129" s="286"/>
      <c r="I129" s="369">
        <f t="shared" si="12"/>
        <v>2000</v>
      </c>
      <c r="J129" s="580"/>
      <c r="K129" s="580"/>
      <c r="L129" s="580">
        <f t="shared" si="7"/>
        <v>0</v>
      </c>
      <c r="M129" s="580">
        <f t="shared" si="8"/>
        <v>2000</v>
      </c>
      <c r="N129" s="580">
        <f t="shared" si="9"/>
        <v>0</v>
      </c>
      <c r="O129" s="580">
        <f t="shared" si="10"/>
        <v>2000</v>
      </c>
    </row>
    <row r="130" spans="1:15" ht="12.75" customHeight="1">
      <c r="A130" s="499"/>
      <c r="B130" s="499"/>
      <c r="C130" s="329" t="s">
        <v>268</v>
      </c>
      <c r="D130" s="330" t="s">
        <v>197</v>
      </c>
      <c r="E130" s="483"/>
      <c r="F130" s="700"/>
      <c r="G130" s="318"/>
      <c r="H130" s="318"/>
      <c r="I130" s="369"/>
      <c r="J130" s="580"/>
      <c r="K130" s="580"/>
      <c r="L130" s="580"/>
      <c r="M130" s="580"/>
      <c r="N130" s="580"/>
      <c r="O130" s="580"/>
    </row>
    <row r="131" spans="1:15" ht="12.75" customHeight="1">
      <c r="A131" s="499"/>
      <c r="B131" s="499"/>
      <c r="C131" s="335" t="s">
        <v>309</v>
      </c>
      <c r="D131" s="367" t="s">
        <v>861</v>
      </c>
      <c r="E131" s="483"/>
      <c r="F131" s="700"/>
      <c r="G131" s="318">
        <v>2000</v>
      </c>
      <c r="H131" s="318"/>
      <c r="I131" s="369">
        <f t="shared" si="12"/>
        <v>2000</v>
      </c>
      <c r="J131" s="580"/>
      <c r="K131" s="580"/>
      <c r="L131" s="580">
        <f t="shared" si="7"/>
        <v>0</v>
      </c>
      <c r="M131" s="580">
        <f t="shared" si="8"/>
        <v>2000</v>
      </c>
      <c r="N131" s="580">
        <f t="shared" si="9"/>
        <v>0</v>
      </c>
      <c r="O131" s="580">
        <f t="shared" si="10"/>
        <v>2000</v>
      </c>
    </row>
    <row r="132" spans="1:15" ht="12.75" customHeight="1">
      <c r="A132" s="499"/>
      <c r="B132" s="499"/>
      <c r="C132" s="335" t="s">
        <v>310</v>
      </c>
      <c r="D132" s="367" t="s">
        <v>862</v>
      </c>
      <c r="E132" s="483"/>
      <c r="F132" s="700"/>
      <c r="G132" s="318">
        <v>2000</v>
      </c>
      <c r="H132" s="318"/>
      <c r="I132" s="369">
        <f t="shared" si="12"/>
        <v>2000</v>
      </c>
      <c r="J132" s="580"/>
      <c r="K132" s="580"/>
      <c r="L132" s="580">
        <f t="shared" si="7"/>
        <v>0</v>
      </c>
      <c r="M132" s="580">
        <f t="shared" si="8"/>
        <v>2000</v>
      </c>
      <c r="N132" s="580">
        <f t="shared" si="9"/>
        <v>0</v>
      </c>
      <c r="O132" s="580">
        <f t="shared" si="10"/>
        <v>2000</v>
      </c>
    </row>
    <row r="133" spans="1:15" ht="12.75" customHeight="1">
      <c r="A133" s="499"/>
      <c r="B133" s="499"/>
      <c r="C133" s="335" t="s">
        <v>311</v>
      </c>
      <c r="D133" s="367" t="s">
        <v>863</v>
      </c>
      <c r="E133" s="483"/>
      <c r="F133" s="700"/>
      <c r="G133" s="318">
        <v>1500</v>
      </c>
      <c r="H133" s="318"/>
      <c r="I133" s="369">
        <f t="shared" si="12"/>
        <v>1500</v>
      </c>
      <c r="J133" s="580"/>
      <c r="K133" s="580"/>
      <c r="L133" s="580">
        <f t="shared" si="7"/>
        <v>0</v>
      </c>
      <c r="M133" s="580">
        <f t="shared" si="8"/>
        <v>1500</v>
      </c>
      <c r="N133" s="580">
        <f t="shared" si="9"/>
        <v>0</v>
      </c>
      <c r="O133" s="580">
        <f t="shared" si="10"/>
        <v>1500</v>
      </c>
    </row>
    <row r="134" spans="1:15" ht="12.75" customHeight="1">
      <c r="A134" s="499"/>
      <c r="B134" s="499"/>
      <c r="C134" s="335" t="s">
        <v>312</v>
      </c>
      <c r="D134" s="321" t="s">
        <v>864</v>
      </c>
      <c r="E134" s="483"/>
      <c r="F134" s="700"/>
      <c r="G134" s="318">
        <v>800</v>
      </c>
      <c r="H134" s="318"/>
      <c r="I134" s="369">
        <f t="shared" si="12"/>
        <v>800</v>
      </c>
      <c r="J134" s="580"/>
      <c r="K134" s="580"/>
      <c r="L134" s="580">
        <f t="shared" si="7"/>
        <v>0</v>
      </c>
      <c r="M134" s="580">
        <f t="shared" si="8"/>
        <v>800</v>
      </c>
      <c r="N134" s="580">
        <f t="shared" si="9"/>
        <v>0</v>
      </c>
      <c r="O134" s="580">
        <f t="shared" si="10"/>
        <v>800</v>
      </c>
    </row>
    <row r="135" spans="1:15" ht="12.75" customHeight="1">
      <c r="A135" s="499"/>
      <c r="B135" s="499"/>
      <c r="C135" s="335" t="s">
        <v>507</v>
      </c>
      <c r="D135" s="321" t="s">
        <v>865</v>
      </c>
      <c r="E135" s="483"/>
      <c r="F135" s="700"/>
      <c r="G135" s="318">
        <v>500</v>
      </c>
      <c r="H135" s="318"/>
      <c r="I135" s="369">
        <f t="shared" si="12"/>
        <v>500</v>
      </c>
      <c r="J135" s="580"/>
      <c r="K135" s="580"/>
      <c r="L135" s="580">
        <f t="shared" si="7"/>
        <v>0</v>
      </c>
      <c r="M135" s="580">
        <f t="shared" si="8"/>
        <v>500</v>
      </c>
      <c r="N135" s="580">
        <f t="shared" si="9"/>
        <v>0</v>
      </c>
      <c r="O135" s="580">
        <f t="shared" si="10"/>
        <v>500</v>
      </c>
    </row>
    <row r="136" spans="1:15" ht="12.75" customHeight="1">
      <c r="A136" s="499"/>
      <c r="B136" s="499"/>
      <c r="C136" s="335" t="s">
        <v>509</v>
      </c>
      <c r="D136" s="344" t="s">
        <v>866</v>
      </c>
      <c r="E136" s="483"/>
      <c r="F136" s="700"/>
      <c r="G136" s="318">
        <v>2400</v>
      </c>
      <c r="H136" s="318"/>
      <c r="I136" s="369">
        <f t="shared" si="12"/>
        <v>2400</v>
      </c>
      <c r="J136" s="580"/>
      <c r="K136" s="580"/>
      <c r="L136" s="580">
        <f t="shared" si="7"/>
        <v>0</v>
      </c>
      <c r="M136" s="580">
        <f t="shared" si="8"/>
        <v>2400</v>
      </c>
      <c r="N136" s="580">
        <f t="shared" si="9"/>
        <v>0</v>
      </c>
      <c r="O136" s="580">
        <f t="shared" si="10"/>
        <v>2400</v>
      </c>
    </row>
    <row r="137" spans="1:15" ht="12.75" customHeight="1">
      <c r="A137" s="499"/>
      <c r="B137" s="499"/>
      <c r="C137" s="335" t="s">
        <v>511</v>
      </c>
      <c r="D137" s="344" t="s">
        <v>867</v>
      </c>
      <c r="E137" s="483"/>
      <c r="F137" s="700"/>
      <c r="G137" s="318">
        <v>600</v>
      </c>
      <c r="H137" s="318"/>
      <c r="I137" s="369">
        <f t="shared" si="12"/>
        <v>600</v>
      </c>
      <c r="J137" s="580"/>
      <c r="K137" s="580"/>
      <c r="L137" s="580">
        <f aca="true" t="shared" si="13" ref="L137:L191">SUM(J137:K137)</f>
        <v>0</v>
      </c>
      <c r="M137" s="580">
        <f aca="true" t="shared" si="14" ref="M137:M190">SUM(G137+J137)</f>
        <v>600</v>
      </c>
      <c r="N137" s="580">
        <f aca="true" t="shared" si="15" ref="N137:N190">SUM(H137+K137)</f>
        <v>0</v>
      </c>
      <c r="O137" s="580">
        <f aca="true" t="shared" si="16" ref="O137:O191">SUM(M137:N137)</f>
        <v>600</v>
      </c>
    </row>
    <row r="138" spans="1:15" ht="12.75" customHeight="1">
      <c r="A138" s="499"/>
      <c r="B138" s="499"/>
      <c r="C138" s="335" t="s">
        <v>515</v>
      </c>
      <c r="D138" s="521" t="s">
        <v>868</v>
      </c>
      <c r="E138" s="483"/>
      <c r="F138" s="700" t="s">
        <v>346</v>
      </c>
      <c r="G138" s="318">
        <v>3000</v>
      </c>
      <c r="H138" s="318"/>
      <c r="I138" s="369">
        <f t="shared" si="12"/>
        <v>3000</v>
      </c>
      <c r="J138" s="580">
        <v>4000</v>
      </c>
      <c r="K138" s="580"/>
      <c r="L138" s="580">
        <f t="shared" si="13"/>
        <v>4000</v>
      </c>
      <c r="M138" s="580">
        <f t="shared" si="14"/>
        <v>7000</v>
      </c>
      <c r="N138" s="580">
        <f t="shared" si="15"/>
        <v>0</v>
      </c>
      <c r="O138" s="580">
        <f t="shared" si="16"/>
        <v>7000</v>
      </c>
    </row>
    <row r="139" spans="1:15" ht="12.75" customHeight="1">
      <c r="A139" s="499"/>
      <c r="B139" s="499"/>
      <c r="C139" s="335"/>
      <c r="D139" s="515" t="s">
        <v>468</v>
      </c>
      <c r="E139" s="483"/>
      <c r="F139" s="700"/>
      <c r="G139" s="318"/>
      <c r="H139" s="318"/>
      <c r="I139" s="369"/>
      <c r="J139" s="580"/>
      <c r="K139" s="580"/>
      <c r="L139" s="580">
        <f t="shared" si="13"/>
        <v>0</v>
      </c>
      <c r="M139" s="580">
        <f t="shared" si="14"/>
        <v>0</v>
      </c>
      <c r="N139" s="580">
        <f t="shared" si="15"/>
        <v>0</v>
      </c>
      <c r="O139" s="580">
        <f t="shared" si="16"/>
        <v>0</v>
      </c>
    </row>
    <row r="140" spans="1:15" ht="15" customHeight="1">
      <c r="A140" s="499"/>
      <c r="B140" s="499"/>
      <c r="C140" s="335" t="s">
        <v>469</v>
      </c>
      <c r="D140" s="522" t="s">
        <v>232</v>
      </c>
      <c r="E140" s="483"/>
      <c r="F140" s="700"/>
      <c r="G140" s="318">
        <v>2900</v>
      </c>
      <c r="H140" s="318"/>
      <c r="I140" s="369">
        <f aca="true" t="shared" si="17" ref="I140:I152">SUM(G140:H140)</f>
        <v>2900</v>
      </c>
      <c r="J140" s="580"/>
      <c r="K140" s="580"/>
      <c r="L140" s="580">
        <f t="shared" si="13"/>
        <v>0</v>
      </c>
      <c r="M140" s="580">
        <f t="shared" si="14"/>
        <v>2900</v>
      </c>
      <c r="N140" s="580">
        <f t="shared" si="15"/>
        <v>0</v>
      </c>
      <c r="O140" s="580">
        <f t="shared" si="16"/>
        <v>2900</v>
      </c>
    </row>
    <row r="141" spans="1:15" ht="12.75" customHeight="1">
      <c r="A141" s="499"/>
      <c r="B141" s="499"/>
      <c r="C141" s="523" t="s">
        <v>319</v>
      </c>
      <c r="D141" s="524" t="s">
        <v>320</v>
      </c>
      <c r="E141" s="368"/>
      <c r="F141" s="508"/>
      <c r="G141" s="287"/>
      <c r="H141" s="287"/>
      <c r="I141" s="369"/>
      <c r="J141" s="580"/>
      <c r="K141" s="580"/>
      <c r="L141" s="580"/>
      <c r="M141" s="580"/>
      <c r="N141" s="580"/>
      <c r="O141" s="580"/>
    </row>
    <row r="142" spans="1:15" ht="12.75" customHeight="1">
      <c r="A142" s="499"/>
      <c r="B142" s="499"/>
      <c r="C142" s="523" t="s">
        <v>907</v>
      </c>
      <c r="D142" s="292" t="s">
        <v>869</v>
      </c>
      <c r="E142" s="368"/>
      <c r="F142" s="508"/>
      <c r="G142" s="286">
        <v>3000</v>
      </c>
      <c r="H142" s="287"/>
      <c r="I142" s="369">
        <f t="shared" si="17"/>
        <v>3000</v>
      </c>
      <c r="J142" s="580"/>
      <c r="K142" s="580"/>
      <c r="L142" s="580">
        <f t="shared" si="13"/>
        <v>0</v>
      </c>
      <c r="M142" s="580">
        <f t="shared" si="14"/>
        <v>3000</v>
      </c>
      <c r="N142" s="580">
        <f t="shared" si="15"/>
        <v>0</v>
      </c>
      <c r="O142" s="580">
        <f t="shared" si="16"/>
        <v>3000</v>
      </c>
    </row>
    <row r="143" spans="1:15" ht="12.75" customHeight="1">
      <c r="A143" s="499"/>
      <c r="B143" s="499"/>
      <c r="C143" s="523" t="s">
        <v>908</v>
      </c>
      <c r="D143" s="525" t="s">
        <v>870</v>
      </c>
      <c r="E143" s="368"/>
      <c r="F143" s="508"/>
      <c r="G143" s="286">
        <v>3000</v>
      </c>
      <c r="H143" s="287"/>
      <c r="I143" s="369">
        <f t="shared" si="17"/>
        <v>3000</v>
      </c>
      <c r="J143" s="580"/>
      <c r="K143" s="580"/>
      <c r="L143" s="580">
        <f t="shared" si="13"/>
        <v>0</v>
      </c>
      <c r="M143" s="580">
        <f t="shared" si="14"/>
        <v>3000</v>
      </c>
      <c r="N143" s="580">
        <f t="shared" si="15"/>
        <v>0</v>
      </c>
      <c r="O143" s="580">
        <f t="shared" si="16"/>
        <v>3000</v>
      </c>
    </row>
    <row r="144" spans="1:15" ht="12.75" customHeight="1">
      <c r="A144" s="499"/>
      <c r="B144" s="499"/>
      <c r="C144" s="523" t="s">
        <v>7</v>
      </c>
      <c r="D144" s="367" t="s">
        <v>871</v>
      </c>
      <c r="E144" s="368"/>
      <c r="F144" s="508"/>
      <c r="G144" s="286">
        <v>1000</v>
      </c>
      <c r="H144" s="287"/>
      <c r="I144" s="369">
        <f t="shared" si="17"/>
        <v>1000</v>
      </c>
      <c r="J144" s="580"/>
      <c r="K144" s="580"/>
      <c r="L144" s="580">
        <f t="shared" si="13"/>
        <v>0</v>
      </c>
      <c r="M144" s="580">
        <f t="shared" si="14"/>
        <v>1000</v>
      </c>
      <c r="N144" s="580">
        <f t="shared" si="15"/>
        <v>0</v>
      </c>
      <c r="O144" s="580">
        <f t="shared" si="16"/>
        <v>1000</v>
      </c>
    </row>
    <row r="145" spans="1:15" ht="12.75" customHeight="1">
      <c r="A145" s="499"/>
      <c r="B145" s="499"/>
      <c r="C145" s="523" t="s">
        <v>8</v>
      </c>
      <c r="D145" s="367" t="s">
        <v>872</v>
      </c>
      <c r="E145" s="368"/>
      <c r="F145" s="508"/>
      <c r="G145" s="286">
        <v>500</v>
      </c>
      <c r="H145" s="287"/>
      <c r="I145" s="369">
        <f t="shared" si="17"/>
        <v>500</v>
      </c>
      <c r="J145" s="580"/>
      <c r="K145" s="580"/>
      <c r="L145" s="580">
        <f t="shared" si="13"/>
        <v>0</v>
      </c>
      <c r="M145" s="580">
        <f t="shared" si="14"/>
        <v>500</v>
      </c>
      <c r="N145" s="580">
        <f t="shared" si="15"/>
        <v>0</v>
      </c>
      <c r="O145" s="580">
        <f t="shared" si="16"/>
        <v>500</v>
      </c>
    </row>
    <row r="146" spans="1:15" ht="12.75" customHeight="1">
      <c r="A146" s="499"/>
      <c r="B146" s="499"/>
      <c r="C146" s="523" t="s">
        <v>873</v>
      </c>
      <c r="D146" s="367" t="s">
        <v>874</v>
      </c>
      <c r="E146" s="368"/>
      <c r="F146" s="508"/>
      <c r="G146" s="286">
        <v>1000</v>
      </c>
      <c r="H146" s="287"/>
      <c r="I146" s="369">
        <f t="shared" si="17"/>
        <v>1000</v>
      </c>
      <c r="J146" s="580"/>
      <c r="K146" s="580"/>
      <c r="L146" s="580">
        <f t="shared" si="13"/>
        <v>0</v>
      </c>
      <c r="M146" s="580">
        <f t="shared" si="14"/>
        <v>1000</v>
      </c>
      <c r="N146" s="580">
        <f t="shared" si="15"/>
        <v>0</v>
      </c>
      <c r="O146" s="580">
        <f t="shared" si="16"/>
        <v>1000</v>
      </c>
    </row>
    <row r="147" spans="1:15" ht="12.75" customHeight="1">
      <c r="A147" s="499"/>
      <c r="B147" s="499"/>
      <c r="C147" s="523" t="s">
        <v>875</v>
      </c>
      <c r="D147" s="344" t="s">
        <v>876</v>
      </c>
      <c r="E147" s="368"/>
      <c r="F147" s="508" t="s">
        <v>126</v>
      </c>
      <c r="G147" s="286">
        <v>300</v>
      </c>
      <c r="H147" s="287"/>
      <c r="I147" s="369">
        <f t="shared" si="17"/>
        <v>300</v>
      </c>
      <c r="J147" s="580">
        <v>-300</v>
      </c>
      <c r="K147" s="580"/>
      <c r="L147" s="580">
        <f t="shared" si="13"/>
        <v>-300</v>
      </c>
      <c r="M147" s="580">
        <f t="shared" si="14"/>
        <v>0</v>
      </c>
      <c r="N147" s="580">
        <f t="shared" si="15"/>
        <v>0</v>
      </c>
      <c r="O147" s="580">
        <f t="shared" si="16"/>
        <v>0</v>
      </c>
    </row>
    <row r="148" spans="1:15" ht="12.75" customHeight="1">
      <c r="A148" s="499"/>
      <c r="B148" s="499"/>
      <c r="C148" s="329" t="s">
        <v>321</v>
      </c>
      <c r="D148" s="337" t="s">
        <v>322</v>
      </c>
      <c r="E148" s="368"/>
      <c r="F148" s="508"/>
      <c r="G148" s="286"/>
      <c r="H148" s="286"/>
      <c r="I148" s="369"/>
      <c r="J148" s="580"/>
      <c r="K148" s="580"/>
      <c r="L148" s="580"/>
      <c r="M148" s="580"/>
      <c r="N148" s="580"/>
      <c r="O148" s="580"/>
    </row>
    <row r="149" spans="1:15" ht="12.75" customHeight="1">
      <c r="A149" s="499"/>
      <c r="B149" s="499"/>
      <c r="C149" s="499" t="s">
        <v>323</v>
      </c>
      <c r="D149" s="476" t="s">
        <v>877</v>
      </c>
      <c r="E149" s="368"/>
      <c r="F149" s="508" t="s">
        <v>377</v>
      </c>
      <c r="G149" s="286">
        <v>900</v>
      </c>
      <c r="H149" s="286"/>
      <c r="I149" s="369">
        <f t="shared" si="17"/>
        <v>900</v>
      </c>
      <c r="J149" s="580">
        <v>250</v>
      </c>
      <c r="K149" s="580"/>
      <c r="L149" s="580">
        <f t="shared" si="13"/>
        <v>250</v>
      </c>
      <c r="M149" s="580">
        <f t="shared" si="14"/>
        <v>1150</v>
      </c>
      <c r="N149" s="580">
        <f t="shared" si="15"/>
        <v>0</v>
      </c>
      <c r="O149" s="580">
        <f t="shared" si="16"/>
        <v>1150</v>
      </c>
    </row>
    <row r="150" spans="1:15" ht="12.75" customHeight="1">
      <c r="A150" s="499"/>
      <c r="B150" s="499"/>
      <c r="C150" s="499" t="s">
        <v>324</v>
      </c>
      <c r="D150" s="476" t="s">
        <v>878</v>
      </c>
      <c r="E150" s="368"/>
      <c r="F150" s="508" t="s">
        <v>126</v>
      </c>
      <c r="G150" s="286">
        <v>500</v>
      </c>
      <c r="H150" s="286"/>
      <c r="I150" s="369">
        <f t="shared" si="17"/>
        <v>500</v>
      </c>
      <c r="J150" s="580">
        <v>-500</v>
      </c>
      <c r="K150" s="580">
        <v>500</v>
      </c>
      <c r="L150" s="580">
        <f t="shared" si="13"/>
        <v>0</v>
      </c>
      <c r="M150" s="580">
        <f t="shared" si="14"/>
        <v>0</v>
      </c>
      <c r="N150" s="580">
        <f t="shared" si="15"/>
        <v>500</v>
      </c>
      <c r="O150" s="580">
        <f t="shared" si="16"/>
        <v>500</v>
      </c>
    </row>
    <row r="151" spans="1:15" ht="12.75" customHeight="1">
      <c r="A151" s="499"/>
      <c r="B151" s="499"/>
      <c r="C151" s="499" t="s">
        <v>325</v>
      </c>
      <c r="D151" s="477" t="s">
        <v>879</v>
      </c>
      <c r="E151" s="368"/>
      <c r="F151" s="508" t="s">
        <v>126</v>
      </c>
      <c r="G151" s="286">
        <v>5000</v>
      </c>
      <c r="H151" s="286"/>
      <c r="I151" s="369">
        <f t="shared" si="17"/>
        <v>5000</v>
      </c>
      <c r="J151" s="580">
        <v>-3800</v>
      </c>
      <c r="K151" s="580">
        <v>3800</v>
      </c>
      <c r="L151" s="580">
        <f t="shared" si="13"/>
        <v>0</v>
      </c>
      <c r="M151" s="580">
        <f t="shared" si="14"/>
        <v>1200</v>
      </c>
      <c r="N151" s="580">
        <f t="shared" si="15"/>
        <v>3800</v>
      </c>
      <c r="O151" s="580">
        <f t="shared" si="16"/>
        <v>5000</v>
      </c>
    </row>
    <row r="152" spans="1:15" ht="12.75" customHeight="1">
      <c r="A152" s="499"/>
      <c r="B152" s="499"/>
      <c r="C152" s="499" t="s">
        <v>326</v>
      </c>
      <c r="D152" s="526" t="s">
        <v>880</v>
      </c>
      <c r="E152" s="368"/>
      <c r="F152" s="508"/>
      <c r="G152" s="286"/>
      <c r="H152" s="286">
        <v>1000</v>
      </c>
      <c r="I152" s="369">
        <f t="shared" si="17"/>
        <v>1000</v>
      </c>
      <c r="J152" s="580"/>
      <c r="K152" s="580"/>
      <c r="L152" s="580">
        <f t="shared" si="13"/>
        <v>0</v>
      </c>
      <c r="M152" s="580">
        <f t="shared" si="14"/>
        <v>0</v>
      </c>
      <c r="N152" s="580">
        <f t="shared" si="15"/>
        <v>1000</v>
      </c>
      <c r="O152" s="580">
        <f t="shared" si="16"/>
        <v>1000</v>
      </c>
    </row>
    <row r="153" spans="1:15" ht="12.75" customHeight="1">
      <c r="A153" s="499"/>
      <c r="B153" s="499"/>
      <c r="C153" s="499"/>
      <c r="D153" s="488" t="s">
        <v>468</v>
      </c>
      <c r="E153" s="368"/>
      <c r="F153" s="725"/>
      <c r="G153" s="726"/>
      <c r="I153" s="369"/>
      <c r="J153" s="580"/>
      <c r="K153" s="580"/>
      <c r="L153" s="580"/>
      <c r="M153" s="580"/>
      <c r="N153" s="580"/>
      <c r="O153" s="580"/>
    </row>
    <row r="154" spans="1:15" ht="12.75" customHeight="1">
      <c r="A154" s="499"/>
      <c r="B154" s="499"/>
      <c r="C154" s="499" t="s">
        <v>189</v>
      </c>
      <c r="D154" s="527" t="s">
        <v>881</v>
      </c>
      <c r="E154" s="368"/>
      <c r="F154" s="508"/>
      <c r="G154" s="286">
        <v>5167</v>
      </c>
      <c r="H154" s="286"/>
      <c r="I154" s="369">
        <f>SUM(G154:H154)</f>
        <v>5167</v>
      </c>
      <c r="J154" s="580"/>
      <c r="K154" s="580"/>
      <c r="L154" s="580">
        <f t="shared" si="13"/>
        <v>0</v>
      </c>
      <c r="M154" s="580">
        <f t="shared" si="14"/>
        <v>5167</v>
      </c>
      <c r="N154" s="580">
        <f t="shared" si="15"/>
        <v>0</v>
      </c>
      <c r="O154" s="580">
        <f t="shared" si="16"/>
        <v>5167</v>
      </c>
    </row>
    <row r="155" spans="1:15" ht="12.75" customHeight="1">
      <c r="A155" s="528"/>
      <c r="B155" s="528"/>
      <c r="C155" s="528"/>
      <c r="D155" s="358" t="s">
        <v>245</v>
      </c>
      <c r="E155" s="496"/>
      <c r="F155" s="711"/>
      <c r="G155" s="497">
        <f>SUM(G46:G154)</f>
        <v>396156</v>
      </c>
      <c r="H155" s="497">
        <f>SUM(H46:H154)</f>
        <v>1000</v>
      </c>
      <c r="I155" s="498">
        <f>SUM(G155:H155)</f>
        <v>397156</v>
      </c>
      <c r="J155" s="722">
        <f>SUM(J47:J154)</f>
        <v>2456</v>
      </c>
      <c r="K155" s="722">
        <f>SUM(K47:K154)</f>
        <v>4300</v>
      </c>
      <c r="L155" s="722">
        <f t="shared" si="13"/>
        <v>6756</v>
      </c>
      <c r="M155" s="722">
        <f t="shared" si="14"/>
        <v>398612</v>
      </c>
      <c r="N155" s="722">
        <f t="shared" si="15"/>
        <v>5300</v>
      </c>
      <c r="O155" s="722">
        <f t="shared" si="16"/>
        <v>403912</v>
      </c>
    </row>
    <row r="156" spans="1:15" ht="12.75" customHeight="1">
      <c r="A156" s="506">
        <v>1</v>
      </c>
      <c r="B156" s="506">
        <v>16</v>
      </c>
      <c r="C156" s="506"/>
      <c r="D156" s="529" t="s">
        <v>64</v>
      </c>
      <c r="E156" s="530"/>
      <c r="F156" s="713"/>
      <c r="G156" s="531"/>
      <c r="H156" s="531"/>
      <c r="I156" s="570"/>
      <c r="J156" s="580"/>
      <c r="K156" s="580"/>
      <c r="L156" s="580"/>
      <c r="M156" s="580"/>
      <c r="N156" s="580"/>
      <c r="O156" s="580"/>
    </row>
    <row r="157" spans="1:15" ht="12.75" customHeight="1">
      <c r="A157" s="506"/>
      <c r="B157" s="506"/>
      <c r="C157" s="329" t="s">
        <v>267</v>
      </c>
      <c r="D157" s="330" t="s">
        <v>882</v>
      </c>
      <c r="E157" s="530"/>
      <c r="F157" s="713"/>
      <c r="G157" s="531"/>
      <c r="H157" s="531"/>
      <c r="I157" s="570"/>
      <c r="J157" s="580"/>
      <c r="K157" s="580"/>
      <c r="L157" s="580"/>
      <c r="M157" s="580"/>
      <c r="N157" s="580"/>
      <c r="O157" s="580"/>
    </row>
    <row r="158" spans="1:15" ht="12.75" customHeight="1">
      <c r="A158" s="506"/>
      <c r="B158" s="506"/>
      <c r="C158" s="506" t="s">
        <v>273</v>
      </c>
      <c r="D158" s="327" t="s">
        <v>883</v>
      </c>
      <c r="E158" s="508"/>
      <c r="F158" s="508" t="s">
        <v>126</v>
      </c>
      <c r="G158" s="286">
        <v>4000</v>
      </c>
      <c r="H158" s="287"/>
      <c r="I158" s="369">
        <f>SUM(G158:H158)</f>
        <v>4000</v>
      </c>
      <c r="J158" s="580">
        <v>-4000</v>
      </c>
      <c r="K158" s="580"/>
      <c r="L158" s="580">
        <f t="shared" si="13"/>
        <v>-4000</v>
      </c>
      <c r="M158" s="580">
        <f t="shared" si="14"/>
        <v>0</v>
      </c>
      <c r="N158" s="580">
        <f t="shared" si="15"/>
        <v>0</v>
      </c>
      <c r="O158" s="580">
        <f t="shared" si="16"/>
        <v>0</v>
      </c>
    </row>
    <row r="159" spans="1:15" ht="12.75" customHeight="1">
      <c r="A159" s="506"/>
      <c r="B159" s="506"/>
      <c r="C159" s="506" t="s">
        <v>274</v>
      </c>
      <c r="D159" s="338" t="s">
        <v>884</v>
      </c>
      <c r="E159" s="508"/>
      <c r="F159" s="508"/>
      <c r="G159" s="286">
        <v>1500</v>
      </c>
      <c r="H159" s="287"/>
      <c r="I159" s="369">
        <f>SUM(G159:H159)</f>
        <v>1500</v>
      </c>
      <c r="J159" s="580"/>
      <c r="K159" s="580"/>
      <c r="L159" s="580">
        <f t="shared" si="13"/>
        <v>0</v>
      </c>
      <c r="M159" s="580">
        <f t="shared" si="14"/>
        <v>1500</v>
      </c>
      <c r="N159" s="580">
        <f t="shared" si="15"/>
        <v>0</v>
      </c>
      <c r="O159" s="580">
        <f t="shared" si="16"/>
        <v>1500</v>
      </c>
    </row>
    <row r="160" spans="1:15" ht="12.75" customHeight="1">
      <c r="A160" s="506"/>
      <c r="B160" s="506"/>
      <c r="C160" s="506" t="s">
        <v>275</v>
      </c>
      <c r="D160" s="338" t="s">
        <v>885</v>
      </c>
      <c r="E160" s="508"/>
      <c r="F160" s="508"/>
      <c r="G160" s="286">
        <v>2000</v>
      </c>
      <c r="H160" s="287"/>
      <c r="I160" s="369">
        <f>SUM(G160:H160)</f>
        <v>2000</v>
      </c>
      <c r="J160" s="580"/>
      <c r="K160" s="580"/>
      <c r="L160" s="580">
        <f t="shared" si="13"/>
        <v>0</v>
      </c>
      <c r="M160" s="580">
        <f t="shared" si="14"/>
        <v>2000</v>
      </c>
      <c r="N160" s="580">
        <f t="shared" si="15"/>
        <v>0</v>
      </c>
      <c r="O160" s="580">
        <f t="shared" si="16"/>
        <v>2000</v>
      </c>
    </row>
    <row r="161" spans="1:15" ht="12.75" customHeight="1">
      <c r="A161" s="506"/>
      <c r="B161" s="506"/>
      <c r="C161" s="506"/>
      <c r="D161" s="515" t="s">
        <v>468</v>
      </c>
      <c r="E161" s="508"/>
      <c r="F161" s="508"/>
      <c r="G161" s="286"/>
      <c r="H161" s="287"/>
      <c r="I161" s="369"/>
      <c r="J161" s="580"/>
      <c r="K161" s="580"/>
      <c r="L161" s="580"/>
      <c r="M161" s="580"/>
      <c r="N161" s="580"/>
      <c r="O161" s="580"/>
    </row>
    <row r="162" spans="1:15" ht="12.75" customHeight="1">
      <c r="A162" s="506"/>
      <c r="B162" s="506"/>
      <c r="C162" s="506" t="s">
        <v>1128</v>
      </c>
      <c r="D162" s="669" t="s">
        <v>1127</v>
      </c>
      <c r="E162" s="508"/>
      <c r="F162" s="508" t="s">
        <v>126</v>
      </c>
      <c r="G162" s="286"/>
      <c r="H162" s="287"/>
      <c r="I162" s="369"/>
      <c r="J162" s="580">
        <v>292</v>
      </c>
      <c r="K162" s="580"/>
      <c r="L162" s="580">
        <f t="shared" si="13"/>
        <v>292</v>
      </c>
      <c r="M162" s="580">
        <f t="shared" si="14"/>
        <v>292</v>
      </c>
      <c r="N162" s="580"/>
      <c r="O162" s="580">
        <f t="shared" si="16"/>
        <v>292</v>
      </c>
    </row>
    <row r="163" spans="1:15" ht="12.75" customHeight="1">
      <c r="A163" s="506"/>
      <c r="B163" s="506"/>
      <c r="C163" s="329" t="s">
        <v>268</v>
      </c>
      <c r="D163" s="337" t="s">
        <v>197</v>
      </c>
      <c r="E163" s="530"/>
      <c r="F163" s="713"/>
      <c r="G163" s="531"/>
      <c r="H163" s="531"/>
      <c r="I163" s="570"/>
      <c r="J163" s="580"/>
      <c r="K163" s="580"/>
      <c r="L163" s="580"/>
      <c r="M163" s="580"/>
      <c r="N163" s="580"/>
      <c r="O163" s="580"/>
    </row>
    <row r="164" spans="1:15" ht="24.75" customHeight="1">
      <c r="A164" s="506"/>
      <c r="B164" s="506"/>
      <c r="C164" s="506" t="s">
        <v>65</v>
      </c>
      <c r="D164" s="321" t="s">
        <v>886</v>
      </c>
      <c r="E164" s="483"/>
      <c r="F164" s="700"/>
      <c r="G164" s="318">
        <v>3000</v>
      </c>
      <c r="H164" s="318"/>
      <c r="I164" s="369">
        <f>SUM(G164:H164)</f>
        <v>3000</v>
      </c>
      <c r="J164" s="580"/>
      <c r="K164" s="580"/>
      <c r="L164" s="580">
        <f t="shared" si="13"/>
        <v>0</v>
      </c>
      <c r="M164" s="580">
        <f t="shared" si="14"/>
        <v>3000</v>
      </c>
      <c r="N164" s="580">
        <f t="shared" si="15"/>
        <v>0</v>
      </c>
      <c r="O164" s="580">
        <f t="shared" si="16"/>
        <v>3000</v>
      </c>
    </row>
    <row r="165" spans="1:15" ht="12.75" customHeight="1">
      <c r="A165" s="506"/>
      <c r="B165" s="506"/>
      <c r="C165" s="506"/>
      <c r="D165" s="488" t="s">
        <v>468</v>
      </c>
      <c r="E165" s="483"/>
      <c r="F165" s="700"/>
      <c r="G165" s="318"/>
      <c r="H165" s="318"/>
      <c r="I165" s="369"/>
      <c r="J165" s="580"/>
      <c r="K165" s="580"/>
      <c r="L165" s="580">
        <f t="shared" si="13"/>
        <v>0</v>
      </c>
      <c r="M165" s="580">
        <f t="shared" si="14"/>
        <v>0</v>
      </c>
      <c r="N165" s="580">
        <f t="shared" si="15"/>
        <v>0</v>
      </c>
      <c r="O165" s="580">
        <f t="shared" si="16"/>
        <v>0</v>
      </c>
    </row>
    <row r="166" spans="1:15" ht="12.75" customHeight="1">
      <c r="A166" s="506"/>
      <c r="B166" s="506"/>
      <c r="C166" s="506" t="s">
        <v>469</v>
      </c>
      <c r="D166" s="527" t="s">
        <v>66</v>
      </c>
      <c r="E166" s="483"/>
      <c r="F166" s="700"/>
      <c r="G166" s="318">
        <v>2000</v>
      </c>
      <c r="H166" s="318"/>
      <c r="I166" s="369">
        <f>SUM(G166:H166)</f>
        <v>2000</v>
      </c>
      <c r="J166" s="580"/>
      <c r="K166" s="580"/>
      <c r="L166" s="580">
        <f t="shared" si="13"/>
        <v>0</v>
      </c>
      <c r="M166" s="580">
        <f t="shared" si="14"/>
        <v>2000</v>
      </c>
      <c r="N166" s="580">
        <f t="shared" si="15"/>
        <v>0</v>
      </c>
      <c r="O166" s="580">
        <f t="shared" si="16"/>
        <v>2000</v>
      </c>
    </row>
    <row r="167" spans="1:15" ht="12.75" customHeight="1">
      <c r="A167" s="506"/>
      <c r="B167" s="506"/>
      <c r="C167" s="329" t="s">
        <v>269</v>
      </c>
      <c r="D167" s="330" t="s">
        <v>198</v>
      </c>
      <c r="E167" s="530"/>
      <c r="F167" s="713"/>
      <c r="G167" s="531"/>
      <c r="H167" s="531"/>
      <c r="I167" s="570"/>
      <c r="J167" s="580"/>
      <c r="K167" s="580"/>
      <c r="L167" s="580"/>
      <c r="M167" s="580"/>
      <c r="N167" s="580"/>
      <c r="O167" s="580"/>
    </row>
    <row r="168" spans="1:15" ht="12.75" customHeight="1">
      <c r="A168" s="506"/>
      <c r="B168" s="506"/>
      <c r="C168" s="335" t="s">
        <v>1111</v>
      </c>
      <c r="D168" s="408" t="s">
        <v>1129</v>
      </c>
      <c r="E168" s="530"/>
      <c r="F168" s="713" t="s">
        <v>126</v>
      </c>
      <c r="G168" s="531"/>
      <c r="H168" s="531"/>
      <c r="I168" s="570"/>
      <c r="J168" s="580">
        <v>11000</v>
      </c>
      <c r="K168" s="580"/>
      <c r="L168" s="580">
        <f t="shared" si="13"/>
        <v>11000</v>
      </c>
      <c r="M168" s="580">
        <f t="shared" si="14"/>
        <v>11000</v>
      </c>
      <c r="N168" s="580"/>
      <c r="O168" s="580">
        <f t="shared" si="16"/>
        <v>11000</v>
      </c>
    </row>
    <row r="169" spans="1:15" ht="12.75" customHeight="1">
      <c r="A169" s="506"/>
      <c r="B169" s="506"/>
      <c r="C169" s="329" t="s">
        <v>321</v>
      </c>
      <c r="D169" s="330" t="s">
        <v>322</v>
      </c>
      <c r="E169" s="530"/>
      <c r="F169" s="713"/>
      <c r="G169" s="531"/>
      <c r="H169" s="531"/>
      <c r="I169" s="570"/>
      <c r="J169" s="580"/>
      <c r="K169" s="580"/>
      <c r="L169" s="580"/>
      <c r="M169" s="580"/>
      <c r="N169" s="580"/>
      <c r="O169" s="580"/>
    </row>
    <row r="170" spans="1:15" ht="12.75" customHeight="1">
      <c r="A170" s="506"/>
      <c r="B170" s="506"/>
      <c r="C170" s="335" t="s">
        <v>323</v>
      </c>
      <c r="D170" s="391" t="s">
        <v>887</v>
      </c>
      <c r="E170" s="530"/>
      <c r="F170" s="713"/>
      <c r="G170" s="531"/>
      <c r="H170" s="531">
        <v>8000</v>
      </c>
      <c r="I170" s="571">
        <f>SUM(G170:H170)</f>
        <v>8000</v>
      </c>
      <c r="J170" s="580"/>
      <c r="K170" s="580"/>
      <c r="L170" s="580">
        <f t="shared" si="13"/>
        <v>0</v>
      </c>
      <c r="M170" s="580">
        <f t="shared" si="14"/>
        <v>0</v>
      </c>
      <c r="N170" s="580">
        <f t="shared" si="15"/>
        <v>8000</v>
      </c>
      <c r="O170" s="580">
        <f t="shared" si="16"/>
        <v>8000</v>
      </c>
    </row>
    <row r="171" spans="1:15" ht="12.75" customHeight="1">
      <c r="A171" s="506"/>
      <c r="B171" s="506"/>
      <c r="C171" s="335" t="s">
        <v>324</v>
      </c>
      <c r="D171" s="532" t="s">
        <v>63</v>
      </c>
      <c r="E171" s="368"/>
      <c r="F171" s="508"/>
      <c r="G171" s="286">
        <v>2000</v>
      </c>
      <c r="H171" s="286"/>
      <c r="I171" s="369">
        <f>SUM(G171:H171)</f>
        <v>2000</v>
      </c>
      <c r="J171" s="580"/>
      <c r="K171" s="580"/>
      <c r="L171" s="580">
        <f t="shared" si="13"/>
        <v>0</v>
      </c>
      <c r="M171" s="580">
        <f t="shared" si="14"/>
        <v>2000</v>
      </c>
      <c r="N171" s="580">
        <f t="shared" si="15"/>
        <v>0</v>
      </c>
      <c r="O171" s="580">
        <f t="shared" si="16"/>
        <v>2000</v>
      </c>
    </row>
    <row r="172" spans="1:15" ht="12.75" customHeight="1">
      <c r="A172" s="506"/>
      <c r="B172" s="506"/>
      <c r="C172" s="335" t="s">
        <v>325</v>
      </c>
      <c r="D172" s="527" t="s">
        <v>49</v>
      </c>
      <c r="E172" s="411"/>
      <c r="F172" s="411"/>
      <c r="G172" s="381">
        <v>2587</v>
      </c>
      <c r="H172" s="383"/>
      <c r="I172" s="571">
        <f>SUM(G172:H172)</f>
        <v>2587</v>
      </c>
      <c r="J172" s="580"/>
      <c r="K172" s="580"/>
      <c r="L172" s="580">
        <f t="shared" si="13"/>
        <v>0</v>
      </c>
      <c r="M172" s="580">
        <f t="shared" si="14"/>
        <v>2587</v>
      </c>
      <c r="N172" s="580">
        <f t="shared" si="15"/>
        <v>0</v>
      </c>
      <c r="O172" s="580">
        <f t="shared" si="16"/>
        <v>2587</v>
      </c>
    </row>
    <row r="173" spans="1:15" ht="12.75" customHeight="1">
      <c r="A173" s="506"/>
      <c r="B173" s="506"/>
      <c r="C173" s="329"/>
      <c r="D173" s="515" t="s">
        <v>468</v>
      </c>
      <c r="E173" s="530"/>
      <c r="F173" s="713"/>
      <c r="G173" s="531"/>
      <c r="H173" s="531"/>
      <c r="I173" s="571"/>
      <c r="J173" s="580"/>
      <c r="K173" s="580"/>
      <c r="L173" s="580"/>
      <c r="M173" s="580"/>
      <c r="N173" s="580"/>
      <c r="O173" s="580"/>
    </row>
    <row r="174" spans="1:15" ht="12.75" customHeight="1">
      <c r="A174" s="506"/>
      <c r="B174" s="506"/>
      <c r="C174" s="335" t="s">
        <v>189</v>
      </c>
      <c r="D174" s="533" t="s">
        <v>348</v>
      </c>
      <c r="E174" s="530"/>
      <c r="F174" s="713"/>
      <c r="G174" s="531"/>
      <c r="H174" s="531">
        <v>412</v>
      </c>
      <c r="I174" s="570">
        <f>SUM(G174:H174)</f>
        <v>412</v>
      </c>
      <c r="J174" s="580"/>
      <c r="K174" s="580"/>
      <c r="L174" s="580">
        <f t="shared" si="13"/>
        <v>0</v>
      </c>
      <c r="M174" s="580">
        <f t="shared" si="14"/>
        <v>0</v>
      </c>
      <c r="N174" s="580">
        <f t="shared" si="15"/>
        <v>412</v>
      </c>
      <c r="O174" s="580">
        <f t="shared" si="16"/>
        <v>412</v>
      </c>
    </row>
    <row r="175" spans="1:15" ht="12.75" customHeight="1">
      <c r="A175" s="528"/>
      <c r="B175" s="528"/>
      <c r="C175" s="534"/>
      <c r="D175" s="535" t="s">
        <v>90</v>
      </c>
      <c r="E175" s="536"/>
      <c r="F175" s="714"/>
      <c r="G175" s="537">
        <f>SUM(G157:G174)</f>
        <v>17087</v>
      </c>
      <c r="H175" s="537">
        <f>SUM(H157:H174)</f>
        <v>8412</v>
      </c>
      <c r="I175" s="538">
        <f>SUM(I157:I174)</f>
        <v>25499</v>
      </c>
      <c r="J175" s="722">
        <f>SUM(J158:J174)</f>
        <v>7292</v>
      </c>
      <c r="K175" s="722">
        <f>SUM(K158:K174)</f>
        <v>0</v>
      </c>
      <c r="L175" s="722">
        <f t="shared" si="13"/>
        <v>7292</v>
      </c>
      <c r="M175" s="722">
        <f t="shared" si="14"/>
        <v>24379</v>
      </c>
      <c r="N175" s="722">
        <f t="shared" si="15"/>
        <v>8412</v>
      </c>
      <c r="O175" s="722">
        <f t="shared" si="16"/>
        <v>32791</v>
      </c>
    </row>
    <row r="176" spans="1:15" ht="12.75" customHeight="1">
      <c r="A176" s="499">
        <v>1</v>
      </c>
      <c r="B176" s="499">
        <v>17</v>
      </c>
      <c r="C176" s="539"/>
      <c r="D176" s="524" t="s">
        <v>333</v>
      </c>
      <c r="E176" s="540"/>
      <c r="F176" s="544"/>
      <c r="G176" s="541"/>
      <c r="H176" s="541"/>
      <c r="I176" s="572"/>
      <c r="J176" s="580"/>
      <c r="K176" s="580"/>
      <c r="L176" s="580"/>
      <c r="M176" s="580"/>
      <c r="N176" s="580"/>
      <c r="O176" s="580"/>
    </row>
    <row r="177" spans="1:15" ht="12.75" customHeight="1">
      <c r="A177" s="499"/>
      <c r="B177" s="499"/>
      <c r="C177" s="539"/>
      <c r="D177" s="524" t="s">
        <v>888</v>
      </c>
      <c r="E177" s="540"/>
      <c r="F177" s="544"/>
      <c r="G177" s="541"/>
      <c r="H177" s="541"/>
      <c r="I177" s="572"/>
      <c r="J177" s="580"/>
      <c r="K177" s="580"/>
      <c r="L177" s="580"/>
      <c r="M177" s="580"/>
      <c r="N177" s="580"/>
      <c r="O177" s="580"/>
    </row>
    <row r="178" spans="1:15" ht="24.75" customHeight="1">
      <c r="A178" s="499"/>
      <c r="B178" s="499"/>
      <c r="C178" s="542" t="s">
        <v>195</v>
      </c>
      <c r="D178" s="543" t="s">
        <v>190</v>
      </c>
      <c r="E178" s="544"/>
      <c r="F178" s="544"/>
      <c r="G178" s="545">
        <v>31564</v>
      </c>
      <c r="H178" s="545"/>
      <c r="I178" s="573">
        <v>31564</v>
      </c>
      <c r="J178" s="580"/>
      <c r="K178" s="580"/>
      <c r="L178" s="580">
        <f t="shared" si="13"/>
        <v>0</v>
      </c>
      <c r="M178" s="580">
        <f t="shared" si="14"/>
        <v>31564</v>
      </c>
      <c r="N178" s="580">
        <f t="shared" si="15"/>
        <v>0</v>
      </c>
      <c r="O178" s="580">
        <f t="shared" si="16"/>
        <v>31564</v>
      </c>
    </row>
    <row r="179" spans="1:15" ht="36" customHeight="1">
      <c r="A179" s="499"/>
      <c r="B179" s="499"/>
      <c r="C179" s="542" t="s">
        <v>263</v>
      </c>
      <c r="D179" s="543" t="s">
        <v>191</v>
      </c>
      <c r="E179" s="544"/>
      <c r="F179" s="544"/>
      <c r="G179" s="545"/>
      <c r="H179" s="545">
        <v>11131</v>
      </c>
      <c r="I179" s="573">
        <f>SUM(H179)</f>
        <v>11131</v>
      </c>
      <c r="J179" s="580"/>
      <c r="K179" s="580"/>
      <c r="L179" s="580">
        <f t="shared" si="13"/>
        <v>0</v>
      </c>
      <c r="M179" s="580">
        <f t="shared" si="14"/>
        <v>0</v>
      </c>
      <c r="N179" s="580">
        <f t="shared" si="15"/>
        <v>11131</v>
      </c>
      <c r="O179" s="580">
        <f t="shared" si="16"/>
        <v>11131</v>
      </c>
    </row>
    <row r="180" spans="1:15" ht="24.75" customHeight="1">
      <c r="A180" s="499"/>
      <c r="B180" s="499"/>
      <c r="C180" s="542" t="s">
        <v>265</v>
      </c>
      <c r="D180" s="543" t="s">
        <v>363</v>
      </c>
      <c r="E180" s="544"/>
      <c r="F180" s="544" t="s">
        <v>126</v>
      </c>
      <c r="G180" s="545"/>
      <c r="H180" s="545"/>
      <c r="I180" s="573"/>
      <c r="J180" s="580"/>
      <c r="K180" s="580">
        <v>13970</v>
      </c>
      <c r="L180" s="580">
        <f t="shared" si="13"/>
        <v>13970</v>
      </c>
      <c r="M180" s="580"/>
      <c r="N180" s="580">
        <f t="shared" si="15"/>
        <v>13970</v>
      </c>
      <c r="O180" s="580">
        <f t="shared" si="16"/>
        <v>13970</v>
      </c>
    </row>
    <row r="181" spans="1:15" ht="12.75" customHeight="1">
      <c r="A181" s="528"/>
      <c r="B181" s="528"/>
      <c r="C181" s="534"/>
      <c r="D181" s="535" t="s">
        <v>77</v>
      </c>
      <c r="E181" s="536"/>
      <c r="F181" s="714"/>
      <c r="G181" s="537">
        <f>SUM(G178:G180)</f>
        <v>31564</v>
      </c>
      <c r="H181" s="537">
        <f aca="true" t="shared" si="18" ref="H181:O181">SUM(H178:H180)</f>
        <v>11131</v>
      </c>
      <c r="I181" s="537">
        <f t="shared" si="18"/>
        <v>42695</v>
      </c>
      <c r="J181" s="537">
        <f t="shared" si="18"/>
        <v>0</v>
      </c>
      <c r="K181" s="537">
        <f t="shared" si="18"/>
        <v>13970</v>
      </c>
      <c r="L181" s="537">
        <f t="shared" si="18"/>
        <v>13970</v>
      </c>
      <c r="M181" s="537">
        <f t="shared" si="18"/>
        <v>31564</v>
      </c>
      <c r="N181" s="537">
        <f t="shared" si="18"/>
        <v>25101</v>
      </c>
      <c r="O181" s="537">
        <f t="shared" si="18"/>
        <v>56665</v>
      </c>
    </row>
    <row r="182" spans="1:15" ht="12.75" customHeight="1">
      <c r="A182" s="499">
        <v>1</v>
      </c>
      <c r="B182" s="499">
        <v>19</v>
      </c>
      <c r="C182" s="539"/>
      <c r="D182" s="546" t="s">
        <v>334</v>
      </c>
      <c r="E182" s="540"/>
      <c r="F182" s="544"/>
      <c r="G182" s="541"/>
      <c r="H182" s="541"/>
      <c r="I182" s="572"/>
      <c r="J182" s="580"/>
      <c r="K182" s="580"/>
      <c r="L182" s="580"/>
      <c r="M182" s="580"/>
      <c r="N182" s="580"/>
      <c r="O182" s="580"/>
    </row>
    <row r="183" spans="1:15" ht="12.75" customHeight="1">
      <c r="A183" s="499"/>
      <c r="B183" s="499"/>
      <c r="C183" s="539"/>
      <c r="D183" s="515" t="s">
        <v>468</v>
      </c>
      <c r="E183" s="540"/>
      <c r="F183" s="544"/>
      <c r="G183" s="545"/>
      <c r="H183" s="545"/>
      <c r="I183" s="573"/>
      <c r="J183" s="580"/>
      <c r="K183" s="580"/>
      <c r="L183" s="580"/>
      <c r="M183" s="580"/>
      <c r="N183" s="580"/>
      <c r="O183" s="580"/>
    </row>
    <row r="184" spans="1:15" ht="12.75" customHeight="1">
      <c r="A184" s="499"/>
      <c r="B184" s="499"/>
      <c r="C184" s="542" t="s">
        <v>130</v>
      </c>
      <c r="D184" s="547" t="s">
        <v>67</v>
      </c>
      <c r="E184" s="540"/>
      <c r="F184" s="544"/>
      <c r="G184" s="545"/>
      <c r="H184" s="545">
        <v>2000</v>
      </c>
      <c r="I184" s="573">
        <f>SUM(G184:H184)</f>
        <v>2000</v>
      </c>
      <c r="J184" s="580"/>
      <c r="K184" s="580"/>
      <c r="L184" s="580">
        <f t="shared" si="13"/>
        <v>0</v>
      </c>
      <c r="M184" s="580">
        <f t="shared" si="14"/>
        <v>0</v>
      </c>
      <c r="N184" s="580">
        <f t="shared" si="15"/>
        <v>2000</v>
      </c>
      <c r="O184" s="580">
        <f t="shared" si="16"/>
        <v>2000</v>
      </c>
    </row>
    <row r="185" spans="1:15" ht="12.75" customHeight="1">
      <c r="A185" s="528"/>
      <c r="B185" s="528"/>
      <c r="C185" s="534"/>
      <c r="D185" s="535" t="s">
        <v>335</v>
      </c>
      <c r="E185" s="536"/>
      <c r="F185" s="714"/>
      <c r="G185" s="537">
        <f>SUM(G183:G184)</f>
        <v>0</v>
      </c>
      <c r="H185" s="537">
        <f>SUM(H183:H184)</f>
        <v>2000</v>
      </c>
      <c r="I185" s="538">
        <f>SUM(I183:I184)</f>
        <v>2000</v>
      </c>
      <c r="J185" s="722">
        <f>SUM(J184)</f>
        <v>0</v>
      </c>
      <c r="K185" s="722">
        <f>SUM(K184)</f>
        <v>0</v>
      </c>
      <c r="L185" s="722">
        <f t="shared" si="13"/>
        <v>0</v>
      </c>
      <c r="M185" s="722">
        <f t="shared" si="14"/>
        <v>0</v>
      </c>
      <c r="N185" s="722">
        <f t="shared" si="15"/>
        <v>2000</v>
      </c>
      <c r="O185" s="722">
        <f t="shared" si="16"/>
        <v>2000</v>
      </c>
    </row>
    <row r="186" spans="1:15" ht="12.75" customHeight="1">
      <c r="A186" s="465">
        <v>1</v>
      </c>
      <c r="B186" s="465">
        <v>30</v>
      </c>
      <c r="C186" s="465"/>
      <c r="D186" s="466" t="s">
        <v>80</v>
      </c>
      <c r="E186" s="548"/>
      <c r="F186" s="551"/>
      <c r="G186" s="549"/>
      <c r="H186" s="549"/>
      <c r="I186" s="574"/>
      <c r="J186" s="580"/>
      <c r="K186" s="580"/>
      <c r="L186" s="580"/>
      <c r="M186" s="580"/>
      <c r="N186" s="580"/>
      <c r="O186" s="580"/>
    </row>
    <row r="187" spans="1:15" ht="12.75" customHeight="1">
      <c r="A187" s="465"/>
      <c r="B187" s="465"/>
      <c r="C187" s="465" t="s">
        <v>195</v>
      </c>
      <c r="D187" s="550" t="s">
        <v>233</v>
      </c>
      <c r="E187" s="551"/>
      <c r="F187" s="551"/>
      <c r="G187" s="549">
        <v>10000</v>
      </c>
      <c r="H187" s="549"/>
      <c r="I187" s="574">
        <v>10000</v>
      </c>
      <c r="J187" s="580"/>
      <c r="K187" s="580"/>
      <c r="L187" s="580">
        <f t="shared" si="13"/>
        <v>0</v>
      </c>
      <c r="M187" s="580">
        <f t="shared" si="14"/>
        <v>10000</v>
      </c>
      <c r="N187" s="580">
        <f t="shared" si="15"/>
        <v>0</v>
      </c>
      <c r="O187" s="580">
        <f t="shared" si="16"/>
        <v>10000</v>
      </c>
    </row>
    <row r="188" spans="1:15" ht="12.75" customHeight="1">
      <c r="A188" s="552"/>
      <c r="B188" s="552"/>
      <c r="C188" s="552"/>
      <c r="D188" s="553" t="s">
        <v>81</v>
      </c>
      <c r="E188" s="554"/>
      <c r="F188" s="715"/>
      <c r="G188" s="555">
        <f>SUM(G187:G187)</f>
        <v>10000</v>
      </c>
      <c r="H188" s="555">
        <f>SUM(H187:H187)</f>
        <v>0</v>
      </c>
      <c r="I188" s="556">
        <f>SUM(I187:I187)</f>
        <v>10000</v>
      </c>
      <c r="J188" s="722"/>
      <c r="K188" s="722"/>
      <c r="L188" s="722">
        <f t="shared" si="13"/>
        <v>0</v>
      </c>
      <c r="M188" s="722">
        <f t="shared" si="14"/>
        <v>10000</v>
      </c>
      <c r="N188" s="722">
        <f t="shared" si="15"/>
        <v>0</v>
      </c>
      <c r="O188" s="722">
        <f t="shared" si="16"/>
        <v>10000</v>
      </c>
    </row>
    <row r="189" spans="1:15" ht="12.75" customHeight="1">
      <c r="A189" s="552"/>
      <c r="B189" s="552"/>
      <c r="C189" s="552"/>
      <c r="D189" s="434" t="s">
        <v>37</v>
      </c>
      <c r="E189" s="554"/>
      <c r="F189" s="715"/>
      <c r="G189" s="555">
        <f>SUM(G44+G155+G175+G181+G185+G188)</f>
        <v>662002</v>
      </c>
      <c r="H189" s="555">
        <f>SUM(H44+H155+H175+H181+H185+H188)</f>
        <v>43543</v>
      </c>
      <c r="I189" s="555">
        <f>SUM(G189:H189)</f>
        <v>705545</v>
      </c>
      <c r="J189" s="555">
        <f>SUM(J44+J155+J175+J181+J185+J188)</f>
        <v>7248</v>
      </c>
      <c r="K189" s="555">
        <f>SUM(K44+K155+K175+K181+K185+K188)</f>
        <v>20770</v>
      </c>
      <c r="L189" s="555">
        <f>SUM(J189:K189)</f>
        <v>28018</v>
      </c>
      <c r="M189" s="555">
        <f>SUM(M44+M155+M175+M181+M185+M188)</f>
        <v>669250</v>
      </c>
      <c r="N189" s="555">
        <f>SUM(N44+N155+N175+N181+N185+N188)</f>
        <v>64313</v>
      </c>
      <c r="O189" s="555">
        <f>SUM(M189:N189)</f>
        <v>733563</v>
      </c>
    </row>
    <row r="190" spans="1:15" ht="12.75" customHeight="1">
      <c r="A190" s="557">
        <v>2</v>
      </c>
      <c r="B190" s="558"/>
      <c r="C190" s="558"/>
      <c r="D190" s="262" t="s">
        <v>114</v>
      </c>
      <c r="E190" s="559"/>
      <c r="F190" s="559"/>
      <c r="G190" s="560">
        <v>39879</v>
      </c>
      <c r="H190" s="560"/>
      <c r="I190" s="575">
        <f>SUM(G190:H190)</f>
        <v>39879</v>
      </c>
      <c r="J190" s="580">
        <f>'táj.2.'!I20</f>
        <v>29876</v>
      </c>
      <c r="K190" s="580"/>
      <c r="L190" s="580">
        <f t="shared" si="13"/>
        <v>29876</v>
      </c>
      <c r="M190" s="580">
        <f t="shared" si="14"/>
        <v>69755</v>
      </c>
      <c r="N190" s="580">
        <f t="shared" si="15"/>
        <v>0</v>
      </c>
      <c r="O190" s="580">
        <f t="shared" si="16"/>
        <v>69755</v>
      </c>
    </row>
    <row r="191" spans="1:15" ht="12.75" customHeight="1">
      <c r="A191" s="561"/>
      <c r="B191" s="561"/>
      <c r="C191" s="561"/>
      <c r="D191" s="553" t="s">
        <v>83</v>
      </c>
      <c r="E191" s="554"/>
      <c r="F191" s="715"/>
      <c r="G191" s="555">
        <f>SUM(G189+G190)</f>
        <v>701881</v>
      </c>
      <c r="H191" s="555">
        <f>SUM(H189+H190)</f>
        <v>43543</v>
      </c>
      <c r="I191" s="556">
        <f>SUM(G191:H191)</f>
        <v>745424</v>
      </c>
      <c r="J191" s="556">
        <f>SUM(J189:J190)</f>
        <v>37124</v>
      </c>
      <c r="K191" s="556">
        <f>SUM(K189:K190)</f>
        <v>20770</v>
      </c>
      <c r="L191" s="556">
        <f t="shared" si="13"/>
        <v>57894</v>
      </c>
      <c r="M191" s="556">
        <f>SUM(G191+J191)</f>
        <v>739005</v>
      </c>
      <c r="N191" s="556">
        <f>SUM(H191+K191)</f>
        <v>64313</v>
      </c>
      <c r="O191" s="723">
        <f t="shared" si="16"/>
        <v>803318</v>
      </c>
    </row>
    <row r="192" spans="1:12" ht="13.5" customHeight="1">
      <c r="A192" s="440" t="s">
        <v>68</v>
      </c>
      <c r="B192" s="440"/>
      <c r="C192" s="440"/>
      <c r="D192" s="440"/>
      <c r="E192" s="440"/>
      <c r="F192" s="440"/>
      <c r="G192" s="440"/>
      <c r="H192" s="440"/>
      <c r="I192" s="440"/>
      <c r="L192" s="579"/>
    </row>
    <row r="193" spans="1:9" ht="13.5" customHeight="1">
      <c r="A193" s="562"/>
      <c r="B193" s="562"/>
      <c r="C193" s="562"/>
      <c r="D193" s="563"/>
      <c r="E193" s="563"/>
      <c r="F193" s="563"/>
      <c r="G193" s="564"/>
      <c r="H193" s="565"/>
      <c r="I193" s="565"/>
    </row>
    <row r="194" spans="1:3" ht="12">
      <c r="A194" s="566"/>
      <c r="B194" s="567"/>
      <c r="C194" s="567"/>
    </row>
    <row r="195" spans="1:3" ht="12">
      <c r="A195" s="567"/>
      <c r="B195" s="567"/>
      <c r="C195" s="567"/>
    </row>
    <row r="196" spans="1:3" ht="12">
      <c r="A196" s="567"/>
      <c r="B196" s="567"/>
      <c r="C196" s="567"/>
    </row>
  </sheetData>
  <sheetProtection selectLockedCells="1" selectUnlockedCells="1"/>
  <mergeCells count="5">
    <mergeCell ref="M1:O1"/>
    <mergeCell ref="D30:E30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2014.é vi  felújítási kiadásai célonként&amp;R&amp;"Times New Roman,Félkövér dőlt"8.  melléklet
Adatok 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00390625" style="58" customWidth="1"/>
    <col min="2" max="2" width="35.00390625" style="55" customWidth="1"/>
    <col min="3" max="4" width="11.375" style="55" customWidth="1"/>
    <col min="5" max="6" width="11.875" style="55" customWidth="1"/>
    <col min="7" max="7" width="10.50390625" style="55" customWidth="1"/>
    <col min="8" max="8" width="12.00390625" style="55" customWidth="1"/>
    <col min="9" max="9" width="11.50390625" style="55" customWidth="1"/>
    <col min="10" max="10" width="11.625" style="55" customWidth="1"/>
    <col min="11" max="11" width="11.375" style="55" customWidth="1"/>
    <col min="12" max="12" width="12.875" style="55" customWidth="1"/>
    <col min="13" max="13" width="13.125" style="55" customWidth="1"/>
    <col min="14" max="14" width="9.50390625" style="55" customWidth="1"/>
    <col min="15" max="15" width="13.125" style="55" customWidth="1"/>
    <col min="16" max="16384" width="9.375" style="55" customWidth="1"/>
  </cols>
  <sheetData>
    <row r="1" spans="1:15" ht="14.25" customHeight="1">
      <c r="A1" s="791" t="s">
        <v>429</v>
      </c>
      <c r="B1" s="791" t="s">
        <v>118</v>
      </c>
      <c r="C1" s="795" t="s">
        <v>435</v>
      </c>
      <c r="D1" s="795" t="s">
        <v>1010</v>
      </c>
      <c r="E1" s="791" t="s">
        <v>436</v>
      </c>
      <c r="F1" s="793"/>
      <c r="G1" s="793"/>
      <c r="H1" s="793"/>
      <c r="I1" s="793"/>
      <c r="J1" s="793"/>
      <c r="K1" s="793"/>
      <c r="L1" s="794" t="s">
        <v>437</v>
      </c>
      <c r="M1" s="793"/>
      <c r="N1" s="793"/>
      <c r="O1" s="791" t="s">
        <v>438</v>
      </c>
    </row>
    <row r="2" spans="1:15" ht="81.75" customHeight="1">
      <c r="A2" s="792"/>
      <c r="B2" s="792"/>
      <c r="C2" s="796"/>
      <c r="D2" s="796"/>
      <c r="E2" s="251" t="s">
        <v>439</v>
      </c>
      <c r="F2" s="251" t="s">
        <v>440</v>
      </c>
      <c r="G2" s="251" t="s">
        <v>1024</v>
      </c>
      <c r="H2" s="251" t="s">
        <v>441</v>
      </c>
      <c r="I2" s="251" t="s">
        <v>115</v>
      </c>
      <c r="J2" s="251" t="s">
        <v>442</v>
      </c>
      <c r="K2" s="251" t="s">
        <v>443</v>
      </c>
      <c r="L2" s="251" t="s">
        <v>444</v>
      </c>
      <c r="M2" s="251" t="s">
        <v>445</v>
      </c>
      <c r="N2" s="251" t="s">
        <v>446</v>
      </c>
      <c r="O2" s="791"/>
    </row>
    <row r="3" spans="1:15" ht="15" customHeight="1">
      <c r="A3" s="250">
        <v>2</v>
      </c>
      <c r="B3" s="156" t="s">
        <v>331</v>
      </c>
      <c r="C3" s="157">
        <v>1237075</v>
      </c>
      <c r="D3" s="157">
        <f>0+'táj.1.'!M3</f>
        <v>61764</v>
      </c>
      <c r="E3" s="252">
        <f>0+'táj.1.'!C3</f>
        <v>12604</v>
      </c>
      <c r="F3" s="252">
        <f>0+'táj.1.'!D3</f>
        <v>0</v>
      </c>
      <c r="G3" s="252">
        <f>0+'táj.1.'!E3</f>
        <v>0</v>
      </c>
      <c r="H3" s="253">
        <f>12400+'táj.1.'!F3</f>
        <v>12400</v>
      </c>
      <c r="I3" s="253">
        <f>0+'táj.1.'!G3</f>
        <v>0</v>
      </c>
      <c r="J3" s="253">
        <f>0+'táj.1.'!H3</f>
        <v>0</v>
      </c>
      <c r="K3" s="253">
        <f>0+'táj.1.'!I3</f>
        <v>0</v>
      </c>
      <c r="L3" s="253">
        <f>77526+'táj.1.'!J3</f>
        <v>146474</v>
      </c>
      <c r="M3" s="253">
        <f>1147149+'táj.1.'!K3</f>
        <v>1127361</v>
      </c>
      <c r="N3" s="253">
        <f>0+'táj.1.'!L3</f>
        <v>0</v>
      </c>
      <c r="O3" s="253">
        <f aca="true" t="shared" si="0" ref="O3:O19">SUM(E3:N3)</f>
        <v>1298839</v>
      </c>
    </row>
    <row r="4" spans="1:15" s="56" customFormat="1" ht="28.5" customHeight="1">
      <c r="A4" s="250">
        <v>3</v>
      </c>
      <c r="B4" s="156" t="s">
        <v>419</v>
      </c>
      <c r="C4" s="157">
        <v>1361767</v>
      </c>
      <c r="D4" s="157">
        <f>0+'táj.1.'!M4</f>
        <v>19713</v>
      </c>
      <c r="E4" s="252">
        <f>0+'táj.1.'!C4</f>
        <v>3000</v>
      </c>
      <c r="F4" s="252">
        <f>0+'táj.1.'!D4</f>
        <v>7000</v>
      </c>
      <c r="G4" s="252">
        <f>0+'táj.1.'!E4</f>
        <v>0</v>
      </c>
      <c r="H4" s="253">
        <f>401358+'táj.1.'!F4</f>
        <v>401358</v>
      </c>
      <c r="I4" s="253">
        <f>0+'táj.1.'!G4</f>
        <v>0</v>
      </c>
      <c r="J4" s="253">
        <f>0+'táj.1.'!H4</f>
        <v>0</v>
      </c>
      <c r="K4" s="253">
        <f>0+'táj.1.'!I4</f>
        <v>0</v>
      </c>
      <c r="L4" s="253">
        <f>30000+'táj.1.'!J4</f>
        <v>41560</v>
      </c>
      <c r="M4" s="253">
        <f>930409+'táj.1.'!K4</f>
        <v>928562</v>
      </c>
      <c r="N4" s="253">
        <f>0+'táj.1.'!L4</f>
        <v>0</v>
      </c>
      <c r="O4" s="253">
        <f t="shared" si="0"/>
        <v>1381480</v>
      </c>
    </row>
    <row r="5" spans="1:15" s="56" customFormat="1" ht="19.5" customHeight="1">
      <c r="A5" s="250">
        <v>4</v>
      </c>
      <c r="B5" s="156" t="s">
        <v>420</v>
      </c>
      <c r="C5" s="157">
        <v>362804</v>
      </c>
      <c r="D5" s="157">
        <f>0+'táj.1.'!M5</f>
        <v>13419</v>
      </c>
      <c r="E5" s="252">
        <f>6638+'táj.1.'!C5</f>
        <v>8591</v>
      </c>
      <c r="F5" s="252">
        <f>0+'táj.1.'!D5</f>
        <v>182</v>
      </c>
      <c r="G5" s="252">
        <f>0+'táj.1.'!E5</f>
        <v>0</v>
      </c>
      <c r="H5" s="253">
        <f>105176+'táj.1.'!F5</f>
        <v>105176</v>
      </c>
      <c r="I5" s="253">
        <f>0+'táj.1.'!G5</f>
        <v>0</v>
      </c>
      <c r="J5" s="253">
        <f>0+'táj.1.'!H5</f>
        <v>0</v>
      </c>
      <c r="K5" s="253">
        <f>0+'táj.1.'!I5</f>
        <v>0</v>
      </c>
      <c r="L5" s="253">
        <f>0+'táj.1.'!J5</f>
        <v>859</v>
      </c>
      <c r="M5" s="253">
        <f>250990+'táj.1.'!K5</f>
        <v>261415</v>
      </c>
      <c r="N5" s="253">
        <f>0+'táj.1.'!L5</f>
        <v>0</v>
      </c>
      <c r="O5" s="253">
        <f t="shared" si="0"/>
        <v>376223</v>
      </c>
    </row>
    <row r="6" spans="1:15" s="56" customFormat="1" ht="32.25" customHeight="1">
      <c r="A6" s="250">
        <v>5</v>
      </c>
      <c r="B6" s="230" t="s">
        <v>421</v>
      </c>
      <c r="C6" s="131">
        <v>316218</v>
      </c>
      <c r="D6" s="157">
        <f>0+'táj.1.'!M6</f>
        <v>93339</v>
      </c>
      <c r="E6" s="252">
        <f>289942+'táj.1.'!C6</f>
        <v>289942</v>
      </c>
      <c r="F6" s="252">
        <f>0+'táj.1.'!D6</f>
        <v>0</v>
      </c>
      <c r="G6" s="252">
        <f>0+'táj.1.'!E6</f>
        <v>0</v>
      </c>
      <c r="H6" s="253">
        <f>0+'táj.1.'!F6</f>
        <v>2000</v>
      </c>
      <c r="I6" s="253">
        <f>0+'táj.1.'!G6</f>
        <v>0</v>
      </c>
      <c r="J6" s="253">
        <f>0+'táj.1.'!H6</f>
        <v>0</v>
      </c>
      <c r="K6" s="253">
        <f>0+'táj.1.'!I6</f>
        <v>0</v>
      </c>
      <c r="L6" s="253">
        <f>2716+'táj.1.'!J6</f>
        <v>57550</v>
      </c>
      <c r="M6" s="253">
        <f>23560+'táj.1.'!K6</f>
        <v>60065</v>
      </c>
      <c r="N6" s="253">
        <f>0+'táj.1.'!L6</f>
        <v>0</v>
      </c>
      <c r="O6" s="253">
        <f t="shared" si="0"/>
        <v>409557</v>
      </c>
    </row>
    <row r="7" spans="1:15" s="56" customFormat="1" ht="25.5">
      <c r="A7" s="250">
        <v>6</v>
      </c>
      <c r="B7" s="230" t="s">
        <v>422</v>
      </c>
      <c r="C7" s="131">
        <v>310239</v>
      </c>
      <c r="D7" s="157">
        <f>0+'táj.1.'!M7</f>
        <v>999</v>
      </c>
      <c r="E7" s="252">
        <f>1117+'táj.1.'!C7</f>
        <v>1117</v>
      </c>
      <c r="F7" s="252">
        <f>0+'táj.1.'!D7</f>
        <v>0</v>
      </c>
      <c r="G7" s="252">
        <f>0+'táj.1.'!E7</f>
        <v>0</v>
      </c>
      <c r="H7" s="253">
        <f>36430+'táj.1.'!F7</f>
        <v>36430</v>
      </c>
      <c r="I7" s="253">
        <f>0+'táj.1.'!G7</f>
        <v>0</v>
      </c>
      <c r="J7" s="253">
        <f>0+'táj.1.'!H7</f>
        <v>0</v>
      </c>
      <c r="K7" s="253">
        <f>0+'táj.1.'!I7</f>
        <v>0</v>
      </c>
      <c r="L7" s="253">
        <f>0+'táj.1.'!J7</f>
        <v>870</v>
      </c>
      <c r="M7" s="253">
        <f>272692+'táj.1.'!K7</f>
        <v>272821</v>
      </c>
      <c r="N7" s="253">
        <f>0+'táj.1.'!L7</f>
        <v>0</v>
      </c>
      <c r="O7" s="253">
        <f t="shared" si="0"/>
        <v>311238</v>
      </c>
    </row>
    <row r="8" spans="1:15" s="56" customFormat="1" ht="26.25" customHeight="1">
      <c r="A8" s="250">
        <v>7</v>
      </c>
      <c r="B8" s="230" t="s">
        <v>423</v>
      </c>
      <c r="C8" s="131">
        <v>288134</v>
      </c>
      <c r="D8" s="157">
        <f>0+'táj.1.'!M8</f>
        <v>1345</v>
      </c>
      <c r="E8" s="252">
        <f>2028+'táj.1.'!C8</f>
        <v>2028</v>
      </c>
      <c r="F8" s="252">
        <f>0+'táj.1.'!D8</f>
        <v>0</v>
      </c>
      <c r="G8" s="252">
        <f>0+'táj.1.'!E8</f>
        <v>0</v>
      </c>
      <c r="H8" s="253">
        <f>30919+'táj.1.'!F8</f>
        <v>30919</v>
      </c>
      <c r="I8" s="253">
        <f>0+'táj.1.'!G8</f>
        <v>0</v>
      </c>
      <c r="J8" s="253">
        <f>0+'táj.1.'!H8</f>
        <v>0</v>
      </c>
      <c r="K8" s="253">
        <f>0+'táj.1.'!I8</f>
        <v>0</v>
      </c>
      <c r="L8" s="253">
        <f>0+'táj.1.'!J8</f>
        <v>1584</v>
      </c>
      <c r="M8" s="253">
        <f>255187+'táj.1.'!K8</f>
        <v>254948</v>
      </c>
      <c r="N8" s="253">
        <f>0+'táj.1.'!L8</f>
        <v>0</v>
      </c>
      <c r="O8" s="253">
        <f t="shared" si="0"/>
        <v>289479</v>
      </c>
    </row>
    <row r="9" spans="1:15" s="56" customFormat="1" ht="15" customHeight="1">
      <c r="A9" s="250">
        <v>8</v>
      </c>
      <c r="B9" s="230" t="s">
        <v>424</v>
      </c>
      <c r="C9" s="131">
        <v>283986</v>
      </c>
      <c r="D9" s="157">
        <f>0+'táj.1.'!M9</f>
        <v>1174</v>
      </c>
      <c r="E9" s="252">
        <f>0+'táj.1.'!C9</f>
        <v>200</v>
      </c>
      <c r="F9" s="252">
        <f>0+'táj.1.'!D9</f>
        <v>0</v>
      </c>
      <c r="G9" s="252">
        <f>0+'táj.1.'!E9</f>
        <v>0</v>
      </c>
      <c r="H9" s="253">
        <f>27198+'táj.1.'!F9</f>
        <v>27198</v>
      </c>
      <c r="I9" s="253">
        <f>0+'táj.1.'!G9</f>
        <v>0</v>
      </c>
      <c r="J9" s="253">
        <f>0+'táj.1.'!H9</f>
        <v>0</v>
      </c>
      <c r="K9" s="253">
        <f>0+'táj.1.'!I9</f>
        <v>0</v>
      </c>
      <c r="L9" s="253">
        <f>0+'táj.1.'!J9</f>
        <v>757</v>
      </c>
      <c r="M9" s="253">
        <f>256788+'táj.1.'!K9</f>
        <v>257005</v>
      </c>
      <c r="N9" s="253">
        <f>0+'táj.1.'!L9</f>
        <v>0</v>
      </c>
      <c r="O9" s="253">
        <f t="shared" si="0"/>
        <v>285160</v>
      </c>
    </row>
    <row r="10" spans="1:15" s="56" customFormat="1" ht="19.5" customHeight="1">
      <c r="A10" s="250">
        <v>9</v>
      </c>
      <c r="B10" s="230" t="s">
        <v>425</v>
      </c>
      <c r="C10" s="131">
        <v>287762</v>
      </c>
      <c r="D10" s="157">
        <f>0+'táj.1.'!M10</f>
        <v>613</v>
      </c>
      <c r="E10" s="252">
        <f>2369+'táj.1.'!C10</f>
        <v>2369</v>
      </c>
      <c r="F10" s="252">
        <f>0+'táj.1.'!D10</f>
        <v>0</v>
      </c>
      <c r="G10" s="252">
        <f>0+'táj.1.'!E10</f>
        <v>0</v>
      </c>
      <c r="H10" s="253">
        <f>24540+'táj.1.'!F10</f>
        <v>24540</v>
      </c>
      <c r="I10" s="253">
        <f>0+'táj.1.'!G10</f>
        <v>0</v>
      </c>
      <c r="J10" s="253">
        <f>0+'táj.1.'!H10</f>
        <v>0</v>
      </c>
      <c r="K10" s="253">
        <f>0+'táj.1.'!I10</f>
        <v>0</v>
      </c>
      <c r="L10" s="253">
        <f>0+'táj.1.'!J10</f>
        <v>519</v>
      </c>
      <c r="M10" s="253">
        <f>260853+'táj.1.'!K10</f>
        <v>260947</v>
      </c>
      <c r="N10" s="253">
        <f>0+'táj.1.'!L10</f>
        <v>0</v>
      </c>
      <c r="O10" s="253">
        <f t="shared" si="0"/>
        <v>288375</v>
      </c>
    </row>
    <row r="11" spans="1:15" s="56" customFormat="1" ht="27" customHeight="1">
      <c r="A11" s="250">
        <v>10</v>
      </c>
      <c r="B11" s="230" t="s">
        <v>426</v>
      </c>
      <c r="C11" s="129">
        <v>112025</v>
      </c>
      <c r="D11" s="157">
        <f>0+'táj.1.'!M11</f>
        <v>22332</v>
      </c>
      <c r="E11" s="252">
        <f>17966+'táj.1.'!C11</f>
        <v>24481</v>
      </c>
      <c r="F11" s="252">
        <f>0+'táj.1.'!D11</f>
        <v>500</v>
      </c>
      <c r="G11" s="252">
        <f>0+'táj.1.'!E11</f>
        <v>0</v>
      </c>
      <c r="H11" s="253">
        <f>7700+'táj.1.'!F11</f>
        <v>15700</v>
      </c>
      <c r="I11" s="253">
        <f>0+'táj.1.'!G11</f>
        <v>0</v>
      </c>
      <c r="J11" s="253">
        <f>0+'táj.1.'!H11</f>
        <v>0</v>
      </c>
      <c r="K11" s="253">
        <f>0+'táj.1.'!I11</f>
        <v>0</v>
      </c>
      <c r="L11" s="253">
        <f>5000+'táj.1.'!J11</f>
        <v>5278</v>
      </c>
      <c r="M11" s="253">
        <f>81359+'táj.1.'!K11</f>
        <v>88398</v>
      </c>
      <c r="N11" s="253">
        <f>0+'táj.1.'!L11</f>
        <v>0</v>
      </c>
      <c r="O11" s="253">
        <f t="shared" si="0"/>
        <v>134357</v>
      </c>
    </row>
    <row r="12" spans="1:15" s="56" customFormat="1" ht="20.25" customHeight="1">
      <c r="A12" s="250">
        <v>11</v>
      </c>
      <c r="B12" s="230" t="s">
        <v>427</v>
      </c>
      <c r="C12" s="131">
        <v>188141</v>
      </c>
      <c r="D12" s="157">
        <f>0+'táj.1.'!M12</f>
        <v>17928</v>
      </c>
      <c r="E12" s="252">
        <f>0+'táj.1.'!C12</f>
        <v>2857</v>
      </c>
      <c r="F12" s="252">
        <f>0+'táj.1.'!D12</f>
        <v>13294</v>
      </c>
      <c r="G12" s="252">
        <f>0+'táj.1.'!E12</f>
        <v>0</v>
      </c>
      <c r="H12" s="253">
        <f>45000+'táj.1.'!F12</f>
        <v>45000</v>
      </c>
      <c r="I12" s="253">
        <f>0+'táj.1.'!G12</f>
        <v>0</v>
      </c>
      <c r="J12" s="253">
        <f>0+'táj.1.'!H12</f>
        <v>0</v>
      </c>
      <c r="K12" s="253">
        <f>0+'táj.1.'!I12</f>
        <v>0</v>
      </c>
      <c r="L12" s="253">
        <f>1393+'táj.1.'!J12</f>
        <v>2440</v>
      </c>
      <c r="M12" s="253">
        <f>141748+'táj.1.'!K12</f>
        <v>142478</v>
      </c>
      <c r="N12" s="253">
        <f>0+'táj.1.'!L12</f>
        <v>0</v>
      </c>
      <c r="O12" s="253">
        <f t="shared" si="0"/>
        <v>206069</v>
      </c>
    </row>
    <row r="13" spans="1:15" s="56" customFormat="1" ht="30" customHeight="1">
      <c r="A13" s="250">
        <v>12</v>
      </c>
      <c r="B13" s="230" t="s">
        <v>428</v>
      </c>
      <c r="C13" s="129">
        <v>15555</v>
      </c>
      <c r="D13" s="157">
        <f>0+'táj.1.'!M13</f>
        <v>1895</v>
      </c>
      <c r="E13" s="252">
        <f>0+'táj.1.'!C13</f>
        <v>1550</v>
      </c>
      <c r="F13" s="252">
        <f>0+'táj.1.'!D13</f>
        <v>0</v>
      </c>
      <c r="G13" s="252">
        <f>0+'táj.1.'!E13</f>
        <v>0</v>
      </c>
      <c r="H13" s="253">
        <f>706+'táj.1.'!F13</f>
        <v>706</v>
      </c>
      <c r="I13" s="253">
        <f>0+'táj.1.'!G13</f>
        <v>0</v>
      </c>
      <c r="J13" s="253">
        <f>0+'táj.1.'!H13</f>
        <v>0</v>
      </c>
      <c r="K13" s="253">
        <f>0+'táj.1.'!I13</f>
        <v>0</v>
      </c>
      <c r="L13" s="253">
        <f>1285+'táj.1.'!J13</f>
        <v>1600</v>
      </c>
      <c r="M13" s="253">
        <f>13564+'táj.1.'!K13</f>
        <v>13594</v>
      </c>
      <c r="N13" s="253">
        <f>0+'táj.1.'!L13</f>
        <v>0</v>
      </c>
      <c r="O13" s="253">
        <f t="shared" si="0"/>
        <v>17450</v>
      </c>
    </row>
    <row r="14" spans="1:15" s="56" customFormat="1" ht="26.25" customHeight="1">
      <c r="A14" s="250">
        <v>13</v>
      </c>
      <c r="B14" s="230" t="s">
        <v>132</v>
      </c>
      <c r="C14" s="131">
        <v>353704</v>
      </c>
      <c r="D14" s="157">
        <f>0+'táj.1.'!M14</f>
        <v>2934</v>
      </c>
      <c r="E14" s="252">
        <f>2503+'táj.1.'!C14</f>
        <v>3310</v>
      </c>
      <c r="F14" s="252">
        <f>0+'táj.1.'!D14</f>
        <v>0</v>
      </c>
      <c r="G14" s="252">
        <f>0+'táj.1.'!E14</f>
        <v>0</v>
      </c>
      <c r="H14" s="253">
        <f>34200+'táj.1.'!F14</f>
        <v>34200</v>
      </c>
      <c r="I14" s="253">
        <f>0+'táj.1.'!G14</f>
        <v>0</v>
      </c>
      <c r="J14" s="253">
        <f>0+'táj.1.'!H14</f>
        <v>0</v>
      </c>
      <c r="K14" s="253">
        <f>0+'táj.1.'!I14</f>
        <v>0</v>
      </c>
      <c r="L14" s="253">
        <f>9312+'táj.1.'!J14</f>
        <v>9540</v>
      </c>
      <c r="M14" s="253">
        <f>307689+'táj.1.'!K14</f>
        <v>309588</v>
      </c>
      <c r="N14" s="253">
        <f>0+'táj.1.'!L14</f>
        <v>0</v>
      </c>
      <c r="O14" s="253">
        <f t="shared" si="0"/>
        <v>356638</v>
      </c>
    </row>
    <row r="15" spans="1:15" s="56" customFormat="1" ht="16.5" customHeight="1">
      <c r="A15" s="250">
        <v>14</v>
      </c>
      <c r="B15" s="230" t="s">
        <v>133</v>
      </c>
      <c r="C15" s="131">
        <v>271692</v>
      </c>
      <c r="D15" s="157">
        <f>0+'táj.1.'!M15</f>
        <v>55682</v>
      </c>
      <c r="E15" s="252">
        <f>23711+'táj.1.'!C15</f>
        <v>34509</v>
      </c>
      <c r="F15" s="252">
        <f>23000+'táj.1.'!D15</f>
        <v>29400</v>
      </c>
      <c r="G15" s="252">
        <f>0+'táj.1.'!E15</f>
        <v>0</v>
      </c>
      <c r="H15" s="253">
        <f>119727+'táj.1.'!F15</f>
        <v>119727</v>
      </c>
      <c r="I15" s="253">
        <f>0+'táj.1.'!G15</f>
        <v>0</v>
      </c>
      <c r="J15" s="253">
        <f>0+'táj.1.'!H15</f>
        <v>394</v>
      </c>
      <c r="K15" s="253">
        <f>0+'táj.1.'!I15</f>
        <v>0</v>
      </c>
      <c r="L15" s="253">
        <f>2736+'táj.1.'!J15</f>
        <v>39956</v>
      </c>
      <c r="M15" s="253">
        <f>102518+'táj.1.'!K15</f>
        <v>103388</v>
      </c>
      <c r="N15" s="253">
        <f>0+'táj.1.'!L15</f>
        <v>0</v>
      </c>
      <c r="O15" s="253">
        <f t="shared" si="0"/>
        <v>327374</v>
      </c>
    </row>
    <row r="16" spans="1:15" s="56" customFormat="1" ht="18" customHeight="1">
      <c r="A16" s="250">
        <v>15</v>
      </c>
      <c r="B16" s="230" t="s">
        <v>160</v>
      </c>
      <c r="C16" s="131">
        <v>573476</v>
      </c>
      <c r="D16" s="157">
        <f>0+'táj.1.'!M16</f>
        <v>17900</v>
      </c>
      <c r="E16" s="252">
        <f>0+'táj.1.'!C16</f>
        <v>80</v>
      </c>
      <c r="F16" s="252">
        <f>0+'táj.1.'!D16</f>
        <v>10500</v>
      </c>
      <c r="G16" s="252">
        <f>0+'táj.1.'!E16</f>
        <v>0</v>
      </c>
      <c r="H16" s="253">
        <f>159750+'táj.1.'!F16</f>
        <v>159750</v>
      </c>
      <c r="I16" s="253">
        <f>0+'táj.1.'!G16</f>
        <v>0</v>
      </c>
      <c r="J16" s="253">
        <f>54000+'táj.1.'!H16</f>
        <v>54000</v>
      </c>
      <c r="K16" s="253">
        <f>0+'táj.1.'!I16</f>
        <v>0</v>
      </c>
      <c r="L16" s="253">
        <f>0+'táj.1.'!J16</f>
        <v>1843</v>
      </c>
      <c r="M16" s="253">
        <f>359726+'táj.1.'!K16</f>
        <v>365203</v>
      </c>
      <c r="N16" s="253">
        <f>0+'táj.1.'!L16</f>
        <v>0</v>
      </c>
      <c r="O16" s="253">
        <f t="shared" si="0"/>
        <v>591376</v>
      </c>
    </row>
    <row r="17" spans="1:15" s="56" customFormat="1" ht="18.75" customHeight="1">
      <c r="A17" s="250">
        <v>16</v>
      </c>
      <c r="B17" s="230" t="s">
        <v>135</v>
      </c>
      <c r="C17" s="131">
        <v>102360</v>
      </c>
      <c r="D17" s="157">
        <f>0+'táj.1.'!M17</f>
        <v>1989</v>
      </c>
      <c r="E17" s="252">
        <f>0+'táj.1.'!C17</f>
        <v>0</v>
      </c>
      <c r="F17" s="252">
        <f>0+'táj.1.'!D17</f>
        <v>0</v>
      </c>
      <c r="G17" s="252">
        <f>0+'táj.1.'!E17</f>
        <v>0</v>
      </c>
      <c r="H17" s="253">
        <f>16805+'táj.1.'!F17</f>
        <v>16805</v>
      </c>
      <c r="I17" s="253">
        <f>0+'táj.1.'!G17</f>
        <v>0</v>
      </c>
      <c r="J17" s="253">
        <f>5600+'táj.1.'!H17</f>
        <v>5600</v>
      </c>
      <c r="K17" s="253">
        <f>0+'táj.1.'!I17</f>
        <v>0</v>
      </c>
      <c r="L17" s="253">
        <f>3875+'táj.1.'!J17</f>
        <v>5039</v>
      </c>
      <c r="M17" s="253">
        <f>76080+'táj.1.'!K17</f>
        <v>76905</v>
      </c>
      <c r="N17" s="253">
        <f>0+'táj.1.'!L17</f>
        <v>0</v>
      </c>
      <c r="O17" s="253">
        <f t="shared" si="0"/>
        <v>104349</v>
      </c>
    </row>
    <row r="18" spans="1:15" s="56" customFormat="1" ht="31.5" customHeight="1">
      <c r="A18" s="250">
        <v>17</v>
      </c>
      <c r="B18" s="230" t="s">
        <v>134</v>
      </c>
      <c r="C18" s="131">
        <v>110370</v>
      </c>
      <c r="D18" s="157">
        <f>0+'táj.1.'!M18</f>
        <v>6198</v>
      </c>
      <c r="E18" s="252">
        <f>0+'táj.1.'!C18</f>
        <v>0</v>
      </c>
      <c r="F18" s="252">
        <f>0+'táj.1.'!D18</f>
        <v>0</v>
      </c>
      <c r="G18" s="252">
        <f>0+'táj.1.'!E18</f>
        <v>0</v>
      </c>
      <c r="H18" s="253">
        <f>8881+'táj.1.'!F18</f>
        <v>8881</v>
      </c>
      <c r="I18" s="253">
        <f>0+'táj.1.'!G18</f>
        <v>0</v>
      </c>
      <c r="J18" s="253">
        <f>0+'táj.1.'!H18</f>
        <v>0</v>
      </c>
      <c r="K18" s="253">
        <f>0+'táj.1.'!I18</f>
        <v>0</v>
      </c>
      <c r="L18" s="253">
        <f>16326+'táj.1.'!J18</f>
        <v>22611</v>
      </c>
      <c r="M18" s="253">
        <f>85163+'táj.1.'!K18</f>
        <v>85076</v>
      </c>
      <c r="N18" s="253">
        <f>0+'táj.1.'!L18</f>
        <v>0</v>
      </c>
      <c r="O18" s="253">
        <f t="shared" si="0"/>
        <v>116568</v>
      </c>
    </row>
    <row r="19" spans="1:15" s="56" customFormat="1" ht="18.75" customHeight="1">
      <c r="A19" s="250">
        <v>18</v>
      </c>
      <c r="B19" s="221" t="s">
        <v>98</v>
      </c>
      <c r="C19" s="158">
        <v>90900</v>
      </c>
      <c r="D19" s="157">
        <f>0+'táj.1.'!M19</f>
        <v>13313</v>
      </c>
      <c r="E19" s="252">
        <f>0+'táj.1.'!C19</f>
        <v>250</v>
      </c>
      <c r="F19" s="252">
        <f>0+'táj.1.'!D19</f>
        <v>0</v>
      </c>
      <c r="G19" s="252">
        <f>0+'táj.1.'!E19</f>
        <v>0</v>
      </c>
      <c r="H19" s="253">
        <f>90900+'táj.1.'!F19</f>
        <v>91800</v>
      </c>
      <c r="I19" s="253">
        <f>0+'táj.1.'!G19</f>
        <v>0</v>
      </c>
      <c r="J19" s="253">
        <f>0+'táj.1.'!H19</f>
        <v>0</v>
      </c>
      <c r="K19" s="253">
        <f>0+'táj.1.'!I19</f>
        <v>0</v>
      </c>
      <c r="L19" s="253">
        <f>0+'táj.1.'!J19</f>
        <v>12028</v>
      </c>
      <c r="M19" s="253">
        <f>0+'táj.1.'!K19</f>
        <v>135</v>
      </c>
      <c r="N19" s="253">
        <f>0+'táj.1.'!L19</f>
        <v>0</v>
      </c>
      <c r="O19" s="253">
        <f t="shared" si="0"/>
        <v>104213</v>
      </c>
    </row>
    <row r="20" spans="1:15" s="56" customFormat="1" ht="24" customHeight="1">
      <c r="A20" s="66"/>
      <c r="B20" s="67" t="s">
        <v>119</v>
      </c>
      <c r="C20" s="68">
        <f>SUM(C3:C19)</f>
        <v>6266208</v>
      </c>
      <c r="D20" s="68">
        <f>SUM(D3:D19)</f>
        <v>332537</v>
      </c>
      <c r="E20" s="68">
        <f aca="true" t="shared" si="1" ref="E20:O20">SUM(E3:E19)</f>
        <v>386888</v>
      </c>
      <c r="F20" s="68">
        <f t="shared" si="1"/>
        <v>60876</v>
      </c>
      <c r="G20" s="68">
        <f t="shared" si="1"/>
        <v>0</v>
      </c>
      <c r="H20" s="68">
        <f t="shared" si="1"/>
        <v>1132590</v>
      </c>
      <c r="I20" s="68">
        <f t="shared" si="1"/>
        <v>0</v>
      </c>
      <c r="J20" s="68">
        <f t="shared" si="1"/>
        <v>59994</v>
      </c>
      <c r="K20" s="68">
        <f t="shared" si="1"/>
        <v>0</v>
      </c>
      <c r="L20" s="68">
        <f t="shared" si="1"/>
        <v>350508</v>
      </c>
      <c r="M20" s="68">
        <f t="shared" si="1"/>
        <v>4607889</v>
      </c>
      <c r="N20" s="68">
        <f t="shared" si="1"/>
        <v>0</v>
      </c>
      <c r="O20" s="68">
        <f t="shared" si="1"/>
        <v>6598745</v>
      </c>
    </row>
    <row r="21" s="56" customFormat="1" ht="12.75">
      <c r="A21" s="57"/>
    </row>
    <row r="22" s="56" customFormat="1" ht="12.75">
      <c r="A22" s="57"/>
    </row>
    <row r="23" s="56" customFormat="1" ht="12.75">
      <c r="A23" s="57"/>
    </row>
    <row r="24" s="56" customFormat="1" ht="12.75">
      <c r="A24" s="57"/>
    </row>
    <row r="25" s="56" customFormat="1" ht="12.75">
      <c r="A25" s="57"/>
    </row>
    <row r="26" s="56" customFormat="1" ht="12.75">
      <c r="A26" s="57"/>
    </row>
    <row r="27" s="56" customFormat="1" ht="12.75">
      <c r="A27" s="57"/>
    </row>
    <row r="28" s="56" customFormat="1" ht="12.75">
      <c r="A28" s="57"/>
    </row>
    <row r="29" s="56" customFormat="1" ht="12.75">
      <c r="A29" s="57"/>
    </row>
    <row r="30" s="56" customFormat="1" ht="12.75">
      <c r="A30" s="57"/>
    </row>
    <row r="31" s="56" customFormat="1" ht="12.75">
      <c r="A31" s="57"/>
    </row>
    <row r="32" s="56" customFormat="1" ht="12.75">
      <c r="A32" s="57"/>
    </row>
    <row r="33" s="56" customFormat="1" ht="12.75">
      <c r="A33" s="57"/>
    </row>
    <row r="34" s="56" customFormat="1" ht="12.75">
      <c r="A34" s="57"/>
    </row>
    <row r="35" s="56" customFormat="1" ht="12.75">
      <c r="A35" s="57"/>
    </row>
    <row r="36" s="56" customFormat="1" ht="12.75">
      <c r="A36" s="57"/>
    </row>
    <row r="37" s="56" customFormat="1" ht="12.75">
      <c r="A37" s="57"/>
    </row>
    <row r="38" s="56" customFormat="1" ht="12.75">
      <c r="A38" s="57"/>
    </row>
    <row r="39" s="56" customFormat="1" ht="12.75">
      <c r="A39" s="57"/>
    </row>
    <row r="40" s="56" customFormat="1" ht="12.75">
      <c r="A40" s="57"/>
    </row>
    <row r="41" s="56" customFormat="1" ht="12.75">
      <c r="A41" s="57"/>
    </row>
    <row r="42" s="56" customFormat="1" ht="12.75">
      <c r="A42" s="57"/>
    </row>
    <row r="43" s="56" customFormat="1" ht="12.75">
      <c r="A43" s="57"/>
    </row>
    <row r="44" s="56" customFormat="1" ht="12.75">
      <c r="A44" s="57"/>
    </row>
    <row r="45" s="56" customFormat="1" ht="12.75">
      <c r="A45" s="57"/>
    </row>
    <row r="46" s="56" customFormat="1" ht="12.75">
      <c r="A46" s="57"/>
    </row>
    <row r="47" s="56" customFormat="1" ht="12.75">
      <c r="A47" s="57"/>
    </row>
    <row r="48" s="56" customFormat="1" ht="12.75">
      <c r="A48" s="57"/>
    </row>
    <row r="49" s="56" customFormat="1" ht="12.75">
      <c r="A49" s="57"/>
    </row>
    <row r="50" s="56" customFormat="1" ht="12.75">
      <c r="A50" s="57"/>
    </row>
    <row r="51" s="56" customFormat="1" ht="12.75">
      <c r="A51" s="57"/>
    </row>
    <row r="52" s="56" customFormat="1" ht="12.75">
      <c r="A52" s="57"/>
    </row>
    <row r="53" s="56" customFormat="1" ht="12.75">
      <c r="A53" s="57"/>
    </row>
    <row r="54" s="56" customFormat="1" ht="12.75">
      <c r="A54" s="57"/>
    </row>
    <row r="55" s="56" customFormat="1" ht="12.75">
      <c r="A55" s="57"/>
    </row>
    <row r="56" s="56" customFormat="1" ht="12.75">
      <c r="A56" s="57"/>
    </row>
    <row r="57" s="56" customFormat="1" ht="12.75">
      <c r="A57" s="57"/>
    </row>
    <row r="58" s="56" customFormat="1" ht="12.75">
      <c r="A58" s="57"/>
    </row>
    <row r="59" s="56" customFormat="1" ht="12.75">
      <c r="A59" s="57"/>
    </row>
    <row r="60" s="56" customFormat="1" ht="12.75">
      <c r="A60" s="57"/>
    </row>
    <row r="61" s="56" customFormat="1" ht="12.75">
      <c r="A61" s="57"/>
    </row>
    <row r="62" s="56" customFormat="1" ht="12.75">
      <c r="A62" s="57"/>
    </row>
    <row r="63" s="56" customFormat="1" ht="12.75">
      <c r="A63" s="57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tábla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2014-05-09T08:24:17Z</cp:lastPrinted>
  <dcterms:created xsi:type="dcterms:W3CDTF">2002-12-30T13:12:46Z</dcterms:created>
  <dcterms:modified xsi:type="dcterms:W3CDTF">2014-05-20T08:40:01Z</dcterms:modified>
  <cp:category/>
  <cp:version/>
  <cp:contentType/>
  <cp:contentStatus/>
</cp:coreProperties>
</file>